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1820" yWindow="0" windowWidth="25600" windowHeight="16080" tabRatio="500"/>
  </bookViews>
  <sheets>
    <sheet name="2013-2015 Police Killings" sheetId="1" r:id="rId1"/>
    <sheet name="2015 Police Violence Report"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652" i="1" l="1"/>
  <c r="F35" i="2"/>
  <c r="Q2765" i="1"/>
  <c r="Q3472" i="1"/>
  <c r="Q3392" i="1"/>
  <c r="Q3295" i="1"/>
  <c r="Q2890" i="1"/>
  <c r="Q2839" i="1"/>
  <c r="Q2819" i="1"/>
  <c r="Q2763" i="1"/>
  <c r="Q2721" i="1"/>
  <c r="Q2678" i="1"/>
  <c r="Q2639" i="1"/>
  <c r="Q2576" i="1"/>
  <c r="Q2435" i="1"/>
  <c r="Q1817" i="1"/>
  <c r="Q1788" i="1"/>
  <c r="Q1680" i="1"/>
  <c r="Q1654" i="1"/>
  <c r="Q1541" i="1"/>
  <c r="Q1471" i="1"/>
  <c r="Q1362" i="1"/>
  <c r="Q1308" i="1"/>
  <c r="Q586" i="1"/>
  <c r="Q371" i="1"/>
  <c r="Q291" i="1"/>
  <c r="Q286" i="1"/>
  <c r="E614" i="1"/>
  <c r="Q659" i="1"/>
  <c r="E618" i="1"/>
  <c r="Q571" i="1"/>
  <c r="Q566" i="1"/>
  <c r="Q560" i="1"/>
  <c r="Q545" i="1"/>
  <c r="Q365" i="1"/>
  <c r="I63" i="2"/>
  <c r="G63" i="2"/>
  <c r="J63" i="2"/>
  <c r="E63" i="2"/>
  <c r="I62" i="2"/>
  <c r="I34" i="2"/>
  <c r="F62" i="2"/>
  <c r="G62" i="2"/>
  <c r="J62" i="2"/>
  <c r="E62" i="2"/>
  <c r="G61" i="2"/>
  <c r="J61" i="2"/>
  <c r="E61" i="2"/>
  <c r="I60" i="2"/>
  <c r="G60" i="2"/>
  <c r="J60" i="2"/>
  <c r="E60" i="2"/>
  <c r="I59" i="2"/>
  <c r="G59" i="2"/>
  <c r="J59" i="2"/>
  <c r="E59" i="2"/>
  <c r="I58" i="2"/>
  <c r="G58" i="2"/>
  <c r="J58" i="2"/>
  <c r="E58" i="2"/>
  <c r="I57" i="2"/>
  <c r="G57" i="2"/>
  <c r="J57" i="2"/>
  <c r="E57" i="2"/>
  <c r="I56" i="2"/>
  <c r="G56" i="2"/>
  <c r="J56" i="2"/>
  <c r="E56" i="2"/>
  <c r="I55" i="2"/>
  <c r="G55" i="2"/>
  <c r="J55" i="2"/>
  <c r="E55" i="2"/>
  <c r="I54" i="2"/>
  <c r="G54" i="2"/>
  <c r="J54" i="2"/>
  <c r="E54" i="2"/>
  <c r="I53" i="2"/>
  <c r="G53" i="2"/>
  <c r="J53" i="2"/>
  <c r="E53" i="2"/>
  <c r="I52" i="2"/>
  <c r="G52" i="2"/>
  <c r="J52" i="2"/>
  <c r="E52" i="2"/>
  <c r="I51" i="2"/>
  <c r="G51" i="2"/>
  <c r="J51" i="2"/>
  <c r="E51" i="2"/>
  <c r="I50" i="2"/>
  <c r="G50" i="2"/>
  <c r="J50" i="2"/>
  <c r="E50" i="2"/>
  <c r="I49" i="2"/>
  <c r="G49" i="2"/>
  <c r="J49" i="2"/>
  <c r="E49" i="2"/>
  <c r="I48" i="2"/>
  <c r="G48" i="2"/>
  <c r="J48" i="2"/>
  <c r="E48" i="2"/>
  <c r="I47" i="2"/>
  <c r="G47" i="2"/>
  <c r="J47" i="2"/>
  <c r="E47" i="2"/>
  <c r="I46" i="2"/>
  <c r="G46" i="2"/>
  <c r="J46" i="2"/>
  <c r="E46" i="2"/>
  <c r="I45" i="2"/>
  <c r="G45" i="2"/>
  <c r="J45" i="2"/>
  <c r="E45" i="2"/>
  <c r="I44" i="2"/>
  <c r="G44" i="2"/>
  <c r="J44" i="2"/>
  <c r="E44" i="2"/>
  <c r="I43" i="2"/>
  <c r="G43" i="2"/>
  <c r="J43" i="2"/>
  <c r="E43" i="2"/>
  <c r="I42" i="2"/>
  <c r="G42" i="2"/>
  <c r="J42" i="2"/>
  <c r="E42" i="2"/>
  <c r="I41" i="2"/>
  <c r="G41" i="2"/>
  <c r="J41" i="2"/>
  <c r="E41" i="2"/>
  <c r="I40" i="2"/>
  <c r="G40" i="2"/>
  <c r="J40" i="2"/>
  <c r="E40" i="2"/>
  <c r="I39" i="2"/>
  <c r="G39" i="2"/>
  <c r="J39" i="2"/>
  <c r="E39" i="2"/>
  <c r="I38" i="2"/>
  <c r="G38" i="2"/>
  <c r="J38" i="2"/>
  <c r="E38" i="2"/>
  <c r="I37" i="2"/>
  <c r="G37" i="2"/>
  <c r="J37" i="2"/>
  <c r="E37" i="2"/>
  <c r="I36" i="2"/>
  <c r="G36" i="2"/>
  <c r="J36" i="2"/>
  <c r="E36" i="2"/>
  <c r="I35" i="2"/>
  <c r="G35" i="2"/>
  <c r="J35" i="2"/>
  <c r="E35" i="2"/>
  <c r="G34" i="2"/>
  <c r="J34" i="2"/>
  <c r="E34" i="2"/>
  <c r="I33" i="2"/>
  <c r="G33" i="2"/>
  <c r="J33" i="2"/>
  <c r="E33" i="2"/>
  <c r="I32" i="2"/>
  <c r="G32" i="2"/>
  <c r="J32" i="2"/>
  <c r="E32" i="2"/>
  <c r="I31" i="2"/>
  <c r="G31" i="2"/>
  <c r="J31" i="2"/>
  <c r="E31" i="2"/>
  <c r="I30" i="2"/>
  <c r="G30" i="2"/>
  <c r="J30" i="2"/>
  <c r="E30" i="2"/>
  <c r="I29" i="2"/>
  <c r="G29" i="2"/>
  <c r="J29" i="2"/>
  <c r="E29" i="2"/>
  <c r="I28" i="2"/>
  <c r="G28" i="2"/>
  <c r="J28" i="2"/>
  <c r="E28" i="2"/>
  <c r="I27" i="2"/>
  <c r="G27" i="2"/>
  <c r="J27" i="2"/>
  <c r="E27" i="2"/>
  <c r="I26" i="2"/>
  <c r="G26" i="2"/>
  <c r="J26" i="2"/>
  <c r="E26" i="2"/>
  <c r="I25" i="2"/>
  <c r="G25" i="2"/>
  <c r="J25" i="2"/>
  <c r="E25" i="2"/>
  <c r="I24" i="2"/>
  <c r="G24" i="2"/>
  <c r="J24" i="2"/>
  <c r="E24" i="2"/>
  <c r="I23" i="2"/>
  <c r="G23" i="2"/>
  <c r="J23" i="2"/>
  <c r="E23" i="2"/>
  <c r="I22" i="2"/>
  <c r="G22" i="2"/>
  <c r="J22" i="2"/>
  <c r="E22" i="2"/>
  <c r="I21" i="2"/>
  <c r="G21" i="2"/>
  <c r="J21" i="2"/>
  <c r="E21" i="2"/>
  <c r="I20" i="2"/>
  <c r="G20" i="2"/>
  <c r="J20" i="2"/>
  <c r="E20" i="2"/>
  <c r="I19" i="2"/>
  <c r="G19" i="2"/>
  <c r="J19" i="2"/>
  <c r="E19" i="2"/>
  <c r="I18" i="2"/>
  <c r="G18" i="2"/>
  <c r="J18" i="2"/>
  <c r="E18" i="2"/>
  <c r="I17" i="2"/>
  <c r="G17" i="2"/>
  <c r="J17" i="2"/>
  <c r="E17" i="2"/>
  <c r="I16" i="2"/>
  <c r="G16" i="2"/>
  <c r="J16" i="2"/>
  <c r="E16" i="2"/>
  <c r="I15" i="2"/>
  <c r="G15" i="2"/>
  <c r="J15" i="2"/>
  <c r="E15" i="2"/>
  <c r="I14" i="2"/>
  <c r="G14" i="2"/>
  <c r="J14" i="2"/>
  <c r="E14" i="2"/>
  <c r="I13" i="2"/>
  <c r="G13" i="2"/>
  <c r="J13" i="2"/>
  <c r="E13" i="2"/>
  <c r="I12" i="2"/>
  <c r="G12" i="2"/>
  <c r="J12" i="2"/>
  <c r="E12" i="2"/>
  <c r="I11" i="2"/>
  <c r="G11" i="2"/>
  <c r="J11" i="2"/>
  <c r="E11" i="2"/>
  <c r="I10" i="2"/>
  <c r="G10" i="2"/>
  <c r="J10" i="2"/>
  <c r="E10" i="2"/>
  <c r="I9" i="2"/>
  <c r="G9" i="2"/>
  <c r="J9" i="2"/>
  <c r="E9" i="2"/>
  <c r="I8" i="2"/>
  <c r="G8" i="2"/>
  <c r="J8" i="2"/>
  <c r="E8" i="2"/>
  <c r="I7" i="2"/>
  <c r="G7" i="2"/>
  <c r="J7" i="2"/>
  <c r="E7" i="2"/>
  <c r="I6" i="2"/>
  <c r="G6" i="2"/>
  <c r="J6" i="2"/>
  <c r="E6" i="2"/>
  <c r="I5" i="2"/>
  <c r="G5" i="2"/>
  <c r="J5" i="2"/>
  <c r="E5" i="2"/>
  <c r="I4" i="2"/>
  <c r="G4" i="2"/>
  <c r="J4" i="2"/>
  <c r="E4" i="2"/>
  <c r="I3" i="2"/>
  <c r="G3" i="2"/>
  <c r="J3" i="2"/>
  <c r="E3" i="2"/>
  <c r="I2" i="2"/>
  <c r="G2" i="2"/>
  <c r="J2" i="2"/>
  <c r="E2" i="2"/>
  <c r="E1081" i="1"/>
  <c r="Q316" i="1"/>
  <c r="Q300" i="1"/>
  <c r="Q425" i="1"/>
  <c r="E425" i="1"/>
  <c r="Q561" i="1"/>
  <c r="Q557" i="1"/>
  <c r="Q612" i="1"/>
  <c r="Q603" i="1"/>
  <c r="Q543" i="1"/>
  <c r="Q613" i="1"/>
  <c r="Q528" i="1"/>
  <c r="Q609" i="1"/>
  <c r="Q562" i="1"/>
  <c r="Q582" i="1"/>
  <c r="Q521" i="1"/>
  <c r="Q590" i="1"/>
  <c r="Q516" i="1"/>
  <c r="Q596" i="1"/>
  <c r="E3484" i="1"/>
  <c r="E3477" i="1"/>
  <c r="Q3453" i="1"/>
  <c r="E3453" i="1"/>
  <c r="Q3419" i="1"/>
  <c r="Q3384" i="1"/>
  <c r="Q3367" i="1"/>
  <c r="Q3355" i="1"/>
  <c r="Q3329" i="1"/>
  <c r="Q3302" i="1"/>
  <c r="Q3292" i="1"/>
  <c r="Q3276" i="1"/>
  <c r="Q3249" i="1"/>
  <c r="Q3213" i="1"/>
  <c r="Q3110" i="1"/>
  <c r="Q3100" i="1"/>
  <c r="Q3058" i="1"/>
  <c r="Q3033" i="1"/>
  <c r="Q2918" i="1"/>
  <c r="Q2912" i="1"/>
  <c r="Q2902" i="1"/>
  <c r="Q2896" i="1"/>
  <c r="Q2895" i="1"/>
  <c r="Q2876" i="1"/>
  <c r="Q2862" i="1"/>
  <c r="Q2835" i="1"/>
  <c r="Q2828" i="1"/>
  <c r="Q2815" i="1"/>
  <c r="Q2813" i="1"/>
  <c r="Q2805" i="1"/>
  <c r="Q2748" i="1"/>
  <c r="Q2744" i="1"/>
  <c r="Q2699" i="1"/>
  <c r="Q2677" i="1"/>
  <c r="Q2671" i="1"/>
  <c r="Q2670" i="1"/>
  <c r="Q2669" i="1"/>
  <c r="Q2652" i="1"/>
  <c r="Q2641" i="1"/>
  <c r="Q2627" i="1"/>
  <c r="Q2619" i="1"/>
  <c r="Q2600" i="1"/>
  <c r="Q2580" i="1"/>
  <c r="Q2545" i="1"/>
  <c r="Q2508" i="1"/>
  <c r="Q2501" i="1"/>
  <c r="Q2483" i="1"/>
  <c r="Q2460" i="1"/>
  <c r="E2453" i="1"/>
  <c r="Q2426" i="1"/>
  <c r="Q2423" i="1"/>
  <c r="Q2397" i="1"/>
  <c r="Q2396" i="1"/>
  <c r="Q2395" i="1"/>
  <c r="Q2392" i="1"/>
  <c r="Q2379" i="1"/>
  <c r="Q2366" i="1"/>
  <c r="Q2360" i="1"/>
  <c r="Q2354" i="1"/>
  <c r="Q2334" i="1"/>
  <c r="E2334" i="1"/>
  <c r="Q2328" i="1"/>
  <c r="Q2311" i="1"/>
  <c r="Q2305" i="1"/>
  <c r="Q2286" i="1"/>
  <c r="E2283" i="1"/>
  <c r="E2280" i="1"/>
  <c r="Q2278" i="1"/>
  <c r="Q2273" i="1"/>
  <c r="Q2271" i="1"/>
  <c r="Q2265" i="1"/>
  <c r="E2259" i="1"/>
  <c r="Q2258" i="1"/>
  <c r="Q2257" i="1"/>
  <c r="Q2255" i="1"/>
  <c r="Q2253" i="1"/>
  <c r="Q2251" i="1"/>
  <c r="Q2229" i="1"/>
  <c r="E2229" i="1"/>
  <c r="Q2225" i="1"/>
  <c r="Q2223" i="1"/>
  <c r="Q2224" i="1"/>
  <c r="Q2199" i="1"/>
  <c r="Q2189" i="1"/>
  <c r="Q2181" i="1"/>
  <c r="Q2174" i="1"/>
  <c r="Q2166" i="1"/>
  <c r="Q2158" i="1"/>
  <c r="E2155" i="1"/>
  <c r="Q2153" i="1"/>
  <c r="Q2150" i="1"/>
  <c r="Q2149" i="1"/>
  <c r="Q2142" i="1"/>
  <c r="E2140" i="1"/>
  <c r="E2119" i="1"/>
  <c r="Q2118" i="1"/>
  <c r="Q2116" i="1"/>
  <c r="Q2113" i="1"/>
  <c r="Q2107" i="1"/>
  <c r="Q2102" i="1"/>
  <c r="Q2097" i="1"/>
  <c r="Q2095" i="1"/>
  <c r="Q2089" i="1"/>
  <c r="Q2085" i="1"/>
  <c r="E2085" i="1"/>
  <c r="Q2082" i="1"/>
  <c r="Q2074" i="1"/>
  <c r="Q2068" i="1"/>
  <c r="Q2034" i="1"/>
  <c r="Q2020" i="1"/>
  <c r="Q2022" i="1"/>
  <c r="E2016" i="1"/>
  <c r="Q2015" i="1"/>
  <c r="Q2001" i="1"/>
  <c r="Q1992" i="1"/>
  <c r="Q1987" i="1"/>
  <c r="Q1982" i="1"/>
  <c r="Q1977" i="1"/>
  <c r="Q1976" i="1"/>
  <c r="Q1968" i="1"/>
  <c r="Q1967" i="1"/>
  <c r="Q1960" i="1"/>
  <c r="Q1958" i="1"/>
  <c r="Q1950" i="1"/>
  <c r="Q1949" i="1"/>
  <c r="Q1946" i="1"/>
  <c r="E1946" i="1"/>
  <c r="Q1943" i="1"/>
  <c r="E1941" i="1"/>
  <c r="Q1925" i="1"/>
  <c r="Q1917" i="1"/>
  <c r="Q1912" i="1"/>
  <c r="Q1897" i="1"/>
  <c r="Q1896" i="1"/>
  <c r="Q1894" i="1"/>
  <c r="Q1892" i="1"/>
  <c r="Q1891" i="1"/>
  <c r="Q1888" i="1"/>
  <c r="Q1885" i="1"/>
  <c r="Q1884" i="1"/>
  <c r="Q1875" i="1"/>
  <c r="Q1874" i="1"/>
  <c r="Q1873" i="1"/>
  <c r="Q1865" i="1"/>
  <c r="Q1846" i="1"/>
  <c r="Q1838" i="1"/>
  <c r="Q1829" i="1"/>
  <c r="Q1820" i="1"/>
  <c r="Q1808" i="1"/>
  <c r="Q1804" i="1"/>
  <c r="Q1792" i="1"/>
  <c r="Q1777" i="1"/>
  <c r="Q1765" i="1"/>
  <c r="Q1763" i="1"/>
  <c r="Q1755" i="1"/>
  <c r="Q1740" i="1"/>
  <c r="Q1738" i="1"/>
  <c r="Q1736" i="1"/>
  <c r="Q1733" i="1"/>
  <c r="Q1731" i="1"/>
  <c r="Q1725" i="1"/>
  <c r="Q1718" i="1"/>
  <c r="Q1710" i="1"/>
  <c r="Q1709" i="1"/>
  <c r="Q1698" i="1"/>
  <c r="Q1691" i="1"/>
  <c r="E1692" i="1"/>
  <c r="Q1682" i="1"/>
  <c r="Q1678" i="1"/>
  <c r="Q1656" i="1"/>
  <c r="Q1651" i="1"/>
  <c r="Q1653" i="1"/>
  <c r="E1654" i="1"/>
  <c r="E1649" i="1"/>
  <c r="Q1647" i="1"/>
  <c r="Q1640" i="1"/>
  <c r="Q1634" i="1"/>
  <c r="E1634" i="1"/>
  <c r="Q1625" i="1"/>
  <c r="Q1621" i="1"/>
  <c r="Q1616" i="1"/>
  <c r="Q1588" i="1"/>
  <c r="Q1586" i="1"/>
  <c r="Q1581" i="1"/>
  <c r="E1581" i="1"/>
  <c r="Q1578" i="1"/>
  <c r="Q1572" i="1"/>
  <c r="Q1567" i="1"/>
  <c r="Q1566" i="1"/>
  <c r="Q1542" i="1"/>
  <c r="E1541" i="1"/>
  <c r="Q1536" i="1"/>
  <c r="Q1527" i="1"/>
  <c r="Q1525" i="1"/>
  <c r="Q1524" i="1"/>
  <c r="Q1522" i="1"/>
  <c r="Q1510" i="1"/>
  <c r="Q1513" i="1"/>
  <c r="Q1491" i="1"/>
  <c r="Q1485" i="1"/>
  <c r="E1483" i="1"/>
  <c r="Q1476" i="1"/>
  <c r="Q1469" i="1"/>
  <c r="Q1472" i="1"/>
  <c r="E1472" i="1"/>
  <c r="E1471" i="1"/>
  <c r="Q1470" i="1"/>
  <c r="Q1427" i="1"/>
  <c r="Q1422" i="1"/>
  <c r="Q1420" i="1"/>
  <c r="Q1410" i="1"/>
  <c r="Q1406" i="1"/>
  <c r="Q1394" i="1"/>
  <c r="Q1392" i="1"/>
  <c r="Q1387" i="1"/>
  <c r="Q1383" i="1"/>
  <c r="Q1382" i="1"/>
  <c r="E1382" i="1"/>
  <c r="Q1381" i="1"/>
  <c r="Q1379" i="1"/>
  <c r="Q1377" i="1"/>
  <c r="E1362" i="1"/>
  <c r="Q1361" i="1"/>
  <c r="Q1354" i="1"/>
  <c r="Q1348" i="1"/>
  <c r="Q1336" i="1"/>
  <c r="E1337" i="1"/>
  <c r="Q1332" i="1"/>
  <c r="Q1320" i="1"/>
  <c r="Q1319" i="1"/>
  <c r="Q1312" i="1"/>
  <c r="Q1294" i="1"/>
  <c r="Q1291" i="1"/>
  <c r="E1291" i="1"/>
  <c r="Q1290" i="1"/>
  <c r="Q1286" i="1"/>
  <c r="Q1283" i="1"/>
  <c r="E1283" i="1"/>
  <c r="Q1282" i="1"/>
  <c r="Q1280" i="1"/>
  <c r="Q1274" i="1"/>
  <c r="Q1272" i="1"/>
  <c r="Q1267" i="1"/>
  <c r="Q1266" i="1"/>
  <c r="Q1262" i="1"/>
  <c r="Q1256" i="1"/>
  <c r="Q1255" i="1"/>
  <c r="E1255" i="1"/>
  <c r="E1254" i="1"/>
  <c r="Q1252" i="1"/>
  <c r="Q1253" i="1"/>
  <c r="Q1248" i="1"/>
  <c r="Q1249" i="1"/>
  <c r="E1247" i="1"/>
  <c r="Q1246" i="1"/>
  <c r="Q1250" i="1"/>
  <c r="Q1245" i="1"/>
  <c r="Q1242" i="1"/>
  <c r="Q1239" i="1"/>
  <c r="Q1233" i="1"/>
  <c r="Q1234" i="1"/>
  <c r="Q1232" i="1"/>
  <c r="Q1227" i="1"/>
  <c r="Q1225" i="1"/>
  <c r="Q1224" i="1"/>
  <c r="Q1219" i="1"/>
  <c r="Q1217" i="1"/>
  <c r="E1217" i="1"/>
  <c r="Q1218" i="1"/>
  <c r="E1218" i="1"/>
  <c r="Q1216" i="1"/>
  <c r="Q1211" i="1"/>
  <c r="E1211" i="1"/>
  <c r="Q1209" i="1"/>
  <c r="Q1206" i="1"/>
  <c r="Q1208" i="1"/>
  <c r="Q1200" i="1"/>
  <c r="Q1198" i="1"/>
  <c r="E1198" i="1"/>
  <c r="Q1199" i="1"/>
  <c r="E1199" i="1"/>
  <c r="Q1196" i="1"/>
  <c r="E1196" i="1"/>
  <c r="Q1186" i="1"/>
  <c r="Q1183" i="1"/>
  <c r="Q1179" i="1"/>
  <c r="Q1173" i="1"/>
  <c r="Q1157" i="1"/>
  <c r="Q1147" i="1"/>
  <c r="Q1131" i="1"/>
  <c r="Q1111" i="1"/>
  <c r="Q1110" i="1"/>
  <c r="Q1096" i="1"/>
  <c r="A1094" i="1"/>
  <c r="Q1090" i="1"/>
  <c r="Q1086" i="1"/>
  <c r="Q1085" i="1"/>
  <c r="Q1081" i="1"/>
  <c r="Q1082" i="1"/>
  <c r="Q1078" i="1"/>
  <c r="Q1076" i="1"/>
  <c r="Q1070" i="1"/>
  <c r="Q1067" i="1"/>
  <c r="Q1043" i="1"/>
  <c r="Q1031" i="1"/>
  <c r="Q1003" i="1"/>
  <c r="Q978" i="1"/>
  <c r="Q975" i="1"/>
  <c r="Q927" i="1"/>
  <c r="Q910" i="1"/>
  <c r="A910" i="1"/>
  <c r="Q908" i="1"/>
  <c r="Q905" i="1"/>
  <c r="Q900" i="1"/>
  <c r="Q896" i="1"/>
  <c r="E896" i="1"/>
  <c r="Q895" i="1"/>
  <c r="Q894" i="1"/>
  <c r="Q892" i="1"/>
  <c r="Q893" i="1"/>
  <c r="Q891" i="1"/>
  <c r="Q890" i="1"/>
  <c r="E890" i="1"/>
  <c r="Q889" i="1"/>
  <c r="Q888" i="1"/>
  <c r="Q886" i="1"/>
  <c r="Q887" i="1"/>
  <c r="Q884" i="1"/>
  <c r="E884" i="1"/>
  <c r="Q882" i="1"/>
  <c r="Q883" i="1"/>
  <c r="Q880" i="1"/>
  <c r="Q881" i="1"/>
  <c r="Q879" i="1"/>
  <c r="Q878" i="1"/>
  <c r="Q877" i="1"/>
  <c r="Q876" i="1"/>
  <c r="E876" i="1"/>
  <c r="Q875" i="1"/>
  <c r="Q874" i="1"/>
  <c r="Q873" i="1"/>
  <c r="Q872" i="1"/>
  <c r="Q870" i="1"/>
  <c r="Q871" i="1"/>
  <c r="Q869" i="1"/>
  <c r="Q868" i="1"/>
  <c r="Q867" i="1"/>
  <c r="Q866" i="1"/>
  <c r="Q865" i="1"/>
  <c r="Q864" i="1"/>
  <c r="Q863" i="1"/>
  <c r="Q862" i="1"/>
  <c r="Q861" i="1"/>
  <c r="E861" i="1"/>
  <c r="Q858" i="1"/>
  <c r="Q859" i="1"/>
  <c r="Q855" i="1"/>
  <c r="Q856" i="1"/>
  <c r="Q857" i="1"/>
  <c r="Q854" i="1"/>
  <c r="Q853" i="1"/>
  <c r="Q851" i="1"/>
  <c r="E851" i="1"/>
  <c r="Q850" i="1"/>
  <c r="Q848" i="1"/>
  <c r="Q849" i="1"/>
  <c r="Q847" i="1"/>
  <c r="Q845" i="1"/>
  <c r="Q843" i="1"/>
  <c r="Q841" i="1"/>
  <c r="Q837" i="1"/>
  <c r="Q834" i="1"/>
  <c r="Q832" i="1"/>
  <c r="Q830" i="1"/>
  <c r="Q828" i="1"/>
  <c r="E829" i="1"/>
  <c r="Q826" i="1"/>
  <c r="Q820" i="1"/>
  <c r="E820" i="1"/>
  <c r="Q821" i="1"/>
  <c r="Q819" i="1"/>
  <c r="E819" i="1"/>
  <c r="Q818" i="1"/>
  <c r="Q816" i="1"/>
  <c r="Q817" i="1"/>
  <c r="Q815" i="1"/>
  <c r="Q814" i="1"/>
  <c r="E814" i="1"/>
  <c r="Q813" i="1"/>
  <c r="Q810" i="1"/>
  <c r="Q809" i="1"/>
  <c r="Q808" i="1"/>
  <c r="E808" i="1"/>
  <c r="Q804" i="1"/>
  <c r="E804" i="1"/>
  <c r="E807" i="1"/>
  <c r="Q805" i="1"/>
  <c r="Q803" i="1"/>
  <c r="Q802" i="1"/>
  <c r="E802" i="1"/>
  <c r="Q801" i="1"/>
  <c r="E801" i="1"/>
  <c r="Q799" i="1"/>
  <c r="Q796" i="1"/>
  <c r="Q798" i="1"/>
  <c r="Q795" i="1"/>
  <c r="Q797" i="1"/>
  <c r="Q794" i="1"/>
  <c r="E794" i="1"/>
  <c r="Q793" i="1"/>
  <c r="Q792" i="1"/>
  <c r="E792" i="1"/>
  <c r="Q791" i="1"/>
  <c r="E791" i="1"/>
  <c r="Q790" i="1"/>
  <c r="Q788" i="1"/>
  <c r="Q789" i="1"/>
  <c r="Q787" i="1"/>
  <c r="Q785" i="1"/>
  <c r="Q783" i="1"/>
  <c r="Q784" i="1"/>
  <c r="Q781" i="1"/>
  <c r="Q779" i="1"/>
  <c r="Q778" i="1"/>
  <c r="Q777" i="1"/>
  <c r="Q776" i="1"/>
  <c r="Q775" i="1"/>
  <c r="Q774" i="1"/>
  <c r="Q773" i="1"/>
  <c r="Q771" i="1"/>
  <c r="Q772" i="1"/>
  <c r="Q770" i="1"/>
  <c r="Q769" i="1"/>
  <c r="Q768" i="1"/>
  <c r="Q766" i="1"/>
  <c r="Q767" i="1"/>
  <c r="Q764" i="1"/>
  <c r="Q765" i="1"/>
  <c r="Q763" i="1"/>
  <c r="Q762" i="1"/>
  <c r="Q761" i="1"/>
  <c r="Q760" i="1"/>
  <c r="Q759" i="1"/>
  <c r="Q758" i="1"/>
  <c r="Q756" i="1"/>
  <c r="Q755" i="1"/>
  <c r="Q754" i="1"/>
  <c r="Q753" i="1"/>
  <c r="Q752" i="1"/>
  <c r="Q750" i="1"/>
  <c r="Q749" i="1"/>
  <c r="Q751" i="1"/>
  <c r="Q748" i="1"/>
  <c r="Q747" i="1"/>
  <c r="Q746" i="1"/>
  <c r="Q745" i="1"/>
  <c r="Q744" i="1"/>
  <c r="Q743" i="1"/>
  <c r="Q742" i="1"/>
  <c r="Q741" i="1"/>
  <c r="Q738" i="1"/>
  <c r="Q739" i="1"/>
  <c r="Q740" i="1"/>
  <c r="Q736" i="1"/>
  <c r="Q737" i="1"/>
  <c r="Q733" i="1"/>
  <c r="Q734" i="1"/>
  <c r="Q732" i="1"/>
  <c r="Q735" i="1"/>
  <c r="Q731" i="1"/>
  <c r="Q730" i="1"/>
  <c r="Q729" i="1"/>
  <c r="Q728" i="1"/>
  <c r="Q727" i="1"/>
  <c r="Q726" i="1"/>
  <c r="Q725" i="1"/>
  <c r="Q724" i="1"/>
  <c r="Q723" i="1"/>
  <c r="Q719" i="1"/>
  <c r="Q721" i="1"/>
  <c r="Q722" i="1"/>
  <c r="Q720" i="1"/>
  <c r="Q718" i="1"/>
  <c r="Q715" i="1"/>
  <c r="Q717" i="1"/>
  <c r="Q716" i="1"/>
  <c r="Q714" i="1"/>
  <c r="Q713" i="1"/>
  <c r="Q712" i="1"/>
  <c r="A712" i="1"/>
  <c r="Q710" i="1"/>
  <c r="Q707" i="1"/>
  <c r="Q706" i="1"/>
  <c r="Q704" i="1"/>
  <c r="Q703" i="1"/>
  <c r="A703" i="1"/>
  <c r="Q702" i="1"/>
  <c r="A702" i="1"/>
  <c r="Q700" i="1"/>
  <c r="A700" i="1"/>
  <c r="Q699" i="1"/>
  <c r="A699" i="1"/>
  <c r="Q698" i="1"/>
  <c r="Q697" i="1"/>
  <c r="Q696" i="1"/>
  <c r="Q695" i="1"/>
  <c r="A695" i="1"/>
  <c r="Q694" i="1"/>
  <c r="Q693" i="1"/>
  <c r="A693" i="1"/>
  <c r="Q692" i="1"/>
  <c r="A692" i="1"/>
  <c r="Q691" i="1"/>
  <c r="Q690" i="1"/>
  <c r="Q688" i="1"/>
  <c r="Q689" i="1"/>
  <c r="Q687" i="1"/>
  <c r="A687" i="1"/>
  <c r="Q686" i="1"/>
  <c r="A686" i="1"/>
  <c r="Q684" i="1"/>
  <c r="A684" i="1"/>
  <c r="Q682" i="1"/>
  <c r="Q683" i="1"/>
  <c r="Q681" i="1"/>
  <c r="A681" i="1"/>
  <c r="Q679" i="1"/>
  <c r="Q680" i="1"/>
  <c r="Q678" i="1"/>
  <c r="A678" i="1"/>
  <c r="Q677" i="1"/>
  <c r="A677" i="1"/>
  <c r="Q676" i="1"/>
  <c r="A676" i="1"/>
  <c r="Q675" i="1"/>
  <c r="A675" i="1"/>
  <c r="Q674" i="1"/>
  <c r="Q673" i="1"/>
  <c r="Q672" i="1"/>
  <c r="E672" i="1"/>
  <c r="A672" i="1"/>
  <c r="Q671" i="1"/>
  <c r="E671" i="1"/>
  <c r="Q670" i="1"/>
  <c r="Q668" i="1"/>
  <c r="E668" i="1"/>
  <c r="Q669" i="1"/>
  <c r="E669" i="1"/>
  <c r="Q667" i="1"/>
  <c r="E667" i="1"/>
  <c r="Q666" i="1"/>
  <c r="E666" i="1"/>
  <c r="Q664" i="1"/>
  <c r="E664" i="1"/>
  <c r="Q665" i="1"/>
  <c r="E665" i="1"/>
  <c r="Q661" i="1"/>
  <c r="E661" i="1"/>
  <c r="Q660" i="1"/>
  <c r="E660" i="1"/>
  <c r="Q663" i="1"/>
  <c r="E663" i="1"/>
  <c r="Q662" i="1"/>
  <c r="E662" i="1"/>
  <c r="Q658" i="1"/>
  <c r="E658" i="1"/>
  <c r="E659" i="1"/>
  <c r="Q657" i="1"/>
  <c r="E657" i="1"/>
  <c r="Q656" i="1"/>
  <c r="E656" i="1"/>
  <c r="E655" i="1"/>
  <c r="Q654" i="1"/>
  <c r="Q653" i="1"/>
  <c r="Q651" i="1"/>
  <c r="Q650" i="1"/>
  <c r="Q649" i="1"/>
  <c r="Q648" i="1"/>
  <c r="Q647" i="1"/>
  <c r="Q646" i="1"/>
  <c r="Q645" i="1"/>
  <c r="E645" i="1"/>
  <c r="Q643" i="1"/>
  <c r="E643" i="1"/>
  <c r="Q644" i="1"/>
  <c r="Q642" i="1"/>
  <c r="Q641" i="1"/>
  <c r="E641" i="1"/>
  <c r="Q639" i="1"/>
  <c r="E639" i="1"/>
  <c r="Q640" i="1"/>
  <c r="E640" i="1"/>
  <c r="Q638" i="1"/>
  <c r="E638" i="1"/>
  <c r="Q637" i="1"/>
  <c r="E637" i="1"/>
  <c r="Q636" i="1"/>
  <c r="Q635" i="1"/>
  <c r="E635" i="1"/>
  <c r="Q632" i="1"/>
  <c r="E632" i="1"/>
  <c r="Q633" i="1"/>
  <c r="E633" i="1"/>
  <c r="Q634" i="1"/>
  <c r="Q631" i="1"/>
  <c r="Q630" i="1"/>
  <c r="E630" i="1"/>
  <c r="Q629" i="1"/>
  <c r="Q628" i="1"/>
  <c r="Q627" i="1"/>
  <c r="E627" i="1"/>
  <c r="Q626" i="1"/>
  <c r="Q625" i="1"/>
  <c r="Q624" i="1"/>
  <c r="Q623" i="1"/>
  <c r="E623" i="1"/>
  <c r="Q622" i="1"/>
  <c r="Q621" i="1"/>
  <c r="E621" i="1"/>
  <c r="E620" i="1"/>
  <c r="Q619" i="1"/>
  <c r="Q618" i="1"/>
  <c r="E617" i="1"/>
  <c r="E616" i="1"/>
  <c r="E612" i="1"/>
  <c r="Q608" i="1"/>
  <c r="Q607" i="1"/>
  <c r="E604" i="1"/>
  <c r="E605" i="1"/>
  <c r="Q606" i="1"/>
  <c r="Q602" i="1"/>
  <c r="Q600" i="1"/>
  <c r="E600" i="1"/>
  <c r="Q601" i="1"/>
  <c r="E601" i="1"/>
  <c r="Q599" i="1"/>
  <c r="E598" i="1"/>
  <c r="E594" i="1"/>
  <c r="Q597" i="1"/>
  <c r="Q595" i="1"/>
  <c r="Q593" i="1"/>
  <c r="Q592" i="1"/>
  <c r="Q591" i="1"/>
  <c r="E591" i="1"/>
  <c r="E590" i="1"/>
  <c r="Q589" i="1"/>
  <c r="Q587" i="1"/>
  <c r="Q588" i="1"/>
  <c r="Q585" i="1"/>
  <c r="Q583" i="1"/>
  <c r="E583" i="1"/>
  <c r="E582" i="1"/>
  <c r="Q580" i="1"/>
  <c r="E580" i="1"/>
  <c r="Q579" i="1"/>
  <c r="Q581" i="1"/>
  <c r="Q578" i="1"/>
  <c r="Q577" i="1"/>
  <c r="Q575" i="1"/>
  <c r="Q573" i="1"/>
  <c r="Q574" i="1"/>
  <c r="E572" i="1"/>
  <c r="Q569" i="1"/>
  <c r="E569" i="1"/>
  <c r="Q570" i="1"/>
  <c r="E570" i="1"/>
  <c r="Q568" i="1"/>
  <c r="Q567" i="1"/>
  <c r="E566" i="1"/>
  <c r="Q564" i="1"/>
  <c r="E564" i="1"/>
  <c r="Q559" i="1"/>
  <c r="Q558" i="1"/>
  <c r="E557" i="1"/>
  <c r="Q556" i="1"/>
  <c r="Q554" i="1"/>
  <c r="Q553" i="1"/>
  <c r="E553" i="1"/>
  <c r="Q552" i="1"/>
  <c r="E552" i="1"/>
  <c r="Q551" i="1"/>
  <c r="Q549" i="1"/>
  <c r="Q548" i="1"/>
  <c r="Q546" i="1"/>
  <c r="Q544" i="1"/>
  <c r="Q542" i="1"/>
  <c r="Q540" i="1"/>
  <c r="Q541" i="1"/>
  <c r="Q539" i="1"/>
  <c r="Q538" i="1"/>
  <c r="E535" i="1"/>
  <c r="E533" i="1"/>
  <c r="E528" i="1"/>
  <c r="Q525" i="1"/>
  <c r="Q524" i="1"/>
  <c r="E526" i="1"/>
  <c r="Q523" i="1"/>
  <c r="E523" i="1"/>
  <c r="Q517" i="1"/>
  <c r="E517" i="1"/>
  <c r="Q515" i="1"/>
  <c r="Q514" i="1"/>
  <c r="Q513" i="1"/>
  <c r="Q512" i="1"/>
  <c r="Q511" i="1"/>
  <c r="E511" i="1"/>
  <c r="Q510" i="1"/>
  <c r="Q508" i="1"/>
  <c r="Q509" i="1"/>
  <c r="E509" i="1"/>
  <c r="Q507" i="1"/>
  <c r="E507" i="1"/>
  <c r="E505" i="1"/>
  <c r="E500" i="1"/>
  <c r="E498" i="1"/>
  <c r="Q499" i="1"/>
  <c r="E497" i="1"/>
  <c r="E494" i="1"/>
  <c r="E495" i="1"/>
  <c r="Q387" i="1"/>
  <c r="Q345" i="1"/>
  <c r="Q343" i="1"/>
  <c r="Q346" i="1"/>
  <c r="Q341" i="1"/>
  <c r="Q342" i="1"/>
  <c r="Q339" i="1"/>
  <c r="Q340" i="1"/>
  <c r="Q335" i="1"/>
  <c r="Q336" i="1"/>
</calcChain>
</file>

<file path=xl/sharedStrings.xml><?xml version="1.0" encoding="utf-8"?>
<sst xmlns="http://schemas.openxmlformats.org/spreadsheetml/2006/main" count="56182" uniqueCount="21664">
  <si>
    <t>Victim's name</t>
  </si>
  <si>
    <t>Victim's age</t>
  </si>
  <si>
    <t>Victim's gender</t>
  </si>
  <si>
    <t>Victim's race</t>
  </si>
  <si>
    <t>URL of image of victim</t>
  </si>
  <si>
    <t>Date of injury resulting in death (month/day/year)</t>
  </si>
  <si>
    <t>Location of injury (address)</t>
  </si>
  <si>
    <t>Location of death (city)</t>
  </si>
  <si>
    <t>Location of death (state)</t>
  </si>
  <si>
    <t>Location of death (zip code)</t>
  </si>
  <si>
    <t>Location of death (county)</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</si>
  <si>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</si>
  <si>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</si>
  <si>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</si>
  <si>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</si>
  <si>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</si>
  <si>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</si>
  <si>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</si>
  <si>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</si>
  <si>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Kevin Lau</t>
  </si>
  <si>
    <t>Male</t>
  </si>
  <si>
    <t>Asian</t>
  </si>
  <si>
    <t>http://www.killedbypolice.net/victims/150917.jpg</t>
  </si>
  <si>
    <t>737 Contour Dr</t>
  </si>
  <si>
    <t>Lake Charles</t>
  </si>
  <si>
    <t>LA</t>
  </si>
  <si>
    <t>Lake Charles Police Department</t>
  </si>
  <si>
    <t>Gunshot</t>
  </si>
  <si>
    <t>Allegedly Armed</t>
  </si>
  <si>
    <t>Unknown</t>
  </si>
  <si>
    <t>Unknown race</t>
  </si>
  <si>
    <t>159 Carver Rd</t>
  </si>
  <si>
    <t>SC</t>
  </si>
  <si>
    <t>Greenville</t>
  </si>
  <si>
    <t>Greenville County Sheriff's Office</t>
  </si>
  <si>
    <t>Unclear</t>
  </si>
  <si>
    <t>Richard Love</t>
  </si>
  <si>
    <t>White</t>
  </si>
  <si>
    <t>http://www.killedbypolice.net/victims/150912.jpg</t>
  </si>
  <si>
    <t>1750 Boston Post Rd</t>
  </si>
  <si>
    <t>Old Saybrook</t>
  </si>
  <si>
    <t>CT</t>
  </si>
  <si>
    <t>Middlesex</t>
  </si>
  <si>
    <t>Connecticut State Police</t>
  </si>
  <si>
    <t>IL</t>
  </si>
  <si>
    <t>CA</t>
  </si>
  <si>
    <t>MA</t>
  </si>
  <si>
    <t>Gary Boitano</t>
  </si>
  <si>
    <t>Hispanic</t>
  </si>
  <si>
    <t>http://www.killedbypolice.net/victims/150910.jpg</t>
  </si>
  <si>
    <t>6400 Cardinal Ln</t>
  </si>
  <si>
    <t>Columbia</t>
  </si>
  <si>
    <t>MD</t>
  </si>
  <si>
    <t>Howard</t>
  </si>
  <si>
    <t>Howard County Police Department</t>
  </si>
  <si>
    <t>Travis LaQuay</t>
  </si>
  <si>
    <t>http://www.killedbypolice.net/victims/150911.jpg</t>
  </si>
  <si>
    <t>MI</t>
  </si>
  <si>
    <t>Montcalm</t>
  </si>
  <si>
    <t>http://www.mlive.com/news/grand-rapids/index.ssf/2015/10/deputy_shot_with_cross-bow_as.html</t>
  </si>
  <si>
    <t>Amado Lago</t>
  </si>
  <si>
    <t>West Palm Beach</t>
  </si>
  <si>
    <t>FL</t>
  </si>
  <si>
    <t>Palm Beach County Sheriff's Office</t>
  </si>
  <si>
    <t>Donald Miller II</t>
  </si>
  <si>
    <t>Monterey</t>
  </si>
  <si>
    <t>Monterey Police Department</t>
  </si>
  <si>
    <t>Omar Ali</t>
  </si>
  <si>
    <t>http://www.killedbypolice.net/victims/150908.jpg</t>
  </si>
  <si>
    <t>OH</t>
  </si>
  <si>
    <t>http://www.cleveland.com/akron/index.ssf/2015/10/akron_hookah_bar_owner_shot_du.html</t>
  </si>
  <si>
    <t>James Dunaway</t>
  </si>
  <si>
    <t>Hurst</t>
  </si>
  <si>
    <t>TX</t>
  </si>
  <si>
    <t>Tarrant</t>
  </si>
  <si>
    <t>Hurst Police Department</t>
  </si>
  <si>
    <t>http://www.wfaa.com/story/news/local/tarrant-county/2015/10/05/suspect-killed-in-hurst-officer-involved-shooting/73425460/</t>
  </si>
  <si>
    <t>Rodney Jencsik</t>
  </si>
  <si>
    <t>http://www.killedbypolice.net/victims/150907.jpg</t>
  </si>
  <si>
    <t>Freddie Ave</t>
  </si>
  <si>
    <t>Woodbridge Township</t>
  </si>
  <si>
    <t>NJ</t>
  </si>
  <si>
    <t>Woodbridge Police Department</t>
  </si>
  <si>
    <t>http://www.mycentraljersey.com/story/news/local/middlesex-county/2015/10/06/man-shot-dead-police-woodbridge-standoff/73442052/</t>
  </si>
  <si>
    <t>Jeffery McCallum</t>
  </si>
  <si>
    <t>Black</t>
  </si>
  <si>
    <t>http://www.killedbypolice.net/victims/150904.jpg</t>
  </si>
  <si>
    <t>Chicago</t>
  </si>
  <si>
    <t>Cook</t>
  </si>
  <si>
    <t>Chicago Police Department</t>
  </si>
  <si>
    <t>Eric Edgell</t>
  </si>
  <si>
    <t>http://www.killedbypolice.net/victims/150905.jpg</t>
  </si>
  <si>
    <t>2nd St</t>
  </si>
  <si>
    <t>Muscle Shoals</t>
  </si>
  <si>
    <t>AL</t>
  </si>
  <si>
    <t>Colbert</t>
  </si>
  <si>
    <t>Muscle Shoals Police Department, Sheffield Police Department</t>
  </si>
  <si>
    <t>Sepulveda Blvd and Victory Blvd</t>
  </si>
  <si>
    <t>Los Angeles</t>
  </si>
  <si>
    <t>Los Angeles Police Department</t>
  </si>
  <si>
    <t>No</t>
  </si>
  <si>
    <t>Christopher Kimble</t>
  </si>
  <si>
    <t>http://www.killedbypolice.net/victims/150902.jpg</t>
  </si>
  <si>
    <t>Emily St and Superior Ave</t>
  </si>
  <si>
    <t>East Cleveland</t>
  </si>
  <si>
    <t>Cuyahoga</t>
  </si>
  <si>
    <t>East Cleveland Police Department</t>
  </si>
  <si>
    <t>http://www.newsnet5.com/news/local-news/oh-cuyahoga/witnesspolice-cruiser-hit-kills-man</t>
  </si>
  <si>
    <t>200 S Linden Ave</t>
  </si>
  <si>
    <t>Rialto</t>
  </si>
  <si>
    <t>San Bernadino</t>
  </si>
  <si>
    <t>Rialto Police Department</t>
  </si>
  <si>
    <t>http://www.pe.com/articles/officers-782334-domestic-involved.html</t>
  </si>
  <si>
    <t>Phyllis Jepsen</t>
  </si>
  <si>
    <t>Female</t>
  </si>
  <si>
    <t>18000 SW Shaw St</t>
  </si>
  <si>
    <t>Aloha</t>
  </si>
  <si>
    <t>OR</t>
  </si>
  <si>
    <t>Washington</t>
  </si>
  <si>
    <t>Washington County Sheriff's Office</t>
  </si>
  <si>
    <t>David Diaz</t>
  </si>
  <si>
    <t>http://www.killedbypolice.net/victims/150901.jpg</t>
  </si>
  <si>
    <t>Sierra Vista</t>
  </si>
  <si>
    <t>AZ</t>
  </si>
  <si>
    <t>Cochise</t>
  </si>
  <si>
    <t>Matthew Dobbins</t>
  </si>
  <si>
    <t>14800 Xit Trail</t>
  </si>
  <si>
    <t>Amarillo</t>
  </si>
  <si>
    <t>Randall</t>
  </si>
  <si>
    <t>Randall County Sheriff's Office</t>
  </si>
  <si>
    <t>Robert Sullivan Christen</t>
  </si>
  <si>
    <t>http://www.killedbypolice.net/victims/150897.jpg</t>
  </si>
  <si>
    <t>Mora</t>
  </si>
  <si>
    <t>MN</t>
  </si>
  <si>
    <t>Kanabec</t>
  </si>
  <si>
    <t>Kanabec County Sheriff's Office</t>
  </si>
  <si>
    <t>Wesley Manning</t>
  </si>
  <si>
    <t>http://www.killedbypolice.net/victims/150896.jpg</t>
  </si>
  <si>
    <t>Patrick Stephen Lundstrom</t>
  </si>
  <si>
    <t>Native American</t>
  </si>
  <si>
    <t>http://www.killedbypolice.net/victims/150895.jpg</t>
  </si>
  <si>
    <t>20 Signal Dr</t>
  </si>
  <si>
    <t>Rapid City</t>
  </si>
  <si>
    <t>SD</t>
  </si>
  <si>
    <t>Pennington</t>
  </si>
  <si>
    <t>Rapid City Police Department</t>
  </si>
  <si>
    <t>Brandon Johnson</t>
  </si>
  <si>
    <t>http://www.killedbypolice.net/victims/150892.jpg</t>
  </si>
  <si>
    <t>W Virginia Turnpike</t>
  </si>
  <si>
    <t>Beckley</t>
  </si>
  <si>
    <t>WV</t>
  </si>
  <si>
    <t>Raleigh</t>
  </si>
  <si>
    <t>West Virginia State Police</t>
  </si>
  <si>
    <t>Walter Roches</t>
  </si>
  <si>
    <t>http://www.killedbypolice.net/victims/150891.jpg</t>
  </si>
  <si>
    <t>Alberto Hernandez</t>
  </si>
  <si>
    <t>San Diego</t>
  </si>
  <si>
    <t>San Diego Police Department</t>
  </si>
  <si>
    <t>Junior Prosper</t>
  </si>
  <si>
    <t>http://www.killedbypolice.net/victims/150888.jpg</t>
  </si>
  <si>
    <t>North Miami</t>
  </si>
  <si>
    <t>Miami-Dade</t>
  </si>
  <si>
    <t>Miami-Dade Police Department</t>
  </si>
  <si>
    <t>Victor Oswaldo Coronado-Martinez</t>
  </si>
  <si>
    <t>http://www.killedbypolice.net/victims/150890.jpg</t>
  </si>
  <si>
    <t>Ponder</t>
  </si>
  <si>
    <t>Denton</t>
  </si>
  <si>
    <t>Ponder Police Department</t>
  </si>
  <si>
    <t>Norma Angelica Guzman</t>
  </si>
  <si>
    <t>http://www.killedbypolice.net/victims/150886.jpg</t>
  </si>
  <si>
    <t>2100 S San Pedro St</t>
  </si>
  <si>
    <t>Christopher Shell</t>
  </si>
  <si>
    <t>Rossville</t>
  </si>
  <si>
    <t>GA</t>
  </si>
  <si>
    <t>Walker</t>
  </si>
  <si>
    <t>Walker County Sheriff's Office</t>
  </si>
  <si>
    <t>Jeffrey Blood</t>
  </si>
  <si>
    <t>http://www.killedbypolice.net/victims/150881.jpg</t>
  </si>
  <si>
    <t>Wilhoit</t>
  </si>
  <si>
    <t>Yavapai</t>
  </si>
  <si>
    <t>Yavapai County Sheriff's Office</t>
  </si>
  <si>
    <t>Kylie Lindsey</t>
  </si>
  <si>
    <t>http://www.killedbypolice.net/victims/150884.jpg</t>
  </si>
  <si>
    <t>Isabella Chinchilla</t>
  </si>
  <si>
    <t>http://www.killedbypolice.net/victims/150885.jpg</t>
  </si>
  <si>
    <t>James Anderson</t>
  </si>
  <si>
    <t>906 N Central Park Ave</t>
  </si>
  <si>
    <t>Anthony McKinney</t>
  </si>
  <si>
    <t>http://www.killedbypolice.net/victims/150882.jpg</t>
  </si>
  <si>
    <t>Baton Rouge</t>
  </si>
  <si>
    <t>East Baton Rouge Sheriff's Office</t>
  </si>
  <si>
    <t>Alejandro Lerma</t>
  </si>
  <si>
    <t>http://www.killedbypolice.net/victims/150883.jpg</t>
  </si>
  <si>
    <t>W Jefferson Ave</t>
  </si>
  <si>
    <t>Lovington</t>
  </si>
  <si>
    <t>NM</t>
  </si>
  <si>
    <t>Lovington Police Department</t>
  </si>
  <si>
    <t>Freddy Centeno</t>
  </si>
  <si>
    <t>http://www.killedbypolice.net/victims/2772.jpg</t>
  </si>
  <si>
    <t>S Orange Ave and E El Monte Way</t>
  </si>
  <si>
    <t>Fresno</t>
  </si>
  <si>
    <t>Fresno Police Department</t>
  </si>
  <si>
    <t>William Lemmon</t>
  </si>
  <si>
    <t>http://www.killedbypolice.net/victims/150879.jpg</t>
  </si>
  <si>
    <t>Akron</t>
  </si>
  <si>
    <t>Akron Police Department</t>
  </si>
  <si>
    <t>Patrick O'Grady</t>
  </si>
  <si>
    <t>http://www.killedbypolice.net/victims/150877.jpg</t>
  </si>
  <si>
    <t>Fountain</t>
  </si>
  <si>
    <t>CO</t>
  </si>
  <si>
    <t>Fountain Police Department</t>
  </si>
  <si>
    <t>Ernesto Medina López</t>
  </si>
  <si>
    <t>http://www.killedbypolice.net/victims/150875.jpg</t>
  </si>
  <si>
    <t>Miami</t>
  </si>
  <si>
    <t>Ronny Bowling</t>
  </si>
  <si>
    <t>S Emerson Ave and E Southport Rd</t>
  </si>
  <si>
    <t>Indianapolis</t>
  </si>
  <si>
    <t>IN</t>
  </si>
  <si>
    <t>Indianapolis Metropolitan Police Department</t>
  </si>
  <si>
    <t>Philip Quinn</t>
  </si>
  <si>
    <t>http://www.killedbypolice.net/victims/150876.jpg</t>
  </si>
  <si>
    <t>St Paul</t>
  </si>
  <si>
    <t>Jeremy McDole</t>
  </si>
  <si>
    <t>http://www.killedbypolice.net/victims/150872.jpg</t>
  </si>
  <si>
    <t>Wilmington</t>
  </si>
  <si>
    <t>DE</t>
  </si>
  <si>
    <t>Wilmington Police Department</t>
  </si>
  <si>
    <t>Keith Harrison McLeod</t>
  </si>
  <si>
    <t>http://www.killedbypolice.net/victims/150873.jpg</t>
  </si>
  <si>
    <t>47 Main St</t>
  </si>
  <si>
    <t>Reisterstown</t>
  </si>
  <si>
    <t>Baltimore County Police Department</t>
  </si>
  <si>
    <t>Joseph Khammash</t>
  </si>
  <si>
    <t>http://www.killedbypolice.net/victims/150874.jpg</t>
  </si>
  <si>
    <t>1300 Eldorado Pkwy</t>
  </si>
  <si>
    <t>McKinney</t>
  </si>
  <si>
    <t>McKinney Police Department</t>
  </si>
  <si>
    <t>Robert Richard Berger</t>
  </si>
  <si>
    <t>http://www.killedbypolice.net/victims/150871.jpg</t>
  </si>
  <si>
    <t>Salt Lake City</t>
  </si>
  <si>
    <t>UT</t>
  </si>
  <si>
    <t>Salt Lake City Police Department</t>
  </si>
  <si>
    <t>Kenneth Ray Pinter Jr.</t>
  </si>
  <si>
    <t>Troutdale</t>
  </si>
  <si>
    <t>VA</t>
  </si>
  <si>
    <t>Grayson County Sheriff's Office</t>
  </si>
  <si>
    <t>Dante Osborne</t>
  </si>
  <si>
    <t>http://www.killedbypolice.net/victims/150867.jpg</t>
  </si>
  <si>
    <t>San Leandro</t>
  </si>
  <si>
    <t>Alameda County Sheriff's Office</t>
  </si>
  <si>
    <t>Tim Kyle Torngren</t>
  </si>
  <si>
    <t>6700 Odessa Way</t>
  </si>
  <si>
    <t>Anderson</t>
  </si>
  <si>
    <t>Shasta County Sheriff's Office</t>
  </si>
  <si>
    <t>Dominic Fuller</t>
  </si>
  <si>
    <t>http://www.killedbypolice.net/victims/150866.jpg</t>
  </si>
  <si>
    <t>Auburndale</t>
  </si>
  <si>
    <t>Polk County Sheriff's Office</t>
  </si>
  <si>
    <t>Timothy Wagner</t>
  </si>
  <si>
    <t>http://www.killedbypolice.net/victims/150865.jpg</t>
  </si>
  <si>
    <t>Barberville</t>
  </si>
  <si>
    <t>Volusia County Sheriff's Office</t>
  </si>
  <si>
    <t>Joel Dixon Smith</t>
  </si>
  <si>
    <t>http://www.killedbypolice.net/victims/150868.jpg</t>
  </si>
  <si>
    <t>148 W John Sims Pkwy</t>
  </si>
  <si>
    <t>Niceville</t>
  </si>
  <si>
    <t>Okaloosa County Sheriff's Office</t>
  </si>
  <si>
    <t>Donaven Kyle Anderson</t>
  </si>
  <si>
    <t>North Las Vegas</t>
  </si>
  <si>
    <t>NV</t>
  </si>
  <si>
    <t>North Las Vegas Police Department</t>
  </si>
  <si>
    <t>Tina Money</t>
  </si>
  <si>
    <t>http://www.killedbypolice.net/victims/150863.jpg</t>
  </si>
  <si>
    <t>2040 California Ave</t>
  </si>
  <si>
    <t>Sand City</t>
  </si>
  <si>
    <t>Sand City Police Department</t>
  </si>
  <si>
    <t>William Spaits</t>
  </si>
  <si>
    <t>http://www.killedbypolice.net/victims/150862.jpg</t>
  </si>
  <si>
    <t>Garrett Steven McKinney</t>
  </si>
  <si>
    <t>http://www.killedbypolice.net/victims/150864.jpg</t>
  </si>
  <si>
    <t>Paris</t>
  </si>
  <si>
    <t>Texas Department of Public Safety</t>
  </si>
  <si>
    <t>Gerardo Ramirez</t>
  </si>
  <si>
    <t>http://www.killedbypolice.net/victims/150861.jpg</t>
  </si>
  <si>
    <t>10830 Stone Canyon Rd</t>
  </si>
  <si>
    <t>Dallas</t>
  </si>
  <si>
    <t>Dallas Police Department</t>
  </si>
  <si>
    <t>Jerrald Wright</t>
  </si>
  <si>
    <t>http://www.killedbypolice.net/victims/150857.jpg</t>
  </si>
  <si>
    <t>Shelbyville</t>
  </si>
  <si>
    <t>Kimberly Bedford</t>
  </si>
  <si>
    <t>Benton Harbor</t>
  </si>
  <si>
    <t>Benton Charter Township Police Department</t>
  </si>
  <si>
    <t>Michael Thomas Pierce</t>
  </si>
  <si>
    <t>http://www.killedbypolice.net/victims/150858.jpg</t>
  </si>
  <si>
    <t>1700 Park Rd</t>
  </si>
  <si>
    <t>Harrisonburg</t>
  </si>
  <si>
    <t>Harrisonburg Police Department</t>
  </si>
  <si>
    <t>Lucien Rolland</t>
  </si>
  <si>
    <t>http://www.killedbypolice.net/victims/150855.jpg</t>
  </si>
  <si>
    <t>Cecil D. Lacy</t>
  </si>
  <si>
    <t>http://www.killedbypolice.net/victims/150856.jpg</t>
  </si>
  <si>
    <t>Marysville</t>
  </si>
  <si>
    <t>WA</t>
  </si>
  <si>
    <t>Tulalip Tribal Police Department, Snohomish County Sheriff's Office</t>
  </si>
  <si>
    <t>Scott Beech</t>
  </si>
  <si>
    <t>http://www.killedbypolice.net/victims/150854.jpg</t>
  </si>
  <si>
    <t>Nicholas Alan Johnson</t>
  </si>
  <si>
    <t>http://www.killedbypolice.net/victims/150853.jpg</t>
  </si>
  <si>
    <t>San Bernardino</t>
  </si>
  <si>
    <t>San Bernardino County Sheriff's Department</t>
  </si>
  <si>
    <t>Lawrence R. Price</t>
  </si>
  <si>
    <t>http://www.killedbypolice.net/victims/150851.jpg</t>
  </si>
  <si>
    <t>Dug Hill Rd</t>
  </si>
  <si>
    <t>Brodhead</t>
  </si>
  <si>
    <t>KY</t>
  </si>
  <si>
    <t>Gregory Herrell</t>
  </si>
  <si>
    <t>http://www.killedbypolice.net/victims/150852.jpg</t>
  </si>
  <si>
    <t>Cumberland Furnace</t>
  </si>
  <si>
    <t>TN</t>
  </si>
  <si>
    <t>Dickson County Sheriff's Office</t>
  </si>
  <si>
    <t>Carlos Wilhelm</t>
  </si>
  <si>
    <t>Mark R. Gary</t>
  </si>
  <si>
    <t>http://www.killedbypolice.net/victims/150848.jpg</t>
  </si>
  <si>
    <t>Shock Rd and Dale Rd</t>
  </si>
  <si>
    <t>Beaverton</t>
  </si>
  <si>
    <t>Tristan Vent</t>
  </si>
  <si>
    <t>http://www.killedbypolice.net/victims/150844.jpg</t>
  </si>
  <si>
    <t>Davis Rd and Wilbur St</t>
  </si>
  <si>
    <t>Fairbanks</t>
  </si>
  <si>
    <t>AK</t>
  </si>
  <si>
    <t>Fairbanks Police Department, Alaska State Troopers</t>
  </si>
  <si>
    <t>Anthony Flores Camacho</t>
  </si>
  <si>
    <t>http://www.killedbypolice.net/victims/150847.jpg</t>
  </si>
  <si>
    <t>N Cactus Ave and W Rosewood St</t>
  </si>
  <si>
    <t>Jorge Suarez-Ruiz</t>
  </si>
  <si>
    <t>16020 SW 42nd Terrace</t>
  </si>
  <si>
    <t>Bobby R. Anderson</t>
  </si>
  <si>
    <t>http://www.killedbypolice.net/victims/150845.jpg</t>
  </si>
  <si>
    <t>Alexandria</t>
  </si>
  <si>
    <t>Rory Lynn Gunderman</t>
  </si>
  <si>
    <t>http://www.killedbypolice.net/victims/150846.jpg</t>
  </si>
  <si>
    <t>Canam Hwy and Rochford Rd</t>
  </si>
  <si>
    <t>Lead</t>
  </si>
  <si>
    <t>Lawrence County Sheriff's Office</t>
  </si>
  <si>
    <t>David Todd Powell Jr.</t>
  </si>
  <si>
    <t>http://www.killedbypolice.net/victims/150839.jpg</t>
  </si>
  <si>
    <t>700 Armory Rd</t>
  </si>
  <si>
    <t>Barstow</t>
  </si>
  <si>
    <t>Barstow Police Department</t>
  </si>
  <si>
    <t>Florencio Chaidez</t>
  </si>
  <si>
    <t>Parthenia St and Cedros Ave</t>
  </si>
  <si>
    <t>Phillip Pfleghardt</t>
  </si>
  <si>
    <t>Broomfield</t>
  </si>
  <si>
    <t>Broomfield Police Department</t>
  </si>
  <si>
    <t>Tyrone Bass</t>
  </si>
  <si>
    <t>http://www.killedbypolice.net/victims/150840.jpg</t>
  </si>
  <si>
    <t>Chalmette</t>
  </si>
  <si>
    <t>William Chau</t>
  </si>
  <si>
    <t>El Monte</t>
  </si>
  <si>
    <t>El Monte Police Department</t>
  </si>
  <si>
    <t>Vincent E. Scott</t>
  </si>
  <si>
    <t>http://www.killedbypolice.net/victims/150837.jpg</t>
  </si>
  <si>
    <t>KS</t>
  </si>
  <si>
    <t>Carl Devince King</t>
  </si>
  <si>
    <t>http://www.killedbypolice.net/victims/150836.jpg</t>
  </si>
  <si>
    <t>NC</t>
  </si>
  <si>
    <t>Martin Francis Hammen</t>
  </si>
  <si>
    <t>1000 Hwy 22</t>
  </si>
  <si>
    <t>Wellman</t>
  </si>
  <si>
    <t>IA</t>
  </si>
  <si>
    <t>Joseph Thomas Johnson-Shanks</t>
  </si>
  <si>
    <t>http://www.killedbypolice.net/victims/150835.jpg</t>
  </si>
  <si>
    <t>I-24</t>
  </si>
  <si>
    <t>Eddyville</t>
  </si>
  <si>
    <t>Jeffrey Eugene Brooks</t>
  </si>
  <si>
    <t>http://www.killedbypolice.net/victims/150834.jpg</t>
  </si>
  <si>
    <t>Clute</t>
  </si>
  <si>
    <t>Smith County Sheriff's Office, tactical team</t>
  </si>
  <si>
    <t>Vehicle</t>
  </si>
  <si>
    <t>Derek Davis</t>
  </si>
  <si>
    <t>http://www.killedbypolice.net/victims/150831.jpg</t>
  </si>
  <si>
    <t>Sylacauga</t>
  </si>
  <si>
    <t>Talladega County Sheriff's Office</t>
  </si>
  <si>
    <t>Jack Allen Stevens</t>
  </si>
  <si>
    <t>http://www.killedbypolice.net/victims/150832.jpg</t>
  </si>
  <si>
    <t>8105 Ball Camp Pike</t>
  </si>
  <si>
    <t>Knoxville</t>
  </si>
  <si>
    <t>Jordn Miller</t>
  </si>
  <si>
    <t>http://www.killedbypolice.net/victims/150830.jpg</t>
  </si>
  <si>
    <t>Springfield Township Police Department</t>
  </si>
  <si>
    <t>Taser</t>
  </si>
  <si>
    <t>Clifford Butler Jr.</t>
  </si>
  <si>
    <t>18533 Old US Hwy 81</t>
  </si>
  <si>
    <t>Pond Creek</t>
  </si>
  <si>
    <t>OK</t>
  </si>
  <si>
    <t>73766</t>
  </si>
  <si>
    <t>Grant</t>
  </si>
  <si>
    <t>Grant County Sheriff's Office</t>
  </si>
  <si>
    <t>Clifford Butler, Jr., of McAlester, was fatally shot after police say he pulled a gun and shot an officer at least once after authorities tried to subdue him.</t>
  </si>
  <si>
    <t>Pending investigation</t>
  </si>
  <si>
    <t>No Known Charges</t>
  </si>
  <si>
    <t>http://www.tulsaworld.com/homepagelatest/mcalester-man-dead-after-police-return-fire-outside-of-grant/article_54e6568b-2712-5129-a37e-a35e117bb0e6.html</t>
  </si>
  <si>
    <t>Chester</t>
  </si>
  <si>
    <t>PA</t>
  </si>
  <si>
    <t>Federal Bureau of Investigation</t>
  </si>
  <si>
    <t>Austin Wilburly Reid</t>
  </si>
  <si>
    <t>http://www.killedbypolice.net/victims/150827.jpg</t>
  </si>
  <si>
    <t>Lodi</t>
  </si>
  <si>
    <t>Lodi Police Department</t>
  </si>
  <si>
    <t>Eddie Tapia</t>
  </si>
  <si>
    <t>http://www.killedbypolice.net/victims/150828.jpg</t>
  </si>
  <si>
    <t>9243 Lakewood Blvd</t>
  </si>
  <si>
    <t>Downey</t>
  </si>
  <si>
    <t>Los Angeles County Sheriff's Department</t>
  </si>
  <si>
    <t>Fontana</t>
  </si>
  <si>
    <t>Fontana Police Department</t>
  </si>
  <si>
    <t>Brandon Foy</t>
  </si>
  <si>
    <t>http://www.killedbypolice.net/victims/150826.jpg</t>
  </si>
  <si>
    <t>46254</t>
  </si>
  <si>
    <t>Marion</t>
  </si>
  <si>
    <t>Tian Ma</t>
  </si>
  <si>
    <t>Potsdam</t>
  </si>
  <si>
    <t>NY</t>
  </si>
  <si>
    <t>Potsdam Police Department</t>
  </si>
  <si>
    <t>Vincent Perdue</t>
  </si>
  <si>
    <t>http://www.killedbypolice.net/victims/150823.jpg</t>
  </si>
  <si>
    <t>North Pole</t>
  </si>
  <si>
    <t>Alaska State Troopers and Fairbanks Police Department</t>
  </si>
  <si>
    <t>Tyrone L. Holman</t>
  </si>
  <si>
    <t>Kansas City</t>
  </si>
  <si>
    <t>MO</t>
  </si>
  <si>
    <t>64130</t>
  </si>
  <si>
    <t>Jackson</t>
  </si>
  <si>
    <t>Kansas City Police Department</t>
  </si>
  <si>
    <t>Dustin M. Kuik</t>
  </si>
  <si>
    <t>http://www.killedbypolice.net/victims/150821.jpg</t>
  </si>
  <si>
    <t>Green Bay</t>
  </si>
  <si>
    <t>WI</t>
  </si>
  <si>
    <t>Ashwaubenon Department of Public Safety</t>
  </si>
  <si>
    <t>Casimero Carlos Casillas</t>
  </si>
  <si>
    <t>http://www.killedbypolice.net/victims/150819.jpg</t>
  </si>
  <si>
    <t>Clovis Ave and E Lansing Way</t>
  </si>
  <si>
    <t>Wayne Wheeler</t>
  </si>
  <si>
    <t>Detroit</t>
  </si>
  <si>
    <t>Lathrup Village Police Department</t>
  </si>
  <si>
    <t>William Verrett</t>
  </si>
  <si>
    <t>http://www.killedbypolice.net/victims/150818.jpg</t>
  </si>
  <si>
    <t>1209 E Park St</t>
  </si>
  <si>
    <t>Hobbs</t>
  </si>
  <si>
    <t>Hobbs Police Department</t>
  </si>
  <si>
    <t>Gunner Wayne Page</t>
  </si>
  <si>
    <t>http://www.killedbypolice.net/victims/2753.jpg</t>
  </si>
  <si>
    <t>Carlos Yero</t>
  </si>
  <si>
    <t>http://www.killedbypolice.net/victims/150813.jpg</t>
  </si>
  <si>
    <t>2482 SW 3rd St</t>
  </si>
  <si>
    <t>Miami Police Department</t>
  </si>
  <si>
    <t>Mohamed Ibrahim</t>
  </si>
  <si>
    <t>http://www.killedbypolice.net/victims/150815.jpg</t>
  </si>
  <si>
    <t>Shreveport</t>
  </si>
  <si>
    <t>Shreveport Police Department</t>
  </si>
  <si>
    <t>Patrick D. Ennis</t>
  </si>
  <si>
    <t>http://www.killedbypolice.net/victims/150817.jpg</t>
  </si>
  <si>
    <t>NE</t>
  </si>
  <si>
    <t>Ben A. C de Baca</t>
  </si>
  <si>
    <t>http://www.killedbypolice.net/victims/150816.jpg</t>
  </si>
  <si>
    <t>460 Nm Highway 528</t>
  </si>
  <si>
    <t>Bernalillo</t>
  </si>
  <si>
    <t>Richard Cosentino</t>
  </si>
  <si>
    <t>http://www.killedbypolice.net/victims/150814.jpg</t>
  </si>
  <si>
    <t>243 Smith St</t>
  </si>
  <si>
    <t>Providence</t>
  </si>
  <si>
    <t>RI</t>
  </si>
  <si>
    <t>Providence Police Department</t>
  </si>
  <si>
    <t>India Kager</t>
  </si>
  <si>
    <t>http://www.killedbypolice.net/victims/150811.jpg</t>
  </si>
  <si>
    <t>Lynnhaven Pkwy and Salem Rd</t>
  </si>
  <si>
    <t>Virginia Beach</t>
  </si>
  <si>
    <t>23456</t>
  </si>
  <si>
    <t>Virginia Beach Police Department</t>
  </si>
  <si>
    <t>Angelo Delano Perry</t>
  </si>
  <si>
    <t>http://www.killedbypolice.net/victims/150812.jpg</t>
  </si>
  <si>
    <t>Luis Guillen Wenceslao</t>
  </si>
  <si>
    <t>http://www.killedbypolice.net/victims/150809.jpg</t>
  </si>
  <si>
    <t>400 E Philadelphia St</t>
  </si>
  <si>
    <t>Ontario</t>
  </si>
  <si>
    <t>Ontario Police Department</t>
  </si>
  <si>
    <t>Manuel Ornelas</t>
  </si>
  <si>
    <t>http://www.killedbypolice.net/victims/150810.jpg</t>
  </si>
  <si>
    <t>Long Beach</t>
  </si>
  <si>
    <t>Long Beach Police Department</t>
  </si>
  <si>
    <t>Lavante Biggs</t>
  </si>
  <si>
    <t>http://www.killedbypolice.net/victims/150808.jpg</t>
  </si>
  <si>
    <t>Durham</t>
  </si>
  <si>
    <t>27703</t>
  </si>
  <si>
    <t>Durham Police Department</t>
  </si>
  <si>
    <t>Richard Keith Kelley</t>
  </si>
  <si>
    <t>http://www.killedbypolice.net/victims/150804.jpg</t>
  </si>
  <si>
    <t>Hoopa Tribal Police</t>
  </si>
  <si>
    <t>Jose Ramon Damiani</t>
  </si>
  <si>
    <t>http://www.killedbypolice.net/victims/150803.jpg</t>
  </si>
  <si>
    <t>French Lick</t>
  </si>
  <si>
    <t>West Baden Police Department, Indiana State Police</t>
  </si>
  <si>
    <t>Harrison Lambert</t>
  </si>
  <si>
    <t>http://www.killedbypolice.net/victims/150806.jpg</t>
  </si>
  <si>
    <t>Merrimack</t>
  </si>
  <si>
    <t>NH</t>
  </si>
  <si>
    <t>Merrimack Police Department</t>
  </si>
  <si>
    <t>Lucas Markus</t>
  </si>
  <si>
    <t>http://www.killedbypolice.net/victims/150807.jpg</t>
  </si>
  <si>
    <t>Girardville</t>
  </si>
  <si>
    <t>Pennsylvania State Police</t>
  </si>
  <si>
    <t>Curtis James Meyer</t>
  </si>
  <si>
    <t>http://www.killedbypolice.net/victims/150802.jpg</t>
  </si>
  <si>
    <t>Mitchell</t>
  </si>
  <si>
    <t>Mitchell Police Division</t>
  </si>
  <si>
    <t>Sully Lanier</t>
  </si>
  <si>
    <t>http://www.killedbypolice.net/victims/150805.jpg</t>
  </si>
  <si>
    <t>100 Couch Ct</t>
  </si>
  <si>
    <t>Springtown</t>
  </si>
  <si>
    <t>Parker County Sheriff's Department</t>
  </si>
  <si>
    <t>Arthur Edward Bates</t>
  </si>
  <si>
    <t>Prescott</t>
  </si>
  <si>
    <t>Tyree Crawford</t>
  </si>
  <si>
    <t>https://www.rlsmedia.com/sites/default/files/styles/hd/public/field/image/image_6333.jpg?itok=WohtQH7s</t>
  </si>
  <si>
    <t>Hawthorne Ave and Demarest St</t>
  </si>
  <si>
    <t>Newark</t>
  </si>
  <si>
    <t>07112</t>
  </si>
  <si>
    <t>Essex</t>
  </si>
  <si>
    <t>Newark Police Department</t>
  </si>
  <si>
    <t>http://www.nj.com/essex/index.ssf/2015/09/carjacking_leads_to_death_of_juvenile_suspect_poli.html</t>
  </si>
  <si>
    <t>Michael Todd Evans</t>
  </si>
  <si>
    <t>http://www.killedbypolice.net/victims/150799.jpg</t>
  </si>
  <si>
    <t>1804 W Feather Ave</t>
  </si>
  <si>
    <t>Artesia</t>
  </si>
  <si>
    <t>Carlsbad Police Department, Lake Arthur Police Department</t>
  </si>
  <si>
    <t>Charles Robert Shaw</t>
  </si>
  <si>
    <t>Twinsburg</t>
  </si>
  <si>
    <t>Twinsburg Police Department</t>
  </si>
  <si>
    <t>Devin Brian Dial</t>
  </si>
  <si>
    <t>http://www.killedbypolice.net/victims/150794.jpg</t>
  </si>
  <si>
    <t>Cedric Maurice Williams</t>
  </si>
  <si>
    <t>http://www.killedbypolice.net/victims/150796.jpg</t>
  </si>
  <si>
    <t>Bluefield</t>
  </si>
  <si>
    <t>24701</t>
  </si>
  <si>
    <t>Bluefield Police Department</t>
  </si>
  <si>
    <t>James Carney III</t>
  </si>
  <si>
    <t>Cincinnati</t>
  </si>
  <si>
    <t>Hamilton</t>
  </si>
  <si>
    <t>Cincinnati Police Department</t>
  </si>
  <si>
    <t>Justified</t>
  </si>
  <si>
    <t>William Rippley</t>
  </si>
  <si>
    <t>Loveland</t>
  </si>
  <si>
    <t>Larimer</t>
  </si>
  <si>
    <t>Loveland Police Department</t>
  </si>
  <si>
    <t>Yes</t>
  </si>
  <si>
    <t>Nicholas Dyksma</t>
  </si>
  <si>
    <t>27 GA-208</t>
  </si>
  <si>
    <t>Harris</t>
  </si>
  <si>
    <t>Harris County Sheriff's Office</t>
  </si>
  <si>
    <t>David Leon</t>
  </si>
  <si>
    <t>Tucson</t>
  </si>
  <si>
    <t>Pima</t>
  </si>
  <si>
    <t>Tucson Police Department</t>
  </si>
  <si>
    <t>Shawn Hall</t>
  </si>
  <si>
    <t>Cushing</t>
  </si>
  <si>
    <t>Payne</t>
  </si>
  <si>
    <t>Cushing Police Department</t>
  </si>
  <si>
    <t>James Brown III</t>
  </si>
  <si>
    <t>Losee Rd and E Sharp Cir</t>
  </si>
  <si>
    <t>Clark</t>
  </si>
  <si>
    <t>Las Vegas Metropolitan Police Department</t>
  </si>
  <si>
    <t>Rafael Cruz Jr.</t>
  </si>
  <si>
    <t>Roger Albrecht</t>
  </si>
  <si>
    <t>6500 Spring Branch St</t>
  </si>
  <si>
    <t>San Antonio</t>
  </si>
  <si>
    <t>Bexar</t>
  </si>
  <si>
    <t>San Antonio Police Department</t>
  </si>
  <si>
    <t>Felix Kumi</t>
  </si>
  <si>
    <t>Beekman Ave and Tecumseh Ave</t>
  </si>
  <si>
    <t>Mount Vernon</t>
  </si>
  <si>
    <t>Westchester</t>
  </si>
  <si>
    <t>New York Police Department</t>
  </si>
  <si>
    <t>Gilbert Flores</t>
  </si>
  <si>
    <t>24400 Walnut Pass</t>
  </si>
  <si>
    <t>Bexar County Sheriff's Office</t>
  </si>
  <si>
    <t>Robert Hober</t>
  </si>
  <si>
    <t>5644 Mission Center Rd</t>
  </si>
  <si>
    <t>William Evans</t>
  </si>
  <si>
    <t>Spanish Fork</t>
  </si>
  <si>
    <t>Utah</t>
  </si>
  <si>
    <t>Spanish Fork Police Department</t>
  </si>
  <si>
    <t>Suicidal</t>
  </si>
  <si>
    <t>Devin Dial</t>
  </si>
  <si>
    <t>1775 W Loop 281</t>
  </si>
  <si>
    <t>Longview</t>
  </si>
  <si>
    <t>Gregg</t>
  </si>
  <si>
    <t>Longview Police Department</t>
  </si>
  <si>
    <t>Bertrand Davis</t>
  </si>
  <si>
    <t>Wendell Hall</t>
  </si>
  <si>
    <t>Wyandotte</t>
  </si>
  <si>
    <t>Manuel Soriano</t>
  </si>
  <si>
    <t>Yonas Alehegne</t>
  </si>
  <si>
    <t>Oakland</t>
  </si>
  <si>
    <t>Alameda</t>
  </si>
  <si>
    <t>Oakland Police Department</t>
  </si>
  <si>
    <t>Michael Tyree</t>
  </si>
  <si>
    <t>150 W Hedding St</t>
  </si>
  <si>
    <t>San Jose</t>
  </si>
  <si>
    <t>Santa Clara</t>
  </si>
  <si>
    <t>yes</t>
  </si>
  <si>
    <t>Kyle Lambrose</t>
  </si>
  <si>
    <t>West Jordan</t>
  </si>
  <si>
    <t>Salt Lake</t>
  </si>
  <si>
    <t>West Jordan Police Department</t>
  </si>
  <si>
    <t>Suicide</t>
  </si>
  <si>
    <t>Brent Pickard</t>
  </si>
  <si>
    <t>Hixson</t>
  </si>
  <si>
    <t>Hamilton County Sheriff's Office</t>
  </si>
  <si>
    <t>Steven Dodd</t>
  </si>
  <si>
    <t>Indian Lake Blvd and Vietnam Veterans Blvd</t>
  </si>
  <si>
    <t>Hendersonville</t>
  </si>
  <si>
    <t>Sumner</t>
  </si>
  <si>
    <t>Hendersonville Police Department</t>
  </si>
  <si>
    <t>Curtis Smith</t>
  </si>
  <si>
    <t>201 W Market St</t>
  </si>
  <si>
    <t>West Chester</t>
  </si>
  <si>
    <t>Chester County Sheriff's Office</t>
  </si>
  <si>
    <t>Smith entered the county's justice center carrying a knife and slashed a deputy sheriff in the lobby before another deputy shot him, police said. Authorities said the injured deputy was in stable condition. In March, Smith was arrested after climbing a White House wall, according to court documents.</t>
  </si>
  <si>
    <t>Marvin Maestas</t>
  </si>
  <si>
    <t>Santa Fe</t>
  </si>
  <si>
    <t>Marvin Arroliga</t>
  </si>
  <si>
    <t>Shane Randolph</t>
  </si>
  <si>
    <t>W McDowell Rd and N 35th Ave</t>
  </si>
  <si>
    <t>Phoenix</t>
  </si>
  <si>
    <t>Maricopa</t>
  </si>
  <si>
    <t>Phoenix Police Department</t>
  </si>
  <si>
    <t>Todd Tomlinson</t>
  </si>
  <si>
    <t>11008 Smoken Gun Lane</t>
  </si>
  <si>
    <t>Thonotosassa</t>
  </si>
  <si>
    <t>Hillsborough</t>
  </si>
  <si>
    <t>Hillsborough County Sheriff's Office</t>
  </si>
  <si>
    <t>Julian Hoffman</t>
  </si>
  <si>
    <t>47 Cherrywood Cir</t>
  </si>
  <si>
    <t>Brick</t>
  </si>
  <si>
    <t>Ocean</t>
  </si>
  <si>
    <t>Brick Township Police Department</t>
  </si>
  <si>
    <t>Bobby Norris</t>
  </si>
  <si>
    <t>Archdale</t>
  </si>
  <si>
    <t>Guilford</t>
  </si>
  <si>
    <t>Archdale Police Department</t>
  </si>
  <si>
    <t>Richard Compo</t>
  </si>
  <si>
    <t>9400 Old Plank Rd</t>
  </si>
  <si>
    <t>Jacksonville</t>
  </si>
  <si>
    <t>Duval</t>
  </si>
  <si>
    <t>Jacksonville Sheriff's Office</t>
  </si>
  <si>
    <t>William Snider</t>
  </si>
  <si>
    <t>Las Vegas</t>
  </si>
  <si>
    <t>Christopher Tompkins</t>
  </si>
  <si>
    <t>County Road 1825</t>
  </si>
  <si>
    <t>Arab</t>
  </si>
  <si>
    <t>Marshall</t>
  </si>
  <si>
    <t>Arab Police Department</t>
  </si>
  <si>
    <t>Thaddeus Faison</t>
  </si>
  <si>
    <t>5th Ave &amp; 112th St</t>
  </si>
  <si>
    <t>Troy</t>
  </si>
  <si>
    <t>Rensselaer</t>
  </si>
  <si>
    <t>Troy Police Department</t>
  </si>
  <si>
    <t>David Schott Coleman</t>
  </si>
  <si>
    <t>County Road 293</t>
  </si>
  <si>
    <t>New Albany</t>
  </si>
  <si>
    <t>MS</t>
  </si>
  <si>
    <t>Union</t>
  </si>
  <si>
    <t>New Albany Police Department</t>
  </si>
  <si>
    <t>Adam Schneider</t>
  </si>
  <si>
    <t>Cohasset</t>
  </si>
  <si>
    <t>Itasca</t>
  </si>
  <si>
    <t>Kenneth Morgan</t>
  </si>
  <si>
    <t>King George</t>
  </si>
  <si>
    <t>King George County Sheriff's Office</t>
  </si>
  <si>
    <t>Jason Alderman</t>
  </si>
  <si>
    <t>Bakersfield</t>
  </si>
  <si>
    <t>Kern</t>
  </si>
  <si>
    <t>Bakersfield Police Department</t>
  </si>
  <si>
    <t>Nicholas Garner</t>
  </si>
  <si>
    <t>Wichita</t>
  </si>
  <si>
    <t>Sedgwick</t>
  </si>
  <si>
    <t>Wichita Police Department</t>
  </si>
  <si>
    <t>N 101st St &amp; E Bayview Dr</t>
  </si>
  <si>
    <t>Scottsdale</t>
  </si>
  <si>
    <t>Scottsdale Police Department, Phoenix Police Department</t>
  </si>
  <si>
    <t>Alan Rushton</t>
  </si>
  <si>
    <t>Wake Forest</t>
  </si>
  <si>
    <t>Wake</t>
  </si>
  <si>
    <t>Wake Forest Police Department</t>
  </si>
  <si>
    <t>Charles Hall</t>
  </si>
  <si>
    <t>North East</t>
  </si>
  <si>
    <t>Cecil</t>
  </si>
  <si>
    <t>Maryland State Police</t>
  </si>
  <si>
    <t>Timmy Walling</t>
  </si>
  <si>
    <t>Grapeview</t>
  </si>
  <si>
    <t>Mason</t>
  </si>
  <si>
    <t>Mason County Sheriff's Office</t>
  </si>
  <si>
    <t>Raul Herrera III</t>
  </si>
  <si>
    <t>Tyler Gerken</t>
  </si>
  <si>
    <t>Fair Ave</t>
  </si>
  <si>
    <t>Beverly</t>
  </si>
  <si>
    <t>Jeffory Tevis</t>
  </si>
  <si>
    <t>Tuscaloosa</t>
  </si>
  <si>
    <t>Tuscaloosa Police Department</t>
  </si>
  <si>
    <t>Mansur Ball-Bey</t>
  </si>
  <si>
    <t>1243 Walton Ave</t>
  </si>
  <si>
    <t>St. Louis</t>
  </si>
  <si>
    <t>According to early reports from police, officers were searching a residence when two suspects exited and one, Ball-Bey, pointed a weapon at officers. An autopsy later showed that Ball-Bey died from a gunshot wound in his back, police said. An attorney for Ball-Bey's family maintains that the teen was unarmed at the time of the shooting. Officials said the other man fled and remains at large, and that they recovered guns and cocaine from the scene. Ball-Bey's death sparked protests in St Louis.</t>
  </si>
  <si>
    <t>Deviere Ransom</t>
  </si>
  <si>
    <t>Jason Hale</t>
  </si>
  <si>
    <t>Hunters</t>
  </si>
  <si>
    <t>Stevens</t>
  </si>
  <si>
    <t>Stevens County Sheriff's Office</t>
  </si>
  <si>
    <t>Wade Baker</t>
  </si>
  <si>
    <t>2501 Stamey Cove Rd</t>
  </si>
  <si>
    <t>Waynesville</t>
  </si>
  <si>
    <t>Haywood</t>
  </si>
  <si>
    <t>Maggie Valley Police Department, Haywood County Sheriff's Office, and Waynesville Police Department</t>
  </si>
  <si>
    <t>Frederick Roy</t>
  </si>
  <si>
    <t>4204 Hoffman St</t>
  </si>
  <si>
    <t>Houston</t>
  </si>
  <si>
    <t>Houston Police Department</t>
  </si>
  <si>
    <t>http://www.chron.com/houston/article/Officer-involved-shooting-in-Northeast-Houston-6449062.php</t>
  </si>
  <si>
    <t>Richard Jacquez</t>
  </si>
  <si>
    <t>San Jose Police Department</t>
  </si>
  <si>
    <t>Matthew Castillo</t>
  </si>
  <si>
    <t>Jonathan Velarde</t>
  </si>
  <si>
    <t>711-045 Center Rd</t>
  </si>
  <si>
    <t>Susanville</t>
  </si>
  <si>
    <t>Lassen</t>
  </si>
  <si>
    <t>California Department of Corrections and Rehabilitation</t>
  </si>
  <si>
    <t>Steven Norton</t>
  </si>
  <si>
    <t>1100 Linda Joy Dr</t>
  </si>
  <si>
    <t>Kerrville</t>
  </si>
  <si>
    <t>Kerr</t>
  </si>
  <si>
    <t>Kerrville Police Department</t>
  </si>
  <si>
    <t>Oscar Ruiz</t>
  </si>
  <si>
    <t>Irwindale</t>
  </si>
  <si>
    <t>John Unsworth</t>
  </si>
  <si>
    <t>Hanover</t>
  </si>
  <si>
    <t>Jefferson County IN Sheriff's Office</t>
  </si>
  <si>
    <t>Benjamin Ashley</t>
  </si>
  <si>
    <t>4467 US-395</t>
  </si>
  <si>
    <t>Inyokern</t>
  </si>
  <si>
    <t>Kern County Sheriff's Office</t>
  </si>
  <si>
    <t>Jonathon Pope</t>
  </si>
  <si>
    <t>4136 Montez Dr</t>
  </si>
  <si>
    <t>Carson City</t>
  </si>
  <si>
    <t>Carson City Sheriff's Office</t>
  </si>
  <si>
    <t>Garland Tyree</t>
  </si>
  <si>
    <t>15 Destiny Ct</t>
  </si>
  <si>
    <t>New York</t>
  </si>
  <si>
    <t>Tyree, alleged to be a leader in the Bloods gang, was shot after emerging from the basement at his home firing at officers with an AK47 at the end of a six-hour standoff. The situation unfolded after US marshals arrived to serve Tyree a warrant for a parole violation. A firefighter responding after Tyree set off a smoke bomb was shot twice by the suspect in the lower body.</t>
  </si>
  <si>
    <t>http://www.silive.com/news/index.ssf/2015/08/im_coming_out_now_mama_suspect.html</t>
  </si>
  <si>
    <t>Asshams Manley</t>
  </si>
  <si>
    <t>District Heights</t>
  </si>
  <si>
    <t>Prince George's County Police Department</t>
  </si>
  <si>
    <t>Hector Gonzalez</t>
  </si>
  <si>
    <t>711 River Rd</t>
  </si>
  <si>
    <t>Boerne</t>
  </si>
  <si>
    <t>Kendall</t>
  </si>
  <si>
    <t>Boerne Police Department</t>
  </si>
  <si>
    <t>Christopher Anderson</t>
  </si>
  <si>
    <t>US-44 and US-6</t>
  </si>
  <si>
    <t>Bolton</t>
  </si>
  <si>
    <t>Tolland</t>
  </si>
  <si>
    <t>Connecticut State Police and Manchester Police Department</t>
  </si>
  <si>
    <t>Allen Baker III</t>
  </si>
  <si>
    <t>Sunnyvale</t>
  </si>
  <si>
    <t>Sunnyvale Police Department</t>
  </si>
  <si>
    <t>Nathaniel Wilks</t>
  </si>
  <si>
    <t>Reginald Marshall</t>
  </si>
  <si>
    <t>Toledo</t>
  </si>
  <si>
    <t>Lucas</t>
  </si>
  <si>
    <t>Toledo Police Department</t>
  </si>
  <si>
    <t>Redel Jones</t>
  </si>
  <si>
    <t>Marlton Avenue and Santo Tomas Drive</t>
  </si>
  <si>
    <t>The woman allegedly robbed a pharmacy at knifepoint and was killed nearby when officers attempted to detain her. Police said a Taser was delployed during the incident.</t>
  </si>
  <si>
    <t>Anthony Vallejo</t>
  </si>
  <si>
    <t>Hemet</t>
  </si>
  <si>
    <t>Riverside</t>
  </si>
  <si>
    <t>Riverside County Sheriff's Department</t>
  </si>
  <si>
    <t>William Smith</t>
  </si>
  <si>
    <t>Lea</t>
  </si>
  <si>
    <t>Casey Alarcon</t>
  </si>
  <si>
    <t>1000 Ruth Ave</t>
  </si>
  <si>
    <t>Sandpoint</t>
  </si>
  <si>
    <t>ID</t>
  </si>
  <si>
    <t>Bonner</t>
  </si>
  <si>
    <t>Bonner County Sheriff's Office and Sandpoint Police Department</t>
  </si>
  <si>
    <t>Roger Shull Jr</t>
  </si>
  <si>
    <t>3838 Andrews Hwy</t>
  </si>
  <si>
    <t>Odessa</t>
  </si>
  <si>
    <t>Ector</t>
  </si>
  <si>
    <t>Randall Hughes</t>
  </si>
  <si>
    <t>3801 N 19th St</t>
  </si>
  <si>
    <t>Waco</t>
  </si>
  <si>
    <t>McLennan</t>
  </si>
  <si>
    <t>Waco Police Department</t>
  </si>
  <si>
    <t>Andre Green</t>
  </si>
  <si>
    <t>Green was driving a vehicle that had been reported stolen in a carjacking earlier in the day. Police said Green rammed a police car and then tried to hit officers with the vehicle and was shot. According to police, Green then got out of the vehicle holding a handgun and collapsed.</t>
  </si>
  <si>
    <t>http://www.indystar.com/story/news/crime/2015/08/10/carjacking-suspect-dead-officer-involved-shooting/31398827/</t>
  </si>
  <si>
    <t>Richard Young</t>
  </si>
  <si>
    <t>Gilbert</t>
  </si>
  <si>
    <t>Gilbert Police Department</t>
  </si>
  <si>
    <t>Edrian Rivera</t>
  </si>
  <si>
    <t>San Antonio Ave and Packing Pl</t>
  </si>
  <si>
    <t>Robert Quinn</t>
  </si>
  <si>
    <t>Pittston</t>
  </si>
  <si>
    <t>Luzerne</t>
  </si>
  <si>
    <t>Pittston Police Department</t>
  </si>
  <si>
    <t>Eric Tompkins</t>
  </si>
  <si>
    <t>1000 Bailey St SE</t>
  </si>
  <si>
    <t>Ardmore</t>
  </si>
  <si>
    <t>Carter</t>
  </si>
  <si>
    <t>Ardmore Police Department</t>
  </si>
  <si>
    <t>Shamir Palmer</t>
  </si>
  <si>
    <t>Schultz Lake Rd</t>
  </si>
  <si>
    <t>Summerville</t>
  </si>
  <si>
    <t>Dorchester</t>
  </si>
  <si>
    <t>Dorchester County Sheriff's Office</t>
  </si>
  <si>
    <t>Tsombe Clark</t>
  </si>
  <si>
    <t>426 E Arlington Blvd</t>
  </si>
  <si>
    <t>Pitt</t>
  </si>
  <si>
    <t>Greenville Police Department</t>
  </si>
  <si>
    <t>http://wnct.com/2015/08/08/officer-involved-shooting-at-buffalo-wild-wings/</t>
  </si>
  <si>
    <t>Roderick Burr</t>
  </si>
  <si>
    <t>Brookshire</t>
  </si>
  <si>
    <t>Waller</t>
  </si>
  <si>
    <t>Brookshire Police Department</t>
  </si>
  <si>
    <t>Jeffery Wilkes</t>
  </si>
  <si>
    <t>Gastonia</t>
  </si>
  <si>
    <t>Gaston</t>
  </si>
  <si>
    <t>Gaston County Police Department</t>
  </si>
  <si>
    <t>Kevin McDaniel</t>
  </si>
  <si>
    <t>Spokane</t>
  </si>
  <si>
    <t>Spokane Police Department</t>
  </si>
  <si>
    <t>Derrick Hunt</t>
  </si>
  <si>
    <t>3200 E Artesia Blvd</t>
  </si>
  <si>
    <t>Christian Taylor</t>
  </si>
  <si>
    <t>Arlington</t>
  </si>
  <si>
    <t>Arlington Police Department</t>
  </si>
  <si>
    <t>Abel Correa</t>
  </si>
  <si>
    <t>6900 Berkshire Pl</t>
  </si>
  <si>
    <t>Matthew Russo</t>
  </si>
  <si>
    <t>38 Kelsey St</t>
  </si>
  <si>
    <t>Hartford</t>
  </si>
  <si>
    <t>Hartford Police Department</t>
  </si>
  <si>
    <t>Aaron Marchese</t>
  </si>
  <si>
    <t>Mark Keckhafer</t>
  </si>
  <si>
    <t>Superior</t>
  </si>
  <si>
    <t>MT</t>
  </si>
  <si>
    <t>Mineral</t>
  </si>
  <si>
    <t>Charles Bertram</t>
  </si>
  <si>
    <t>El Paso</t>
  </si>
  <si>
    <t>El Paso Police Department</t>
  </si>
  <si>
    <t>http://www.elpasotimes.com/news/ci_28636541/el-paso-police-id-man-killed-officer-involved</t>
  </si>
  <si>
    <t>Troy Robinson</t>
  </si>
  <si>
    <t>DeKalb</t>
  </si>
  <si>
    <t>DeKalb County Police Department</t>
  </si>
  <si>
    <t>Gustavo Ponce-Galon</t>
  </si>
  <si>
    <t>159 Seneca Trail</t>
  </si>
  <si>
    <t>Elsmere</t>
  </si>
  <si>
    <t>Kenton</t>
  </si>
  <si>
    <t>Elsmere Police Department</t>
  </si>
  <si>
    <t>Raymond Hodge</t>
  </si>
  <si>
    <t>Kahului</t>
  </si>
  <si>
    <t>HI</t>
  </si>
  <si>
    <t>Maui</t>
  </si>
  <si>
    <t>Maui Police Department</t>
  </si>
  <si>
    <t>Keshawn Hargrove</t>
  </si>
  <si>
    <t>Richmond</t>
  </si>
  <si>
    <t>Richmond Police Department</t>
  </si>
  <si>
    <t>Vincente Montano</t>
  </si>
  <si>
    <t>901 Bell Rd</t>
  </si>
  <si>
    <t>Antioch</t>
  </si>
  <si>
    <t>Davidson</t>
  </si>
  <si>
    <t>Metropolitan Nashville Police Department</t>
  </si>
  <si>
    <t>Jason Galaviz</t>
  </si>
  <si>
    <t>Tacoma</t>
  </si>
  <si>
    <t>Pierce</t>
  </si>
  <si>
    <t>Tacoma Police Department</t>
  </si>
  <si>
    <t>John Dieringer</t>
  </si>
  <si>
    <t>Greenfield</t>
  </si>
  <si>
    <t>Milwaukee</t>
  </si>
  <si>
    <t>Greenfield Police Department</t>
  </si>
  <si>
    <t>Tyler Dattilo</t>
  </si>
  <si>
    <t>Louisville</t>
  </si>
  <si>
    <t>Louisville Metro Police Department</t>
  </si>
  <si>
    <t>Daniel Avila</t>
  </si>
  <si>
    <t>Oceanside</t>
  </si>
  <si>
    <t>Antonio Clements</t>
  </si>
  <si>
    <t>Darius Graves</t>
  </si>
  <si>
    <t>Rantoul</t>
  </si>
  <si>
    <t>Champaign</t>
  </si>
  <si>
    <t>Champaign Police Department</t>
  </si>
  <si>
    <t>Joshua Malave</t>
  </si>
  <si>
    <t>2703 Horseshoe Pike</t>
  </si>
  <si>
    <t>Palmyra</t>
  </si>
  <si>
    <t>Lebanon</t>
  </si>
  <si>
    <t>South Londonderry Police Department</t>
  </si>
  <si>
    <t>Shawn Ruble</t>
  </si>
  <si>
    <t>Muncie</t>
  </si>
  <si>
    <t>Delaware</t>
  </si>
  <si>
    <t>Muncie Police Department</t>
  </si>
  <si>
    <t>Franklin Short</t>
  </si>
  <si>
    <t>Powhatan</t>
  </si>
  <si>
    <t>Virgil Reynolds</t>
  </si>
  <si>
    <t>Armando Serrano Jr</t>
  </si>
  <si>
    <t>N Stone Ave and W Prince Rd</t>
  </si>
  <si>
    <t>David Cook</t>
  </si>
  <si>
    <t>Nitro</t>
  </si>
  <si>
    <t>Kanawha</t>
  </si>
  <si>
    <t>Nitro Police Department</t>
  </si>
  <si>
    <t>Joseph Hutcheson</t>
  </si>
  <si>
    <t>111 W Commerce St.</t>
  </si>
  <si>
    <t>Dallas County Sheriff's Office</t>
  </si>
  <si>
    <t>Rafael Molina Jr.</t>
  </si>
  <si>
    <t>Interstate 25 and Avenida Cesar Chavez</t>
  </si>
  <si>
    <t>Albuquerque</t>
  </si>
  <si>
    <t>Molina reportedly shoved a woman into an SUV and drove away, prompting a car chase with police. When Molina was eventually stopped he got out of the car with a gun and failed to obey officers' commands, according to police. Police have not said if Molina fired the weapon before he was shot.</t>
  </si>
  <si>
    <t>Phillip Vallejo</t>
  </si>
  <si>
    <t>515 Houston St</t>
  </si>
  <si>
    <t>Fort Worth</t>
  </si>
  <si>
    <t>Fort Worth Police Department</t>
  </si>
  <si>
    <t>Vallejo was involved in an altercation with several other men and had a handgun, police said. Vallejo allegedly refused commands to drop the weapon, and the officer fired. Vallejo's wife, who was with him, said that he had no gun and that officers shot him in the back.</t>
  </si>
  <si>
    <t>Jeremy Hatch</t>
  </si>
  <si>
    <t>3000 North Main</t>
  </si>
  <si>
    <t>Roswell</t>
  </si>
  <si>
    <t>Chavez</t>
  </si>
  <si>
    <t>Roswell Police Department</t>
  </si>
  <si>
    <t>Hatch, along with two other men, was suspected of involvement in a narcotics deal. Hatch shot and injured an officer during an arrest operation and was then killed after multiple officers returned fire. The officer was released from hospital the same evening and the two other suspects were arrested.</t>
  </si>
  <si>
    <t>Mark Perkins</t>
  </si>
  <si>
    <t>Monument Peak Dr</t>
  </si>
  <si>
    <t>Gardnerville</t>
  </si>
  <si>
    <t>Douglas</t>
  </si>
  <si>
    <t>Douglas County Sherrif's Department</t>
  </si>
  <si>
    <t>Police said Perkins threatened to shoot his wife, a neighbor and a police officer and was armed with several weapons. According to authorities, Perkins came out of his come and confronted the Swat and crisis negotiation units which had assembled, pointing 'several' weapons at them.</t>
  </si>
  <si>
    <t>Filimoni Raiyawa</t>
  </si>
  <si>
    <t>Pacific Islander</t>
  </si>
  <si>
    <t>http://www.killedbypolice.net/victims/150675.jpg</t>
  </si>
  <si>
    <t>Lombard St and Pierce St</t>
  </si>
  <si>
    <t>San Francisco</t>
  </si>
  <si>
    <t>San Francisco Police Department</t>
  </si>
  <si>
    <t>Raiyawa allegedly fought with and injured two officers before becoming unresponsive. He had been pursued after fleeing a fight over a traffic collision.</t>
  </si>
  <si>
    <t>Wilmer Delgado-Soba</t>
  </si>
  <si>
    <t>3 May St</t>
  </si>
  <si>
    <t>Worcester</t>
  </si>
  <si>
    <t>Worcester Police Department</t>
  </si>
  <si>
    <t>Police were called to the scene of a car on its side with Kailing acting eradically, he allegedly charged them with a metal pipe, and a state trooper tried to stop him with a Taser. When the Taser was ineffective the trooper opened fire and killed Kailing.</t>
  </si>
  <si>
    <t>Ryan Daniel Vrenon</t>
  </si>
  <si>
    <t>Interstate 5 and Mott Airport Rd</t>
  </si>
  <si>
    <t>Mt. Shasta</t>
  </si>
  <si>
    <t>Siskiyou</t>
  </si>
  <si>
    <t>California Highway Patrol</t>
  </si>
  <si>
    <t>Vrenon was fatally shot after allegedly pulling a gun on officers who had pursued him for 16 miles on the highway. The 25-year-old, who came to a stop after driving over spike strips, had sped off after being approached by police as he sat stationary in his car on the highway shoulder.</t>
  </si>
  <si>
    <t>Lawrence Blackburn</t>
  </si>
  <si>
    <t>http://katc.images.worldnow.com/images/8422058_G.jpg</t>
  </si>
  <si>
    <t>4100 W Brookstown Dr</t>
  </si>
  <si>
    <t>East Baton Rouge Parish</t>
  </si>
  <si>
    <t>Buckley was allegedly drinking and acting suicidal when his wife called police for help. The 45-year-old was fatally shot by responding officers after pointing a BB gun at officers.</t>
  </si>
  <si>
    <t>Drug or alcohol use</t>
  </si>
  <si>
    <t>Oscar Lotari Romero</t>
  </si>
  <si>
    <t>12000 Rose Hedge Dr</t>
  </si>
  <si>
    <t>Whittier</t>
  </si>
  <si>
    <t>The man was allegedly drunk and damaging property when deputies arrived. Authorities say he grabbed a metal pipe and struck a deputy with it. In response, one deputy used a Taser on the man while another shot him.</t>
  </si>
  <si>
    <t>Michael Malone</t>
  </si>
  <si>
    <t>755 N Valley Dr</t>
  </si>
  <si>
    <t>Las Cruces</t>
  </si>
  <si>
    <t>Dona Ana</t>
  </si>
  <si>
    <t>Dona Ana County Sheriff's Office</t>
  </si>
  <si>
    <t>Police said they were attempting to arrest Malone at a motel on charges including aggravated assault with a deadly weapon. He tried to escape through a back window, according to authorities, and during a confrontation with officers outside he was shot and killed.</t>
  </si>
  <si>
    <t>Timothy Johnson</t>
  </si>
  <si>
    <t>601 AR-18</t>
  </si>
  <si>
    <t>Manila</t>
  </si>
  <si>
    <t>AR</t>
  </si>
  <si>
    <t>Mississippi</t>
  </si>
  <si>
    <t>Manila Police Department</t>
  </si>
  <si>
    <t>Johnson was allegedly brandishing a knife when officers arrived in response to a disturbance call. Authorities said Johnson advanced at the officer and refused commands to drop the weapon</t>
  </si>
  <si>
    <t>Allan White</t>
  </si>
  <si>
    <t>1400 Oak Tree Ln SE</t>
  </si>
  <si>
    <t>Cleveland</t>
  </si>
  <si>
    <t>Bradley</t>
  </si>
  <si>
    <t>Bradley County Sheriff's Department</t>
  </si>
  <si>
    <t>White was allegedly hiding behind a vehicle when deputy Tiffany Oakley returned to her home on her night shift lunch break, and ran out towards her and attacked. The sheriff said Oakley attempted to subdue White with a Taser before shooting him.</t>
  </si>
  <si>
    <t>Roger Barker</t>
  </si>
  <si>
    <t>346 N 200 E</t>
  </si>
  <si>
    <t>Logan</t>
  </si>
  <si>
    <t>Cache</t>
  </si>
  <si>
    <t>Logan Police Department</t>
  </si>
  <si>
    <t>Barker allegedly shot at police from his porch, prompting them to return fire. Officers were responding to reports that he was suicidal. Authorities said a Swat team and negotiators were deployed but Barker, armed with a handgun, continued threatening officers.</t>
  </si>
  <si>
    <t>Samuel Forgy</t>
  </si>
  <si>
    <t>1841 19th St</t>
  </si>
  <si>
    <t>Boulder</t>
  </si>
  <si>
    <t>Boulder Police Department</t>
  </si>
  <si>
    <t>Someone called 911 and said the man was high on LSD and had attacked residents with a knife. Officers said they found Forgy in a stairwell as they approached the apartment. One officer fired a Taser, but Forgy didn't stop, police said. Another officer shot him, hitting and killing Forgy.</t>
  </si>
  <si>
    <t>Jean Paul Falgout</t>
  </si>
  <si>
    <t>E Woodlawn Ranch Rd</t>
  </si>
  <si>
    <t>Houma</t>
  </si>
  <si>
    <t>Terrebonne</t>
  </si>
  <si>
    <t>Terrebonne Parish Sheriff's Office, Houma Police Department, Louisiana State Police</t>
  </si>
  <si>
    <t>Falgout, who was wanted for theft, was shot by eight officers after getting out of his vehicle and pointing a BB gun at them at the end of a car chase. Authorities described his actions as suicide by cop. The incident was captured by a surveillance camera.</t>
  </si>
  <si>
    <t>Timothy Milliken</t>
  </si>
  <si>
    <t>100 E Selwood Ln</t>
  </si>
  <si>
    <t>Lexington</t>
  </si>
  <si>
    <t>Lexington County Sheriff's Department</t>
  </si>
  <si>
    <t>Deputies were responding to a report that Milliken was attacking a family member. Authorities said the deputies feared for the family member's life and fired at the man.</t>
  </si>
  <si>
    <t>Unreported</t>
  </si>
  <si>
    <t>Khari Westly</t>
  </si>
  <si>
    <t>http://www.killedbypolice.net/victims/150663.jpg</t>
  </si>
  <si>
    <t>3200 Exposition Ave</t>
  </si>
  <si>
    <t>Caddo Parish</t>
  </si>
  <si>
    <t>Police said Westly was fatally shot after firing at officers who were responding to a report that a woman and one other person were being held hostage. Westly tried to escape on foot, according to authorities, but was captured and died from his injuries.</t>
  </si>
  <si>
    <t>Zachary Hammond</t>
  </si>
  <si>
    <t>1003 By Pass 123</t>
  </si>
  <si>
    <t>Seneca</t>
  </si>
  <si>
    <t>Oconee</t>
  </si>
  <si>
    <t>Seneca Police Department</t>
  </si>
  <si>
    <t>Earl Jackson</t>
  </si>
  <si>
    <t>I-75</t>
  </si>
  <si>
    <t>Micanopy</t>
  </si>
  <si>
    <t>Alachua</t>
  </si>
  <si>
    <t>Florida Highway Patrol</t>
  </si>
  <si>
    <t>Police said officers were checking on a car parked on the side of the interstate when Jackson shot at police and fled into the woods. A brief manhunt ensued and authorities say shots were exchanged before Jackson was killed.</t>
  </si>
  <si>
    <t>Brian Day</t>
  </si>
  <si>
    <t>http://www.killedbypolice.net/victims/150662.jpg</t>
  </si>
  <si>
    <t>3040 E Charleston Blvd</t>
  </si>
  <si>
    <t>After speaking to police who were investigating a beating of one of his neighbors, Day allegedly went into his apartment and returned with a pellet gun, which he used to shoot and injure one of the officers. Two officers returned fire and fatally wounded him, according to authorities.</t>
  </si>
  <si>
    <t>Roger Braswell</t>
  </si>
  <si>
    <t>998 Yates Spring Rd</t>
  </si>
  <si>
    <t>Brinson</t>
  </si>
  <si>
    <t>Decatur</t>
  </si>
  <si>
    <t>Decatur County Sheriff's Office</t>
  </si>
  <si>
    <t>Braswell emerged from his house firing at deputies who were responding to a report that he threatened to kill himself, according to authorities. The deputies were said to have spent hours trying to negotiate with Braswell.</t>
  </si>
  <si>
    <t>Christopher Olmstead</t>
  </si>
  <si>
    <t>Caffin Ave and Chartres St</t>
  </si>
  <si>
    <t>New Orleans</t>
  </si>
  <si>
    <t>New Orleans Parish</t>
  </si>
  <si>
    <t>New Orleans Police Department</t>
  </si>
  <si>
    <t>Witnesses said Olmstead was shot dead by police when he got out of his truck and charged towards officers after smashing into vehicles and buildings. One observer said he was carrying a gun but police did not immediately confirm this.</t>
  </si>
  <si>
    <t>Lee Gerston</t>
  </si>
  <si>
    <t>Mill St</t>
  </si>
  <si>
    <t>Pinnacle</t>
  </si>
  <si>
    <t>Stokes</t>
  </si>
  <si>
    <t>Stokes County Sheriff's Department</t>
  </si>
  <si>
    <t>After crashing his car near a closed bridge, Esty-Lennon was fatally shot by officers after allegedly lunging at them with a knife.</t>
  </si>
  <si>
    <t>Seth Raines</t>
  </si>
  <si>
    <t>12185 Ventura Blvd</t>
  </si>
  <si>
    <t>Studio City</t>
  </si>
  <si>
    <t>Police were called because of a man shooting a gun. Raines was fatally shot when he allegedly raised his weapon as police ordered him to drop it. He had fired shots into the air and the ground, according to authorities, prompting people to flee nearby shops and buildings.</t>
  </si>
  <si>
    <t>Dontae Martin</t>
  </si>
  <si>
    <t>318 Springbrook Blvd</t>
  </si>
  <si>
    <t>Dayton</t>
  </si>
  <si>
    <t>Montgomery</t>
  </si>
  <si>
    <t>Martin struck a parked vehicle while driving. When deputies arrived on the scene, authorities said, he got out of his vehicle displaying a handgun.</t>
  </si>
  <si>
    <t>Robin George Welsh</t>
  </si>
  <si>
    <t>Windover Drive and Kirkman Road</t>
  </si>
  <si>
    <t>Orlando</t>
  </si>
  <si>
    <t>Orange</t>
  </si>
  <si>
    <t>Orlando Police Department</t>
  </si>
  <si>
    <t>Tamala Satre</t>
  </si>
  <si>
    <t>Crystal Ln</t>
  </si>
  <si>
    <t>Meadow Vista</t>
  </si>
  <si>
    <t>Placer</t>
  </si>
  <si>
    <t>Placer County Sheriff's Office</t>
  </si>
  <si>
    <t>Satre allegedly pulled out a handgun when deputies asked her to show them her hands. Police had arrived after learning that a woman at the address had posted suicidal statements on Facebook.</t>
  </si>
  <si>
    <t>Derek Wolfsteller</t>
  </si>
  <si>
    <t>14420 N 28th Pl</t>
  </si>
  <si>
    <t>Plymouth</t>
  </si>
  <si>
    <t>Hennepin</t>
  </si>
  <si>
    <t>Plymouth Police Department</t>
  </si>
  <si>
    <t>Officers reported that they pursued Booth because he'd stolen a car, and when he fled on foot, he started shooting at officers. An officer returned fire, killing Booth. Booth had struggled with drug use in the past.</t>
  </si>
  <si>
    <t>Brian Stortzum</t>
  </si>
  <si>
    <t>650 W Flintlake Ct</t>
  </si>
  <si>
    <t>Myrtle Beach</t>
  </si>
  <si>
    <t>Horry</t>
  </si>
  <si>
    <t>Horry County Police Department</t>
  </si>
  <si>
    <t>Authorities said Stortzum was threatening a woman and three girls with a gun, and it's believed that one or more of the girls escaped the apartment where the incident ocurred to call 911. When police arrived he allegedly refused commands to drop the weapon, and was fatally shot.</t>
  </si>
  <si>
    <t>Robbie Edison</t>
  </si>
  <si>
    <t>Anderson Dairy Rd</t>
  </si>
  <si>
    <t>WY</t>
  </si>
  <si>
    <t>Converse</t>
  </si>
  <si>
    <t>Converse County Sheriff's Office</t>
  </si>
  <si>
    <t>Michael Sabbie</t>
  </si>
  <si>
    <t>105 N Front St</t>
  </si>
  <si>
    <t>Texarkana</t>
  </si>
  <si>
    <t>Miller</t>
  </si>
  <si>
    <t>Texarkana Police Department</t>
  </si>
  <si>
    <t>Pepper spray</t>
  </si>
  <si>
    <t>Andre Williams</t>
  </si>
  <si>
    <t>1300 NE 24th St</t>
  </si>
  <si>
    <t>Oklahoma City</t>
  </si>
  <si>
    <t>Oklahoma</t>
  </si>
  <si>
    <t>Oklahoma City Police Department</t>
  </si>
  <si>
    <t>Police came to a home to investigate a rape and found Williams hiding under a bed. He came out with a knife. They tasered him twice and then shot him.</t>
  </si>
  <si>
    <t>Devon Guisherd</t>
  </si>
  <si>
    <t>800 Riverside Dr</t>
  </si>
  <si>
    <t>Philadelphia</t>
  </si>
  <si>
    <t>Philadelphia Police Department</t>
  </si>
  <si>
    <t>Guisherd shot a police officer in the chest during an arrest attempt. The officer then returned fire, according to police. Guisherd was wanted over the murder of a 25-year-old woman in 2014. The officer was later taken to hospital.</t>
  </si>
  <si>
    <t>Samuel Primeno-Nunez</t>
  </si>
  <si>
    <t>1000 12th St</t>
  </si>
  <si>
    <t>Monroe</t>
  </si>
  <si>
    <t>Green</t>
  </si>
  <si>
    <t>Green County Sheriff's Department</t>
  </si>
  <si>
    <t>Monroe police say they received a call about a shooting at a trailer park. When they arrived they found one person fatally shot another person who had also been shot but was still alive. Police say the suspect was found about 15 minutes later on 12th Street. Police say he pointed a gun at him so they shot and killed him.</t>
  </si>
  <si>
    <t>James T. Bush</t>
  </si>
  <si>
    <t>Interstate 94 and Beaconsfield Road</t>
  </si>
  <si>
    <t>St. Clair Shores</t>
  </si>
  <si>
    <t>Macomb</t>
  </si>
  <si>
    <t>St. Clair Shores Police Department</t>
  </si>
  <si>
    <t>Wolfsteller was allegedly causing a disturbance inside an Arby's restaurant when police arrived. Authorities said Wolfsteller and an officer scuffled, and that at some point the officer removed her weapon and shot the man, reportedly in the head.</t>
  </si>
  <si>
    <t>Darren Wilson</t>
  </si>
  <si>
    <t>538 Spring Place Rd NE</t>
  </si>
  <si>
    <t>NE White</t>
  </si>
  <si>
    <t>Bartow</t>
  </si>
  <si>
    <t>Bartow County Sheriff's Office</t>
  </si>
  <si>
    <t>Darren Billy Wilson, 47, was shot after deputies responded to a call on Mansfield Road in White, according to the Georgia Bureau of Investigation. When the two deputies arrived, Wilson reportedly charged one of the deputies while wielding a large stick and yelling threats. The second deputy shot Wilson, killing him. Neither deputy was injured.</t>
  </si>
  <si>
    <t>Joseph Fuller</t>
  </si>
  <si>
    <t>1300 NE 50th Ct</t>
  </si>
  <si>
    <t>Oakland Park</t>
  </si>
  <si>
    <t>Broward</t>
  </si>
  <si>
    <t>Fuller allegedly refused to get out of his vehicle and reached for a firearm between his legs, according to police. He had been spotted earlier in the day and fled from a deputy. Fuller was wanted for parole violation and traffic violations, according to police.</t>
  </si>
  <si>
    <t>Jerrod Tyre</t>
  </si>
  <si>
    <t>114 Briar Branch Dr</t>
  </si>
  <si>
    <t>Jesup</t>
  </si>
  <si>
    <t>Wayne</t>
  </si>
  <si>
    <t>Wayne County Sheriffâ€™s Office</t>
  </si>
  <si>
    <t>Tyre had reportedly fired shots into a wooded area near a residence police had initially visited on a domestic disturbance call. Tyre refused to drop the firearm as officers approached and then advanced on them, according to police.</t>
  </si>
  <si>
    <t>Billy Ray Davis</t>
  </si>
  <si>
    <t>2700 Broadway Street</t>
  </si>
  <si>
    <t>Heriberto Godinez Jr.</t>
  </si>
  <si>
    <t>3000 West Pershing Road</t>
  </si>
  <si>
    <t>Juan Adolfo Ibarra</t>
  </si>
  <si>
    <t>800 Northwest Mall</t>
  </si>
  <si>
    <t>A deputy who was off-duty and working security at a club intervened when a fight broke out between club patrons. A spokesman for the sheriff's office said that the deputy told a man with a semi-automatic handgun to drop the weapon, and the man instead turned towards the deputy, prompting him to fire.</t>
  </si>
  <si>
    <t>Troy Francis</t>
  </si>
  <si>
    <t>4700 Baffin Ave</t>
  </si>
  <si>
    <t>Fremont</t>
  </si>
  <si>
    <t>Fremont Police Department</t>
  </si>
  <si>
    <t>Stephen Brown</t>
  </si>
  <si>
    <t>1600 S Choctaw Rd</t>
  </si>
  <si>
    <t>Choctaw</t>
  </si>
  <si>
    <t>Midwest City Police Department</t>
  </si>
  <si>
    <t>An off-duty officer checking on his in-laws said he arrived to see the front door kicked open. The officer said when he entered he saw Brown carrying a firearm, and the officer shot and killed him.</t>
  </si>
  <si>
    <t>Joshua LeBoeuf</t>
  </si>
  <si>
    <t>1800 County Line Rd</t>
  </si>
  <si>
    <t>Winnie</t>
  </si>
  <si>
    <t>Chambers</t>
  </si>
  <si>
    <t>Chambers County Sheriff's Office</t>
  </si>
  <si>
    <t>Deputies were attempting to arrest LeBoeuf for violating a protective order when he allegedly got free, ran to his truck and retrieved a firearm. Authorities say LeBoeuf fired shots at the officers before they returned fire.</t>
  </si>
  <si>
    <t>Samuel Dubose</t>
  </si>
  <si>
    <t>http://media4.s-nbcnews.com/j/newscms/2015_31/1147206/dubose_attny_7_ec25ac755379c9eee2448d08cee21186.nbcnews-fp-360-360.jpg</t>
  </si>
  <si>
    <t>Rice St and Valencia St</t>
  </si>
  <si>
    <t>University of Cincinnati Police Department</t>
  </si>
  <si>
    <t>Charged</t>
  </si>
  <si>
    <t>Charged with a crime</t>
  </si>
  <si>
    <t>Estevan Andrade Gomez</t>
  </si>
  <si>
    <t>909 W Visalia Rd</t>
  </si>
  <si>
    <t>Farmersville</t>
  </si>
  <si>
    <t>Tulare</t>
  </si>
  <si>
    <t>Farmersville Police Department</t>
  </si>
  <si>
    <t>Authorities said they were attempting to book Gomez into custody when he began fighting with police and reached for an officer's weapon. Police said an officer attempted to use a Taser on Gomez but it had no effect, prompting officers to fire.</t>
  </si>
  <si>
    <t>Kevin Snyder</t>
  </si>
  <si>
    <t>W Morten Ave and N 42nd Ln</t>
  </si>
  <si>
    <t>Snyder took his ex-girlfriend hostage at gunpoint, according to police. The woman escaped after officers arrived and Snyder fled, according to police. He was discovered in the neighborhood and exchanged gunfire with officers before he was shot.</t>
  </si>
  <si>
    <t>David Wheat Jr</t>
  </si>
  <si>
    <t>1225 W Prospect Rd</t>
  </si>
  <si>
    <t>Fort Collins</t>
  </si>
  <si>
    <t>Fort Collins Police Department</t>
  </si>
  <si>
    <t>Wheat was allegedly assaulting a woman and making suicidal threats. He was shot 11 times after brandishing a knife, according to police, who also said the woman had been stabbed but sustained non-life threatening injuries.</t>
  </si>
  <si>
    <t>Charles Dewey</t>
  </si>
  <si>
    <t>500 E 5th St</t>
  </si>
  <si>
    <t>Colby</t>
  </si>
  <si>
    <t>Thomas</t>
  </si>
  <si>
    <t>Colby Police Department, Thomas County Sheriff's Office</t>
  </si>
  <si>
    <t>Police were dispatched to respond to reports that Dewey was armed and involved in a domestic disturbance. Dewey allegedly left the home on foot, hiding under a nearby camping trailer and firing at officers with a pistol when he was located.</t>
  </si>
  <si>
    <t>Troy Goode</t>
  </si>
  <si>
    <t>3400 Goodman Rd</t>
  </si>
  <si>
    <t>Olive Branch</t>
  </si>
  <si>
    <t>DeSoto</t>
  </si>
  <si>
    <t>Southaven Police Department</t>
  </si>
  <si>
    <t>Shatley was drunk and officers were called to his home by neighbors. When Shatley tried to flee in his car, dragging an officer, the other officers shot him to death. Officers had been called to his residence 89 times since 2010.</t>
  </si>
  <si>
    <t>Albert Davis</t>
  </si>
  <si>
    <t>http://www.killedbypolice.net/victims/150630.jpg</t>
  </si>
  <si>
    <t>1637 Watauga Ave</t>
  </si>
  <si>
    <t>Davis was involved in a 'very, very violent' struggle with an officer, according to police. The officer had been called after reports of a fight in the area involving five men. The officer deployed his Taser and then fired his gun once, striking Davis. Davis later died in hospital.</t>
  </si>
  <si>
    <t>Darrius Stewart</t>
  </si>
  <si>
    <t>5799 Winchester Rd</t>
  </si>
  <si>
    <t>Memphis</t>
  </si>
  <si>
    <t>Shelby</t>
  </si>
  <si>
    <t>Memphis Police Department</t>
  </si>
  <si>
    <t>Stewart was traveling in a vehicle that was stopped by police for a broken headlight. Authorities said he was placed in the back of a patrol car, unhandcuffed, while officers ran his name. When the officers returned to handcuff Stewart and take him into custody for outstanding warrants, police said he became combative and struck an officer with the handcuffs. The officer then drew his gun and fired. Stewart's mother told local news that her son had never been arrested and that the warrants were for someone else with the same name.</t>
  </si>
  <si>
    <t>Jose Roman Rodriguez</t>
  </si>
  <si>
    <t>2400 W University Blvd</t>
  </si>
  <si>
    <t>Brownsville</t>
  </si>
  <si>
    <t>Cameron</t>
  </si>
  <si>
    <t>Brownsville Police Department</t>
  </si>
  <si>
    <t>It is believed that Rodriguez was a suspect in an aggravated robbery when he was fatally shot by an officer. However, police have not yet released any details on what led to the shooting.</t>
  </si>
  <si>
    <t>Jackie Brand</t>
  </si>
  <si>
    <t>4100 Needles Hwy</t>
  </si>
  <si>
    <t>Needles</t>
  </si>
  <si>
    <t>Brand was reported missing by friends who also said that he had made statements '"indicating he was intending to harm himself." Deputies said that when they located Brand he pointed a pistol at them.</t>
  </si>
  <si>
    <t>Samuel Smith</t>
  </si>
  <si>
    <t>NE 65th St</t>
  </si>
  <si>
    <t>Seattle</t>
  </si>
  <si>
    <t>King</t>
  </si>
  <si>
    <t>Seattle Police Department</t>
  </si>
  <si>
    <t>Smith had rammed a police crusier and was eventually located in a residential neighborhood, according to police. Dashboard camera footage shows Smith lunging at an officer before he was shot. A knife was recovered at the scene.</t>
  </si>
  <si>
    <t>Mohammad Abdulazeez</t>
  </si>
  <si>
    <t>4051 Amnicola Hwy</t>
  </si>
  <si>
    <t>Chattanooga</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</si>
  <si>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</si>
  <si>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</si>
  <si>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Anthony Smith</t>
  </si>
  <si>
    <t>25001 Sunnymead Blvd</t>
  </si>
  <si>
    <t>Moreno Valley</t>
  </si>
  <si>
    <t>Moreno Valley Police Department</t>
  </si>
  <si>
    <t>Graham, who was wanted by police as a person of interest in the disappearance of his six-month-old daughter, was fatally shot by deputies who tracked a car he stole in a nearby town.</t>
  </si>
  <si>
    <t>Edward Foster</t>
  </si>
  <si>
    <t>SW 328th St &amp; Redland Rd</t>
  </si>
  <si>
    <t>Homestead</t>
  </si>
  <si>
    <t>Police said officers were responding to a call about a man with a gun near a construction site when they encountered Foster. According to authorities, 'a gun was brandished' and the officer opened fire.</t>
  </si>
  <si>
    <t>Antonio Gonzalez</t>
  </si>
  <si>
    <t>8500 Glencoe Cir</t>
  </si>
  <si>
    <t>Wauwatosa</t>
  </si>
  <si>
    <t>Wauwatosa Police Department</t>
  </si>
  <si>
    <t>Police were called when Gonzalez, who is believed to have an unspecified mental illness, allegedly became violent and brandished a sword. Police say he refused commands to drop the sword and officers opened fire.</t>
  </si>
  <si>
    <t>Saige Hack</t>
  </si>
  <si>
    <t>200 Stinson Ave</t>
  </si>
  <si>
    <t>Cheyenne</t>
  </si>
  <si>
    <t>Laramie</t>
  </si>
  <si>
    <t>Cheyenne Police Department</t>
  </si>
  <si>
    <t>Hack apparently barricaded himself with a firearm when officers responded to a call about a domestic disturbance. Authorities said Hack fired from the home at officers.</t>
  </si>
  <si>
    <t>Pierre Gabriel Koellner</t>
  </si>
  <si>
    <t>US-84</t>
  </si>
  <si>
    <t>Opp</t>
  </si>
  <si>
    <t>Covington</t>
  </si>
  <si>
    <t>Opp Police Department</t>
  </si>
  <si>
    <t>Koellner reportedly fled from officers after a highway crash involving two vehicles. He pulled a firearm and fired at officers, according to police. He was then shot, and died days later in hospital.</t>
  </si>
  <si>
    <t>Patrick Pippin</t>
  </si>
  <si>
    <t>Interstate 35 and Hwy 69</t>
  </si>
  <si>
    <t>After a car chase, the armed suspect left his vehicle and gunfire ensued.</t>
  </si>
  <si>
    <t>Jason Davis</t>
  </si>
  <si>
    <t>600 Rose Ave</t>
  </si>
  <si>
    <t>Police were called because a man was brandishing a knife at a coffee shop. When they approached him, he refused to drop the knife and “began to aggressively approach the officers,” police said. After tasering him, they shot and killed him.</t>
  </si>
  <si>
    <t>Eugene Kailing</t>
  </si>
  <si>
    <t>M-115 &amp; 20 Mile Rd</t>
  </si>
  <si>
    <t>Osceola</t>
  </si>
  <si>
    <t>Bush, who riding a motorcycle, collided with a police car that was making a U-turn. Bush was taken to hospital but later died. St Clair Shores police chief Todd Woodcox called the incident a "tragic accident."</t>
  </si>
  <si>
    <t>Chacarion Avant</t>
  </si>
  <si>
    <t>2300 Taylor St</t>
  </si>
  <si>
    <t>Mascotte</t>
  </si>
  <si>
    <t>Lake</t>
  </si>
  <si>
    <t>Lake County Sheriff's Office</t>
  </si>
  <si>
    <t>Avant and another man participated in an attempted armed home robbery when police arrived. A deputy fatally shot Avant after he exited the house and pointed an assault rifle at deputies.</t>
  </si>
  <si>
    <t>Charles Crandall</t>
  </si>
  <si>
    <t>Phalanx Mills Herner Rd</t>
  </si>
  <si>
    <t>Southington</t>
  </si>
  <si>
    <t>Trumbull</t>
  </si>
  <si>
    <t>Trumbull County Sheriff's Office</t>
  </si>
  <si>
    <t>Police were called to Crandall's home on reports that he had shot at his neighbor, when they arrived they knocked on the door, and Crandall shot at them. Police returned fire, and Crandall was killed.</t>
  </si>
  <si>
    <t>Sandra Bland</t>
  </si>
  <si>
    <t>http://www.gannett-cdn.com/-mm-/7b3076882ddfdcd7d9948ca1aff4dcdba61d8df5/c=0-47-641-409&amp;r=x633&amp;c=1200x630/local/-/media/2015/07/17/USATODAY/USATODAY/635727141030450897-Sandra-Bland-071715.jpg</t>
  </si>
  <si>
    <t>701 Calvit St</t>
  </si>
  <si>
    <t>Hempstead</t>
  </si>
  <si>
    <t>Waller County Sheriff's Office</t>
  </si>
  <si>
    <t>Rafael Suazo</t>
  </si>
  <si>
    <t>54 Jefferson St</t>
  </si>
  <si>
    <t>Lynn</t>
  </si>
  <si>
    <t>Lynn Police Department</t>
  </si>
  <si>
    <t>Delgado-Soba was shocked with a Taser after allegedly charging at police in a grocery store. Officers had been called when Delgado-Soba entered the store shirtless and began knocking items of shelves, according to police, who stressed that he was given several verbal warnings.</t>
  </si>
  <si>
    <t>Bruce Stafford</t>
  </si>
  <si>
    <t>375 1st Ave E</t>
  </si>
  <si>
    <t>Henderson</t>
  </si>
  <si>
    <t>Henderson County Sheriff's Office</t>
  </si>
  <si>
    <t>Deputies opened fire on Gerston when he emerged wielding weapons from a house where he had staged a standoff for more than two hours, according to authorities. He allegedly fled there after robbing a nearby salon and stabbing another man.</t>
  </si>
  <si>
    <t>Matthew Graham</t>
  </si>
  <si>
    <t>Katherine St</t>
  </si>
  <si>
    <t>Dunsmuir</t>
  </si>
  <si>
    <t>Siskiyou County Sheriff's Office, Shasta County Sheriff's Office</t>
  </si>
  <si>
    <t>Deputies responding to calls that Maine was threatening family members found the 31-year-old perched atop a truck with a shotgun pointed toward his head. A deputy fatally fired at Maine after he re-positioned the gun.</t>
  </si>
  <si>
    <t>Nyal Brown</t>
  </si>
  <si>
    <t>3505 Sullivant Ave</t>
  </si>
  <si>
    <t>Columbus</t>
  </si>
  <si>
    <t>Franklin</t>
  </si>
  <si>
    <t>Franklin County Sheriff's Office</t>
  </si>
  <si>
    <t>A deputy racing to help with an arrest struck Brown's car on the driver side as the 77-year-old pulled out of the parking lot of a Columbus bank.</t>
  </si>
  <si>
    <t>Salvado Ellswood</t>
  </si>
  <si>
    <t>320 S State Road 7</t>
  </si>
  <si>
    <t>Plantation</t>
  </si>
  <si>
    <t>Plantation Police Department</t>
  </si>
  <si>
    <t>Ellswood, who was released from prison less than a month earlier and was homeless, allegedly struck an officer and shook off a Taser before an officer fatally shot the 36-year-old.</t>
  </si>
  <si>
    <t>Paul Castaway</t>
  </si>
  <si>
    <t>4501 W Kentucky Ave</t>
  </si>
  <si>
    <t>Denver</t>
  </si>
  <si>
    <t>Denver Police Department</t>
  </si>
  <si>
    <t>Castaway, who had battled schizophrenia for several years, was fatally shot by police after allegedly running at officers with a knife. Castaway's family disputed the official account, and several anti-police brutality rallies were held in the wake of the shooting.</t>
  </si>
  <si>
    <t>Frederick Farmer</t>
  </si>
  <si>
    <t>5130 E Ponce De Leon Ave</t>
  </si>
  <si>
    <t>Stone Mountain</t>
  </si>
  <si>
    <t>Dekalb</t>
  </si>
  <si>
    <t>Officers responding to 911 calls of gunfire at a Stone Mountain apartment complex arrived to Farmer openly shooting at responding officers. He struck one officer multiple times, who returned fire and killed the 20-year-old gunman.</t>
  </si>
  <si>
    <t>Matthew Watson</t>
  </si>
  <si>
    <t>116 Lathrop Ave</t>
  </si>
  <si>
    <t>River Forest</t>
  </si>
  <si>
    <t>River Forest Police Department</t>
  </si>
  <si>
    <t>Watson seriously injured his mother and killed her boyfriend with a shotgun before police arrived. Watson fired at officers and struck two before being gunned down.</t>
  </si>
  <si>
    <t>David Lepine</t>
  </si>
  <si>
    <t>9400 Claxton Dr</t>
  </si>
  <si>
    <t>Austin</t>
  </si>
  <si>
    <t>Travis</t>
  </si>
  <si>
    <t>Austin Police Department</t>
  </si>
  <si>
    <t>Austin police fatally shot Lepine after he ran from officers and appeared to try and pull out a weapon. A woman reported that the man was following her to her vehicle, and police noticed blood on Lepine's clothes when first contacting him.</t>
  </si>
  <si>
    <t>Christopher Benton</t>
  </si>
  <si>
    <t>1654 Kit Carson Ave</t>
  </si>
  <si>
    <t>Casper</t>
  </si>
  <si>
    <t>Natrona</t>
  </si>
  <si>
    <t>Casper Police Department</t>
  </si>
  <si>
    <t>Police serving a warrant for controlled substance trafficking and illegal possession of a firearm fatally shot Benton after the 27-year-old acted in a "hostile" fashion to responding officers.</t>
  </si>
  <si>
    <t>George Mann</t>
  </si>
  <si>
    <t>5100 Rock Pl Dr SW</t>
  </si>
  <si>
    <t>Gwinnett</t>
  </si>
  <si>
    <t>Gwinnett County Police Department</t>
  </si>
  <si>
    <t>Police were called to a Stone Mountain home after a caller said Mann was irate, possibly armed and locked in a garage. Officers attempted to negotiate with Mann before tasing him. The 35-year-old became unresponsive and pronounced dead at a nearby hospital.</t>
  </si>
  <si>
    <t>Billy Maine</t>
  </si>
  <si>
    <t>1600 9th Ave</t>
  </si>
  <si>
    <t>Olivehurst</t>
  </si>
  <si>
    <t>Yuba</t>
  </si>
  <si>
    <t>Yuba County Sheriff's Department</t>
  </si>
  <si>
    <t>Anthony Ware</t>
  </si>
  <si>
    <t>226 49th Ave E</t>
  </si>
  <si>
    <t>A 911 caller told police that Ware, who was wanted by police, was armed with a handgun. Ware fled from police into a wooded area before being pepper-sprayed and subdued. He later collapsed and was pronounced dead at a nearby hospital.</t>
  </si>
  <si>
    <t>Freddie Blue</t>
  </si>
  <si>
    <t>Brown Bridge Rd and Charleston Pl</t>
  </si>
  <si>
    <t>Newton</t>
  </si>
  <si>
    <t>Newton County Sheriff's Office</t>
  </si>
  <si>
    <t>Police attempting to get Blue and three companions out of a car during a confrontation shot and killed the 20-year-old after an officer observed one of the passengers pointing a gun out of the car window.</t>
  </si>
  <si>
    <t>James Todora</t>
  </si>
  <si>
    <t>5600 W Sahara Ave</t>
  </si>
  <si>
    <t>An officer stopped Todora due to a broken tail light on his car, and engaged in a fatal gunfight after Todora began shooting at officers. The 54-year-old was going through a messy domestic dispute, which police say aggravated the man.</t>
  </si>
  <si>
    <t>Martice Milliner</t>
  </si>
  <si>
    <t>7500 S Langley Ave</t>
  </si>
  <si>
    <t>Officers responding to reports of a man with a gun attempted to subdue Milliner by grabbing him by the collar as he walked away from police. The 27-year-old then attempted to pull out a handgun and was fatally shot by officers.</t>
  </si>
  <si>
    <t>Javon Hawkins</t>
  </si>
  <si>
    <t>Blenheim Park</t>
  </si>
  <si>
    <t>Jonathan Sanders was in a buggy pulled by horses in Stonewall when Officer Kevin Herrington pulled up behind him. The lights apparently spooked the horses and Sanders was trying to calm them when Herrington allegedly choked Sanders with a flashlight (some reports state that the PD denies the flashlight involvement).</t>
  </si>
  <si>
    <t xml:space="preserve">Pending investigation </t>
  </si>
  <si>
    <t>Neil Peter White</t>
  </si>
  <si>
    <t>800 S Sycamore Ave</t>
  </si>
  <si>
    <t>Officers responding to reports of vandalism fatally shot a 38-year-old man who was breaking storefront windows with a skateboard after struggling with officers and taking control of a police Taser.</t>
  </si>
  <si>
    <t>Robert Hammonds</t>
  </si>
  <si>
    <t>N 19th Ave and W Cactus Rd</t>
  </si>
  <si>
    <t>Officers reported that they pursued Hammonds because he was driving a stolen car, he then fled on foot. Officers claimed that Hammonds pointed a weapon at them while fleeing, and they shot him to death.</t>
  </si>
  <si>
    <t>Cyrus Hurtado</t>
  </si>
  <si>
    <t>15215 Fern Ave</t>
  </si>
  <si>
    <t>Boulder Creek</t>
  </si>
  <si>
    <t>Santa Cruz</t>
  </si>
  <si>
    <t>Santa Cruz County Sheriff's Office</t>
  </si>
  <si>
    <t>A deputy fatally shot Hurtado after the 17-year-old attacked his grandfather with a martial arts club and pointed a rifle at responding deputies. Family members said Hurtado suffered from mental illness.</t>
  </si>
  <si>
    <t>Rocco Palmisano III</t>
  </si>
  <si>
    <t>200 S and 800 W</t>
  </si>
  <si>
    <t>Parowan</t>
  </si>
  <si>
    <t>Iron</t>
  </si>
  <si>
    <t>Parowan Police Department</t>
  </si>
  <si>
    <t>An officer responding to a 911 call alleging Palmisano to be hitting a child fatally shot the 50-year-old after he pointed a handgun at the responding officer.</t>
  </si>
  <si>
    <t>Jonathan Sanders</t>
  </si>
  <si>
    <t>Stonewall</t>
  </si>
  <si>
    <t>Clarke</t>
  </si>
  <si>
    <t>Stonewall Police Department</t>
  </si>
  <si>
    <t>Troy Goode died after reportedly being hogtied and telling officers he was having trouble breathing due to asthma.</t>
  </si>
  <si>
    <t>Dallas Shatley</t>
  </si>
  <si>
    <t>Shatley Springs Rd</t>
  </si>
  <si>
    <t>Crumpler</t>
  </si>
  <si>
    <t>Ashe</t>
  </si>
  <si>
    <t>Ashe County Sheriff's Office</t>
  </si>
  <si>
    <t>Stafford was arrested by an officer after attempting to sell stolen puppies at a pet store. The 55-year-old became unconscious during a "brief physical altercation" while being booked into jail and died at a nearby hospital. Media reports don't state categorically whether he was booked, so this death may be outside of FatalEncounters dataset, which does not include individuals after they've been booked into jail.</t>
  </si>
  <si>
    <t>Michael Westrich</t>
  </si>
  <si>
    <t>10405 SW Denney Rd</t>
  </si>
  <si>
    <t>Beaverton Police Department</t>
  </si>
  <si>
    <t>Neighbors reported hearing a man screaming inside the home of Westrich saying that someone was trying to break his arm. When officers arrived they said that Westrich shot at them, and they returned fire killing him. Another man at the scene was not charged. Westrich had been arrested in the past for driving on intoxicants, and suffered from bipolar disorder and PTSD.</t>
  </si>
  <si>
    <t>Marcellus Burley</t>
  </si>
  <si>
    <t>1200 Tiny Tree Dr</t>
  </si>
  <si>
    <t>Missouri City</t>
  </si>
  <si>
    <t>Fort Bend</t>
  </si>
  <si>
    <t>Burley and two accomplices attempted to rob a woman at a nearby gas station before police picked up the trio's car and pursued them to a Missouri City home. Officers fatally shot Burley and wounded the two others after they refused to listen to police commands.</t>
  </si>
  <si>
    <t>Daniel Hernandez Jr</t>
  </si>
  <si>
    <t>5201 Monitor St</t>
  </si>
  <si>
    <t>Police responding to reports of shots fired in a Bakersfield park arrived to find Hernandez firing a gun at traveling cars, and fatally shot the 47-year-old.</t>
  </si>
  <si>
    <t>Jose Graciano Lopez</t>
  </si>
  <si>
    <t>4000 Lopez Dr</t>
  </si>
  <si>
    <t>Edinburg</t>
  </si>
  <si>
    <t>Hidalgo</t>
  </si>
  <si>
    <t>Hidalgo County Sheriff's Office</t>
  </si>
  <si>
    <t>The Sheriff's Office reported that Lopez had been involved in a domestic dispute, had barricaded himself in a home, and threatened to kill himself. They also reported that he shot at them, and then they shot him to death.</t>
  </si>
  <si>
    <t>Tremaine Dantzler</t>
  </si>
  <si>
    <t>405 N Pennsylvania Ave</t>
  </si>
  <si>
    <t>Atlantic City</t>
  </si>
  <si>
    <t>Atlantic</t>
  </si>
  <si>
    <t>Atlantic City Police Department</t>
  </si>
  <si>
    <t>An officer fatally shot Dantzler as the 37-year-old attempted to flee a grocery store after stabbing a clerk, and refused to drop a knife after officers told him to lower the weapon.</t>
  </si>
  <si>
    <t>Josh Blough</t>
  </si>
  <si>
    <t>1 Fontaine Dr</t>
  </si>
  <si>
    <t>Elizabethtown</t>
  </si>
  <si>
    <t>Hardin</t>
  </si>
  <si>
    <t>Elizabethtown Police Depatment</t>
  </si>
  <si>
    <t>Officers fatally shot Blough after pulling the 28-year-old over during a traffic stop and observed him acting erratic and aggressive while armed with a knife.</t>
  </si>
  <si>
    <t>Nicholas Booth</t>
  </si>
  <si>
    <t>4301 N River Blvd</t>
  </si>
  <si>
    <t>Sugar Creek</t>
  </si>
  <si>
    <t>Independence Police Department</t>
  </si>
  <si>
    <t xml:space="preserve">Officer shot victim after being threatened with a sword. </t>
  </si>
  <si>
    <t>Joe Cody</t>
  </si>
  <si>
    <t>1100 N Bishop Ave</t>
  </si>
  <si>
    <t>Cody, a registered sex offender who was wanted in violation of his parole, was fatally shot by officers moving to arrest the 59-year-old after he pulled out a handgun.</t>
  </si>
  <si>
    <t>Jason Hendley</t>
  </si>
  <si>
    <t>13000 Gavina Ave</t>
  </si>
  <si>
    <t>Officers arriving to reports of a possible assault found Hendley leaving a residence covered in blood and armed with a knife, and was fatally shot by officers after approaching them and refusing to comply with orders to stop. Hendley had earlier fatally stabbed his mother's fiancee during an argument.</t>
  </si>
  <si>
    <t>David Sarabia</t>
  </si>
  <si>
    <t>Green Sands Ave and Augusta Ln</t>
  </si>
  <si>
    <t>Atwater</t>
  </si>
  <si>
    <t>Merced</t>
  </si>
  <si>
    <t>Atwater Police Department</t>
  </si>
  <si>
    <t>Sarabia led police on a high-speed chase while holding a domestic violence victim captive in his vehicle. Officers fatally shot the 27-year-old after his vehicle got a flat tire, leading leading Sarabia to attempt an escape before lunging at an officer with a knife.</t>
  </si>
  <si>
    <t>Adam Dujanovic</t>
  </si>
  <si>
    <t>400 E Vine Ave</t>
  </si>
  <si>
    <t>Mesa</t>
  </si>
  <si>
    <t>Mesa Police Department</t>
  </si>
  <si>
    <t>Dujanovic was acting strangely -- going up and down a number of these streets, knocking on people's doors and trying to get into their homes. When officers arrived at the scene, they say Dujanovic spotted them and grabbed a large metal rod from the back of a truck parked on the street. Then he approached the officer. Police officials say the officer told the suspect to put the rod down. When Dujanovic didn't comply, the officer opened fire, killing him.</t>
  </si>
  <si>
    <t>John Berry</t>
  </si>
  <si>
    <t>5500 Adenmoor Ave</t>
  </si>
  <si>
    <t>Lakewood</t>
  </si>
  <si>
    <t>Berry was allegedly acting strangely and off his medication when arriving police found him sitting in a BMW outside his home. The 31-year-old accelerated the vehicle into a patrol car and shook off attempts to non-fatally subdue him, until deputies fatally fired at Berry when he trapped a deputy between vehicles.</t>
  </si>
  <si>
    <t>Hagen Esty-Lennon</t>
  </si>
  <si>
    <t>10 Wild Ammonoosuc Rd</t>
  </si>
  <si>
    <t>Bath</t>
  </si>
  <si>
    <t>Grafton</t>
  </si>
  <si>
    <t>Haverhill Police Department</t>
  </si>
  <si>
    <t>Camacho called 911 with a suicidal propose, when the cops showed up he pointed at them with a gun. They shot and killed him.</t>
  </si>
  <si>
    <t>Tyler Rogers</t>
  </si>
  <si>
    <t>3300 SW 47th St</t>
  </si>
  <si>
    <t>Police responding to an auto burglary call found Rogers attempting to break into a car with a weapon, and the 20-year-old then fled on foot. Officers searching the area found him in a nearby backyard, and fatally shot Rogers when he pulled a weapon on officers.</t>
  </si>
  <si>
    <t>Shane Gormley</t>
  </si>
  <si>
    <t>24th St and D Ave</t>
  </si>
  <si>
    <t>Ogden</t>
  </si>
  <si>
    <t>Weber</t>
  </si>
  <si>
    <t>Utah State Highway Patrol</t>
  </si>
  <si>
    <t>Gormley, who was wanted by police due to an earlier car robbery, led police on a vehicle and foot chase before troopers tased the 30-year-old as he attempted to carjack another motorist. Gormley had several drugs in his system and died in a hospital several days later.</t>
  </si>
  <si>
    <t>Johnny Ray Anderson</t>
  </si>
  <si>
    <t>12200 216th St</t>
  </si>
  <si>
    <t>Hawaiian Gardens</t>
  </si>
  <si>
    <t>Officers responding to reports of a prowler found Anderson and his wife, Kathleen, trespassing in a backyard and fatally shot the 42-year-old after he allegedly went for the officer's gun. Hundreds of people later protested the shooting.</t>
  </si>
  <si>
    <t>John Deming Jr</t>
  </si>
  <si>
    <t>4321 1st St</t>
  </si>
  <si>
    <t>Pleasanton</t>
  </si>
  <si>
    <t>Pleasanton Police Department</t>
  </si>
  <si>
    <t>Officers responding to a robbery call early Sunday found Deming, who then attacked officers and shrugged off Taser attacks before an officer fatally shot the 19-year-old. Deming's family denied several aspects of the police report.</t>
  </si>
  <si>
    <t>Neil Van De Putte</t>
  </si>
  <si>
    <t>Lacey Rd and Deerhead Lake Dr</t>
  </si>
  <si>
    <t>Lacey Township</t>
  </si>
  <si>
    <t>Lacey Township Police Department</t>
  </si>
  <si>
    <t>Michael Holt</t>
  </si>
  <si>
    <t>700 San Jacinto Blvd</t>
  </si>
  <si>
    <t>Holt, a regular in Austin's startup community, fatally shot an older cabdriver and sprayed gunfire around the lobby of an Austin hotel before officers fatally shot him.</t>
  </si>
  <si>
    <t>Richard Munroe</t>
  </si>
  <si>
    <t>10600 Golden Quail Dr</t>
  </si>
  <si>
    <t>A "distraught" and "suicidal" Munroe called 911 early Sunday morning, but responding police found and shot the 25-year-old after he pulled a realistic BB gun on officers asking him to comply.</t>
  </si>
  <si>
    <t>Maximo Rabasa</t>
  </si>
  <si>
    <t>SW 1st St and SW 22nd Ave</t>
  </si>
  <si>
    <t>Clad only in boxer shorts and armed with a knife, Rabasa attempted to attack an officer before other responding police attempted to subdue him with a Taser. Rabasa, who suffered from mental illness, died of cardiac arrest at a nearby hospital.</t>
  </si>
  <si>
    <t>Robert Malone</t>
  </si>
  <si>
    <t>4100 SE 51st St</t>
  </si>
  <si>
    <t>Officers responding to reports of an armed man walking around a parking lot of an apartment complex found and pursued Malone into the building, where two officers opened fire when the 42-year-old pointed the weapon at police.</t>
  </si>
  <si>
    <t>Kawanza Beaty</t>
  </si>
  <si>
    <t>18th St and Peterson Pl</t>
  </si>
  <si>
    <t>Newport News</t>
  </si>
  <si>
    <t>no county (http://www.ask.com/geography/county-newport-news-va-b09f1918d6a5a4eb)</t>
  </si>
  <si>
    <t>Newport News Police Department</t>
  </si>
  <si>
    <t>Beatty resisted arrest, and police shot him when he pointed at the officer with an unloaded gun.</t>
  </si>
  <si>
    <t>1340 W Warm Springs Rd</t>
  </si>
  <si>
    <t>Henderson Police Department</t>
  </si>
  <si>
    <t>Bauer allegedly shot at passersby through a window in a Henderson hotel when police arrived and fatally shot the 36-year-old after he fired at responding officers.</t>
  </si>
  <si>
    <t>Michael Gaby</t>
  </si>
  <si>
    <t>1850 S Cumberland St</t>
  </si>
  <si>
    <t>Morristown</t>
  </si>
  <si>
    <t>Hamblen</t>
  </si>
  <si>
    <t>Morristown Police Department</t>
  </si>
  <si>
    <t>Police attempted to arrest Gaby after a routine traffic stop revealed he was wanted on several warrants, and fatally shot the 37-year-old after he drew a firearm on an officer.</t>
  </si>
  <si>
    <t>Arturo Lopez</t>
  </si>
  <si>
    <t>3100 W Ave K4</t>
  </si>
  <si>
    <t>Lancaster</t>
  </si>
  <si>
    <t>Nguyen tried to stab a deputy when they were trying to calm him down, and the police shot him.</t>
  </si>
  <si>
    <t>Cesar A. Limon Juarez</t>
  </si>
  <si>
    <t>700 Nogales St</t>
  </si>
  <si>
    <t>Rowland Heights</t>
  </si>
  <si>
    <t>West Covina Police Department</t>
  </si>
  <si>
    <t>Christian Siqueiros</t>
  </si>
  <si>
    <t>10300 Ramona Ave</t>
  </si>
  <si>
    <t>Montclair</t>
  </si>
  <si>
    <t>Montclair Police Department</t>
  </si>
  <si>
    <t>Juarez stabbed his brother and ran away. When he was approached by the police, he tried to attack the police officer with the same kitchen knife. The officer shot and killed him</t>
  </si>
  <si>
    <t>Oscar Camacho</t>
  </si>
  <si>
    <t>Harrison Ave and Bergen Ave</t>
  </si>
  <si>
    <t>Camden</t>
  </si>
  <si>
    <t>Camden County Police Department</t>
  </si>
  <si>
    <t>Van De Putte was crossing against a traffic signal early Sunday morning when he was struck by a Lacey Township patrol car on its way to another call. Van De Putte died at a nearby hospital, and the officer was treated for minor injuries.</t>
  </si>
  <si>
    <t>Ton Nguyen</t>
  </si>
  <si>
    <t>14000 Via Fiesta</t>
  </si>
  <si>
    <t>Siqueiros' neighbor called the police because Siqueiros was acting weird. He had a heart attack while he was getting arrested.</t>
  </si>
  <si>
    <t>Victo Larosa III</t>
  </si>
  <si>
    <t>3500 Beach Blvd</t>
  </si>
  <si>
    <t>Brian Johnson</t>
  </si>
  <si>
    <t>53 Buck Rub Trail</t>
  </si>
  <si>
    <t>Meadow Bridge</t>
  </si>
  <si>
    <t>Fayette</t>
  </si>
  <si>
    <t>Authorities said they shot and killed a man who shot at officers with a crossbow. West Virginia State Police and authorities with the Summers County Sheriff’s Department responded to a domestic/hostage situation between a man and a woman on Buck Rub Trail. Police said they received information before arriving that the man may have had the intention of committing “suicide by cop.” Officials said Johnson  refused to drop the crossbow and fired his weapon at officers. Authorities said officers shot and killed Johnson. Authorities said the victim in the domestic/hostage situation did not suffer any significant injuries.</t>
  </si>
  <si>
    <t>Julian Joseph</t>
  </si>
  <si>
    <t>Meridian Ave and W 40th St</t>
  </si>
  <si>
    <t>Miami Beach</t>
  </si>
  <si>
    <t>Miami Beach Police Department</t>
  </si>
  <si>
    <t>Joseph was fatally shot by police in his apartment following a long standoff after the 40-year-old robbed a nearby bank.</t>
  </si>
  <si>
    <t>Douglas Buckley</t>
  </si>
  <si>
    <t>50 Thayer St</t>
  </si>
  <si>
    <t>Brockton</t>
  </si>
  <si>
    <t>Brockton Police Department</t>
  </si>
  <si>
    <t>An undercover police officer tried to detain Suazo after the 23-year-old was involved in a drug transaction. The officer fatally shot Suazo after he initially fled then tried to hit the officer with his vehicle.</t>
  </si>
  <si>
    <t>Kevin Judson</t>
  </si>
  <si>
    <t>OR-99W &amp; NE Doran Dr.</t>
  </si>
  <si>
    <t>McMinnville</t>
  </si>
  <si>
    <t>Yamhill</t>
  </si>
  <si>
    <t>Yamhill County Sheriff's Office</t>
  </si>
  <si>
    <t>A deputy fatally shot Judson after struggling with the 24-year-old after a traffic stop, and firing the fatal shots after Judson tried to drive off in the deputy's patrol car.</t>
  </si>
  <si>
    <t>Kaleb Landon</t>
  </si>
  <si>
    <t>Exit 71 of Interstate 5</t>
  </si>
  <si>
    <t>Wolf Creek</t>
  </si>
  <si>
    <t>Josephine</t>
  </si>
  <si>
    <t>Oregon State Police, ATF</t>
  </si>
  <si>
    <t>Police discovered a deceased woman's body in Landon's home in northern California, and fatally shot the 32-year-old after pursuing him over the Oregon border and after he collided with another vehicle.</t>
  </si>
  <si>
    <t>William Dale Jeffries</t>
  </si>
  <si>
    <t>Brown Avenue</t>
  </si>
  <si>
    <t>Weston</t>
  </si>
  <si>
    <t>Lewis</t>
  </si>
  <si>
    <t>Weston Police Department</t>
  </si>
  <si>
    <t>William Dale Jeffries died July 16, some 15 days after suffering a neck injury in a scuffle with officer Eric Riddle. Police were called to a disturbance involving Jeffries, who was believed to be drunk and reportedly urinating in public near a business. Riddle approached Jeffries and asked him to take a breathalyzer. Jeffries reportedly refused, leaned against the police cruiser, and resisted attempts by Riddle to subdue him. Jeffries hit his head on the cruiser, which was apparently when his neck snapped. Riddle was cleared.</t>
  </si>
  <si>
    <t>Clay Lickteig</t>
  </si>
  <si>
    <t>Woodland Hills Dr</t>
  </si>
  <si>
    <t>28734</t>
  </si>
  <si>
    <t>Macon</t>
  </si>
  <si>
    <t>Franklin Police Department</t>
  </si>
  <si>
    <t>Officers serving a felony arrest warrant confronted Lickteig in the driveway of his home, where the 52-year-old struggled with officers and fired at them before officers fatally shot him.</t>
  </si>
  <si>
    <t>Richard LaPort</t>
  </si>
  <si>
    <t>96 Fox Hill Rd</t>
  </si>
  <si>
    <t>Northville</t>
  </si>
  <si>
    <t>12134</t>
  </si>
  <si>
    <t>Fulton</t>
  </si>
  <si>
    <t>Saratoga County Sheriff's Office, New York State Police</t>
  </si>
  <si>
    <t>In what police described as "suicide by cop," LaPort fired at officers responding to a possible suicide call and was fatally struck by troopers and deputies returning fire.</t>
  </si>
  <si>
    <t>Alan Bellew</t>
  </si>
  <si>
    <t>1900 NE 122nd Ave</t>
  </si>
  <si>
    <t>Portland</t>
  </si>
  <si>
    <t>97230</t>
  </si>
  <si>
    <t>Multnomah</t>
  </si>
  <si>
    <t>Police responding to reports of a fight near a supermarket stopped and questioned Bellew in his car, along with two other passengers. Officers fatally shot the 29-year-old after he pulled a starter gun out of the car and pointed it at officers.</t>
  </si>
  <si>
    <t>William McIntire</t>
  </si>
  <si>
    <t>N 40th St and E Flora St</t>
  </si>
  <si>
    <t>Tampa</t>
  </si>
  <si>
    <t>33604</t>
  </si>
  <si>
    <t>Tampa Police Department</t>
  </si>
  <si>
    <t>An unmarked undercover police SUV ran over McIntire at a high rate of speed and drove away. McIntire was dead at the scene. Police were slow to identify the driver, said the driver hadn't known he'd hit anybody, and claimed "they do not yet know if he died because he was struck".</t>
  </si>
  <si>
    <t>Joshua Crittenden</t>
  </si>
  <si>
    <t>500 S Mission Ave</t>
  </si>
  <si>
    <t>Tahlequah</t>
  </si>
  <si>
    <t>74464</t>
  </si>
  <si>
    <t>Cherokee</t>
  </si>
  <si>
    <t>Tahlequah Police Department</t>
  </si>
  <si>
    <t>Crittenden and another man were shooting at each other when police arrived, leading the 35-year-old to seek refuge in an attic. An officer Crittenden after he emerged and pointed a gun at responding officers.</t>
  </si>
  <si>
    <t>Joe Cisneros</t>
  </si>
  <si>
    <t>7611 Marbach Rd</t>
  </si>
  <si>
    <t>78227</t>
  </si>
  <si>
    <t>Officers pulled Cisneros on a routine traffic stop, and pursued the 28-year-old as he ran from his vehicle. An undercover officer shot Cisneros after he dropped a firearm while climbing a fence and attempted to pick it up.</t>
  </si>
  <si>
    <t>Richard Matt</t>
  </si>
  <si>
    <t>Lake Titus</t>
  </si>
  <si>
    <t>Malone</t>
  </si>
  <si>
    <t>12953</t>
  </si>
  <si>
    <t>Federal law enforcement agents</t>
  </si>
  <si>
    <t>Matt and fellow prisoner David Sweat escaped from an upstate New York prison and led police on a month-long manhunt that ended when a Border Patrol agent shot the 49-year-old, who was armed with a stolen shotgun.</t>
  </si>
  <si>
    <t>Spencer McCain</t>
  </si>
  <si>
    <t>3000 Hunting Ridge Dr</t>
  </si>
  <si>
    <t>Owings Mills</t>
  </si>
  <si>
    <t>21117</t>
  </si>
  <si>
    <t>Baltimore</t>
  </si>
  <si>
    <t>Police responding to a domestic call early Thursday entered a condominium after hearing arguing inside and fatally shot McCain after he produced what officers believed was a gun. McCain was later found to be unarmed and died at a nearby hospital.</t>
  </si>
  <si>
    <t>Gilbert Vanderburgh</t>
  </si>
  <si>
    <t>49000 Hildreth Rd</t>
  </si>
  <si>
    <t>Friant</t>
  </si>
  <si>
    <t>93626</t>
  </si>
  <si>
    <t>Fresno County Sheriff's Office</t>
  </si>
  <si>
    <t>After a wanted fugitive entered Vanderburgh's house, deputies fatally shot the 61-year-old after he refused to let police in and pointed a rifle out of the window. Authorities were unable to find the fugitive directly after the shooting.</t>
  </si>
  <si>
    <t>Damien Harrell</t>
  </si>
  <si>
    <t>Fort Eustis Blvd</t>
  </si>
  <si>
    <t>Yorktown</t>
  </si>
  <si>
    <t>23692</t>
  </si>
  <si>
    <t>York</t>
  </si>
  <si>
    <t>York-Poquoson Sheriff's Office</t>
  </si>
  <si>
    <t>Deputies reported that they were investigating a traffic accident involving Harrell. Fifteen minutes into the interaction, he allegedly pulled a gun out, and was shot to death by a deputy. Harrell was wanted in a neighboring county, and deputies reported that he was giving them false names so as not to identify himself.</t>
  </si>
  <si>
    <t>Jonathan Wilson</t>
  </si>
  <si>
    <t>800 N Van Buren St</t>
  </si>
  <si>
    <t>Hutchinson</t>
  </si>
  <si>
    <t>67501</t>
  </si>
  <si>
    <t>Reno</t>
  </si>
  <si>
    <t>Hutchinson Police Department</t>
  </si>
  <si>
    <t>Officers reported that they attempted to calm Wilson but he threw a knife and other objects at them before they shot him to death. He was said to have confessed to a previous murder and holding children hostage by a neighbor.</t>
  </si>
  <si>
    <t>Joshua Dyer</t>
  </si>
  <si>
    <t>3800 N Tacoma Ave</t>
  </si>
  <si>
    <t>46218</t>
  </si>
  <si>
    <t>Officers approached a car in a parking lot driven by another man, with Dyer in the vehicle. Officers reported that the driver tried to back up quickly once officers brought the men to a stop in their car. Then, officers fired into the car, killing Dyer.</t>
  </si>
  <si>
    <t>Randall Waddel</t>
  </si>
  <si>
    <t>1811 S Main St</t>
  </si>
  <si>
    <t>Weatherford</t>
  </si>
  <si>
    <t>76086</t>
  </si>
  <si>
    <t>Parker</t>
  </si>
  <si>
    <t>Weatherford Police Department</t>
  </si>
  <si>
    <t>Witnesses called police when they saw Waddel acting strangely and after he had fallen down. Paramedics came to help Waddel, but he pulled a knife on them. He then walked inside of a business and had a confrontation with a man inside, at which point an officer shot him to death, and kicked the knife away. Waddel suffered from schizophrenia.</t>
  </si>
  <si>
    <t>Taylor Culbertson</t>
  </si>
  <si>
    <t>15556 Blondo St</t>
  </si>
  <si>
    <t>Omaha</t>
  </si>
  <si>
    <t>68116</t>
  </si>
  <si>
    <t>Douglas County Sheriff's Office</t>
  </si>
  <si>
    <t>Deputy Chad Miller ordered Culbertson out of his vehicle after Miller was told by a store clerk that Culbertson seemed to be intoxicated, authorities said. Culbertson pulled a gun, which went off as he and Miller struggled, they said. Deputy Wade Grim, who had arrived to back up Miller, then shot and killed Culbertson. Neither deputy was injured.</t>
  </si>
  <si>
    <t>Tyrone Harris</t>
  </si>
  <si>
    <t>700 Saw Mill Run Blvd</t>
  </si>
  <si>
    <t>Pittsburgh</t>
  </si>
  <si>
    <t>15226</t>
  </si>
  <si>
    <t>Allegheny</t>
  </si>
  <si>
    <t>Pittsburgh Police Department</t>
  </si>
  <si>
    <t>Officers said that Harris had fired shots in various parts of the city for about 30 minutes, before he was stuck in traffic in a stolen car and opened fire on police who were following him. They shot him to death in the subsequent shootout. Harris had past problems with drug use.</t>
  </si>
  <si>
    <t>Eduardo Reyes</t>
  </si>
  <si>
    <t>7500 Greenback Ln</t>
  </si>
  <si>
    <t>Citrus Heights</t>
  </si>
  <si>
    <t>95610</t>
  </si>
  <si>
    <t>Sacramento</t>
  </si>
  <si>
    <t>Citrus Heights Police Department</t>
  </si>
  <si>
    <t>Officers reported that they were responding to a domestic dispute, at which point Reyes allegedly fired at them from. Officers shot him to death. Reyes' wife was treated for having been allegedly beaten with Reyes' pistol.</t>
  </si>
  <si>
    <t>Tyler Wicks</t>
  </si>
  <si>
    <t>2600 Blueberry Cir</t>
  </si>
  <si>
    <t>Augusta</t>
  </si>
  <si>
    <t>30906</t>
  </si>
  <si>
    <t>Richmond County Sheriff's Office</t>
  </si>
  <si>
    <t>Deputies reported that they responded to a call about a man holding a gun, and when they ordered him several times to put the gun down, he refused and threatened to kill the deputies, and they shot him to death. He had been ordered in the past to attend drug counseling.</t>
  </si>
  <si>
    <t>James Barrett</t>
  </si>
  <si>
    <t>182 N River Ridge Rd</t>
  </si>
  <si>
    <t>Jonesville</t>
  </si>
  <si>
    <t>28642</t>
  </si>
  <si>
    <t>Yadkin</t>
  </si>
  <si>
    <t>Wilkes County Sheriff's Office</t>
  </si>
  <si>
    <t>Deputies exchanged gunfire with Barrett after responding to a domestic disturbance that led the 60-year-old to light a nearby house on fire. Barrett injured three people including a deputy before police fatally shot him.</t>
  </si>
  <si>
    <t>Allen Hernandez</t>
  </si>
  <si>
    <t>River Rd</t>
  </si>
  <si>
    <t>Homedale</t>
  </si>
  <si>
    <t>83628</t>
  </si>
  <si>
    <t>Owyhee</t>
  </si>
  <si>
    <t>Owyhee County Sheriff's Office, Homedale Police Department, Owyhee County Posse</t>
  </si>
  <si>
    <t>After getting in a late-night traffic accident and entering a stranger's home for help, Hernandez fought with residents and responding officers and deputies. The 23-year-old stopped breathing while being held down by police and later died at a nearby hospital.</t>
  </si>
  <si>
    <t>Adrian Simental</t>
  </si>
  <si>
    <t>400 E Lee Dr</t>
  </si>
  <si>
    <t>Azusa</t>
  </si>
  <si>
    <t>91702</t>
  </si>
  <si>
    <t>Azusa Police Department</t>
  </si>
  <si>
    <t>Police responding to calls that Simental was acting bizarrely fatally shot the 24-year-old after he broke into a neighbor's house and, according to witnesses, verbally challenged police and told them to "shoot me."</t>
  </si>
  <si>
    <t>Charles Marshall</t>
  </si>
  <si>
    <t>910 Cypress Station Dr</t>
  </si>
  <si>
    <t>77090</t>
  </si>
  <si>
    <t>Deputies responding to a 911 call from Marshall's wife found the 49-year-old man intoxicated and was fatally shot after attempting to attack responding deputies with a power drill.</t>
  </si>
  <si>
    <t>Alfontish Cockerham</t>
  </si>
  <si>
    <t>E 71st St &amp; S Merrill Ave</t>
  </si>
  <si>
    <t>60649</t>
  </si>
  <si>
    <t>Officers began pursuing Cockerham on foot after responding to a call of a person with a gun. An officer fatally fired at the 23-year-old after he allegedly pointed a gun at the officer, but witnesses disputed the official police account.</t>
  </si>
  <si>
    <t>Kevin Bajoie</t>
  </si>
  <si>
    <t>9908 Ave C</t>
  </si>
  <si>
    <t>70807</t>
  </si>
  <si>
    <t>East Baton Rogue</t>
  </si>
  <si>
    <t>Baton Rouge Police Department</t>
  </si>
  <si>
    <t>Police responding to calls of two men fighting tased Bajoie after the 31-year-old tried to attack officers. Bajoie later died at a nearby hospital, and a coroner report showed that he had multiple illicit drugs in his system.</t>
  </si>
  <si>
    <t>Zamiel Kivon Crawford</t>
  </si>
  <si>
    <t>33.238760, -87.154784</t>
  </si>
  <si>
    <t>McCalla</t>
  </si>
  <si>
    <t>35111</t>
  </si>
  <si>
    <t>Jefferson County Sheriff's Office</t>
  </si>
  <si>
    <t>Crawford, 21, led Leeds police and Jefferson County sheriff’s deputies on a pursuit that ended when he rammed a deputy's vehicle on Interstate 20/59 in Tuscaloosa County, according to a release from the Jefferson County Sheriff’s Office. He was tasered, but it's uncertain exactly what killed him.</t>
  </si>
  <si>
    <t>Trepierre Hummons</t>
  </si>
  <si>
    <t>5900 Roe St</t>
  </si>
  <si>
    <t>45227</t>
  </si>
  <si>
    <t>Hummons, who had earlier been charged with a sex crime, called 911 on himself and fatally shot the first responding officer before more officers arrived and fatally shot the 21-year-old.</t>
  </si>
  <si>
    <t>Santos Laboy</t>
  </si>
  <si>
    <t>Charles River Esplanade</t>
  </si>
  <si>
    <t>Boston</t>
  </si>
  <si>
    <t>02215</t>
  </si>
  <si>
    <t>Suffolk</t>
  </si>
  <si>
    <t>Police pursued Laboy after seeing the 44-year-old wielding a knife and discovering he was wanted on several warrants. Officers fatally fired at Laboy, who suffered from mental illness, after he made threatening motions at officers.</t>
  </si>
  <si>
    <t>Louis Atencio</t>
  </si>
  <si>
    <t>600 15th Ave Ct</t>
  </si>
  <si>
    <t>Greeley</t>
  </si>
  <si>
    <t>80631</t>
  </si>
  <si>
    <t>Weld</t>
  </si>
  <si>
    <t>Greeley Police Department</t>
  </si>
  <si>
    <t>Police fatally shot Atencio after responding to reports of a bloody woman calling for help, and fired at the 50-year-old after he refused to lower his gun.</t>
  </si>
  <si>
    <t>Oleg Tcherniak</t>
  </si>
  <si>
    <t>3150 Ocean Pkwy</t>
  </si>
  <si>
    <t>Brooklyn</t>
  </si>
  <si>
    <t>11235</t>
  </si>
  <si>
    <t>Kings</t>
  </si>
  <si>
    <t>After fighting with a store owner and 78-year-old woman, Tcherniak was fatally shot by a police officer after the 58-year-old slashed and injured the officer with a hunting knife.</t>
  </si>
  <si>
    <t>Joe Charboneau</t>
  </si>
  <si>
    <t>Fort Totten</t>
  </si>
  <si>
    <t>ND</t>
  </si>
  <si>
    <t>Benson</t>
  </si>
  <si>
    <t>Spirit Lake Tribal Police Department</t>
  </si>
  <si>
    <t>Tribal police fatally shot Charboneau on a Native American reservation during a late-night incident, though few details were released by police.</t>
  </si>
  <si>
    <t>Wendy Chappell</t>
  </si>
  <si>
    <t>exit 212 southbound exit ramp I-65</t>
  </si>
  <si>
    <t>Clanton</t>
  </si>
  <si>
    <t>35045</t>
  </si>
  <si>
    <t>Chilton</t>
  </si>
  <si>
    <t>Alabama Law Enforcement Agency</t>
  </si>
  <si>
    <t>A man approached an Alabama state trooper who was stationed at a construction zone on Interstate 65. He told the trooper that his wife threatened to shoot him. The trooper tried to stop the woman's vehicle, but she refused to pull over. Several other law enforcement agencies joined in. Authorities say the woman brandished a firearm during the chase. Officers put out "spike strips," and stopped her vehicle. After a brief standoff,troopers say the woman fired on officers, and officers returned fire. The woman was pronounced dead on the scene.</t>
  </si>
  <si>
    <t>Kenneth Lanphier</t>
  </si>
  <si>
    <t>Clearfork Dr</t>
  </si>
  <si>
    <t>88240</t>
  </si>
  <si>
    <t>Police responding to a call of a suicidal man fatally shot Lanphier after the 48-year-old opened fire with officers inside the home. A stray bullet fatally struck a neighbor, and police said evidence indicated that the bullet was fired from Lanphier's firearm.</t>
  </si>
  <si>
    <t>Jermaine Benjamin</t>
  </si>
  <si>
    <t>4300 35th Ave</t>
  </si>
  <si>
    <t>Vero Beach</t>
  </si>
  <si>
    <t>32967</t>
  </si>
  <si>
    <t>Indian River</t>
  </si>
  <si>
    <t>Indian River County Sheriff's Office</t>
  </si>
  <si>
    <t>Tamara Seidle</t>
  </si>
  <si>
    <t>1600 Sewall Ave</t>
  </si>
  <si>
    <t>Asbury Park</t>
  </si>
  <si>
    <t>07712</t>
  </si>
  <si>
    <t>Monmouth</t>
  </si>
  <si>
    <t>Neptune Police Department</t>
  </si>
  <si>
    <t>Seidle was fatally shot by her ex-husband and Neptune police officer Philip Seidle, who rammed his ex-wife's car with his own vehicle and fired several fatal rounds at her in front of the couple's 7-year-old daughter. Philip Seidle is being held on $2 million bail.</t>
  </si>
  <si>
    <t>Christopher DeLeon</t>
  </si>
  <si>
    <t>2800 S Mooney Blvd</t>
  </si>
  <si>
    <t>Visalia</t>
  </si>
  <si>
    <t>93277</t>
  </si>
  <si>
    <t>Visalia Police Department</t>
  </si>
  <si>
    <t>Officers responding to a trespassing and vandalism call fatally shot DeLeon after the 28-year-old left a vacant office building holding a weapon and refused to comply with police demands.</t>
  </si>
  <si>
    <t>Kris Jackson</t>
  </si>
  <si>
    <t>3800 Lake Tahoe Blvd</t>
  </si>
  <si>
    <t>South Lake Tahoe</t>
  </si>
  <si>
    <t>96150</t>
  </si>
  <si>
    <t>El Dorado</t>
  </si>
  <si>
    <t>South Lake Tahoe Police Department</t>
  </si>
  <si>
    <t>An officer responding to a domestic disturbance fatally fired at Jackson after seeing the 22-year-old man climb through a back window at a Lake Tahoe motel.</t>
  </si>
  <si>
    <t>Kenneth Garcia</t>
  </si>
  <si>
    <t>2800 Calariva Dr</t>
  </si>
  <si>
    <t>Stockton</t>
  </si>
  <si>
    <t>95204</t>
  </si>
  <si>
    <t>San Joaquin</t>
  </si>
  <si>
    <t>Stockton Police Department</t>
  </si>
  <si>
    <t>Garcia led police on a lengthy chase after officers observed him violently hitting his girlfriend, and attempted to hit responding police officers with his car before being fatally shot.</t>
  </si>
  <si>
    <t>Zane Terryn</t>
  </si>
  <si>
    <t>4455 King St</t>
  </si>
  <si>
    <t>Cocoa</t>
  </si>
  <si>
    <t>32926</t>
  </si>
  <si>
    <t>Brevard</t>
  </si>
  <si>
    <t>Terryn, who planned on traveling to Ohio with his 16-year-old girlfriend to commit suicide, was fatally shot after the 15-year-old opened fire and struck a responding trooper in the shoulder.</t>
  </si>
  <si>
    <t>Alan Craig Williams</t>
  </si>
  <si>
    <t>3598 Poinsett Hwy</t>
  </si>
  <si>
    <t>29609</t>
  </si>
  <si>
    <t>Williams was northbound in the left lane on Poinsett Highway when the Greenville County deputy was trying to pass another vehicle.  In the process, the patrol car struck the moped from behind.</t>
  </si>
  <si>
    <t>Deng Manyoun</t>
  </si>
  <si>
    <t>S 4th St &amp; W Oak St</t>
  </si>
  <si>
    <t>40203</t>
  </si>
  <si>
    <t>Jefferson</t>
  </si>
  <si>
    <t>Surveillance video shows Blanford getting out of a squad car and talking to Manyoun, who appeared unsteady on his feet. Manyoun then walks out of the picture and re-emerges with a flagpole that he then swings at Blanford. The video shows Blanford firing his weapon, leading to Manyoun's death.</t>
  </si>
  <si>
    <t>Candace Blakley</t>
  </si>
  <si>
    <t>1900 Coulter Dr</t>
  </si>
  <si>
    <t>North Augusta</t>
  </si>
  <si>
    <t>29841</t>
  </si>
  <si>
    <t>Aiken</t>
  </si>
  <si>
    <t>Aiken County Sheriff's Office</t>
  </si>
  <si>
    <t>Matthew Jordan Blakley, an Aiken County deputy, was fired after what the sheriff's office says was an accidental shooting. Matthew Blakley was arrested on Sunday, charged with accidentally shooting and killing his wife, Candace Blakley.</t>
  </si>
  <si>
    <t>Indicted</t>
  </si>
  <si>
    <t>James Payne Jr</t>
  </si>
  <si>
    <t>7360 Salem Ave</t>
  </si>
  <si>
    <t>Clayton</t>
  </si>
  <si>
    <t>45315</t>
  </si>
  <si>
    <t>Clayton Police Department</t>
  </si>
  <si>
    <t>Officer Mark Gau, 47, drove his police cruiser out of the driveway of a Shell gas station. His cruiser turned west onto Ohio 49 near Hoke Road and collided with Payne’s motorcycle, which was traveling east on Ohio 49. Payne died weeks later. Gau later quit his job, claiming PTSD, which is not an unusual reaction when an law enforcement officer kills someone accidentally or in the line of duty.</t>
  </si>
  <si>
    <t>James Boulware</t>
  </si>
  <si>
    <t>121 S I-45 Service Rd</t>
  </si>
  <si>
    <t>Hutchins</t>
  </si>
  <si>
    <t>75141</t>
  </si>
  <si>
    <t>Boulware unleashed a barrage of gunfire on Dallas' police headquarters and planted explosives outside the building -- failing to wound anyone -- leading to a chase to a suburb that ended with SWAT officers killing him in his parked van at a Jack in the Box parking lot.</t>
  </si>
  <si>
    <t>Anthony Hodge</t>
  </si>
  <si>
    <t>2500 St Marys Ave</t>
  </si>
  <si>
    <t>Fort Wayne</t>
  </si>
  <si>
    <t>46808</t>
  </si>
  <si>
    <t>Allen</t>
  </si>
  <si>
    <t>Fort Wayne Police Department</t>
  </si>
  <si>
    <t>Police were called because a man with a gun was causing a disturbance. Police said he answered the door armed with a handgun. He wouldn’t drop it and officers opened fire, killing him.</t>
  </si>
  <si>
    <t>Shelly Lynn Haendiges</t>
  </si>
  <si>
    <t>1500 S Dixon Rd</t>
  </si>
  <si>
    <t>Kokomo</t>
  </si>
  <si>
    <t>46902</t>
  </si>
  <si>
    <t>Kokomo Police Department</t>
  </si>
  <si>
    <t>Officer Roy Smith responded to a call that the convenience store was being robbed by an armed woman. Smith arrived to find a woman pointing a gun at the store clerk, according to police. When Smith ordered Haendiges to drop the gun, she pointed it at him and he fired, hitting her twice.</t>
  </si>
  <si>
    <t>David Munday</t>
  </si>
  <si>
    <t>1 Mountainside Way</t>
  </si>
  <si>
    <t>Mt Olive</t>
  </si>
  <si>
    <t>West Virginia Division of Corrections</t>
  </si>
  <si>
    <t>Charles Ziegler</t>
  </si>
  <si>
    <t>1347 Sample Rd</t>
  </si>
  <si>
    <t>Pompano Beach</t>
  </si>
  <si>
    <t>33064</t>
  </si>
  <si>
    <t>Ziegler was suspect of a bank robbery,cops found his car &amp; show up to his house, he pulled a revolver and officers react to the attack.</t>
  </si>
  <si>
    <t>Fritz Severe</t>
  </si>
  <si>
    <t>350 NW 13th St</t>
  </si>
  <si>
    <t>33136</t>
  </si>
  <si>
    <t xml:space="preserve">Severe was shot five times by an officer, who claimed that Severe was holding a metal pole. </t>
  </si>
  <si>
    <t>Mark Flores Jr</t>
  </si>
  <si>
    <t>6800 Honeyridge Ln</t>
  </si>
  <si>
    <t>78239</t>
  </si>
  <si>
    <t>Flores, who suffered from depression and schizophrenia, was fatally shot by police after firing a round at his father and firing several shots at responding officers.</t>
  </si>
  <si>
    <t>Raymond Peralta-lantigua</t>
  </si>
  <si>
    <t>185 Johnson Ave</t>
  </si>
  <si>
    <t>Hackensack</t>
  </si>
  <si>
    <t>07601</t>
  </si>
  <si>
    <t>Bergen</t>
  </si>
  <si>
    <t>Hackensack Police Department</t>
  </si>
  <si>
    <t>Officers reported they shot Peralta-lantigua after he attempted to attack them with a knife. His mother had called 911 after he hit her and she had locked herself in her bedroom. She said Peralta-lantigua was walking slowly towards officers with the knife, and that she told him in Spanish to drop the knife, but that he couldn't understand the officers' orders. Peralta-lantigua had drug problems and had sought mental help.</t>
  </si>
  <si>
    <t>Raymond Phillips</t>
  </si>
  <si>
    <t>1000 Bear Creek Pike</t>
  </si>
  <si>
    <t>38401</t>
  </si>
  <si>
    <t>Maury</t>
  </si>
  <si>
    <t>Columbia Police Department</t>
  </si>
  <si>
    <t>It's reported that Phillips was threatening suicide, and when officers stopped him while driving, he pointed a gun at them, at which point they shot him to death.</t>
  </si>
  <si>
    <t>Isiah Hampton</t>
  </si>
  <si>
    <t>2000 Valentine Ave</t>
  </si>
  <si>
    <t>Bronx</t>
  </si>
  <si>
    <t>10457</t>
  </si>
  <si>
    <t>Hampton was fatally shot by police during a hostage standoff in the apartment of the 19-year-old's ex-girlfriend. Police fired the fatal shots after Hampton put a gun to the woman's head.</t>
  </si>
  <si>
    <t>1700 Chase Ave</t>
  </si>
  <si>
    <t>45223</t>
  </si>
  <si>
    <t>Officers reported that they responded to a 911 call from a woman claiming that Hicks had threatened to break into her house to kill her. Officers also claim that Hicks pointed a rifle at them when they entered a house he'd fled into, before one officer shot him to death. However, witnesses at the scene said that Hicks was complying with officers' orders.</t>
  </si>
  <si>
    <t>Ross Anthony</t>
  </si>
  <si>
    <t>5400 N Jim Miller Rd</t>
  </si>
  <si>
    <t>75227</t>
  </si>
  <si>
    <t>Anthony was in the car when a cops ordered him to abandoned the car, "exhibiting erratic behavior" and was shot with the taser. He died at the hospital.</t>
  </si>
  <si>
    <t>Pending investigations</t>
  </si>
  <si>
    <t>Gregory Scott Hartley</t>
  </si>
  <si>
    <t>18000 Drum Heller Ln</t>
  </si>
  <si>
    <t>Tomball</t>
  </si>
  <si>
    <t>77377</t>
  </si>
  <si>
    <t>Montgomery County Sheriff's Office, Tomball Police Department</t>
  </si>
  <si>
    <t>After a chase that started with a report that the man was pointing a pistol-grip shotgun at drivers, Hartley drove into the neighborhood off Northpointe Boulevard and State Highway 249 with officers in pursuit. He reportedly was killed after ignoring officers' instructions to put down his weapon. He was reported wanted on a felony warrant out of Grime County.</t>
  </si>
  <si>
    <t>Urbandale Ave and Merle Hay Rd</t>
  </si>
  <si>
    <t>Des Moines</t>
  </si>
  <si>
    <t>50322</t>
  </si>
  <si>
    <t>Polk</t>
  </si>
  <si>
    <t>Des Moines Police Department</t>
  </si>
  <si>
    <t>Bolinger was persecuted by veteran police, he stopped the car and the police shot him. He didn't have a gun or resist.</t>
  </si>
  <si>
    <t>800 W Sandusky St</t>
  </si>
  <si>
    <t>Findlay</t>
  </si>
  <si>
    <t>45840</t>
  </si>
  <si>
    <t>Hancock</t>
  </si>
  <si>
    <t>Findlay Police Department</t>
  </si>
  <si>
    <t>Linhart was fatally shot by police during an early morning traffic stop after he struggled to get back in his car after being detained by officers.</t>
  </si>
  <si>
    <t>1514 S Harbor City Blvd</t>
  </si>
  <si>
    <t>Melbourne</t>
  </si>
  <si>
    <t>32901</t>
  </si>
  <si>
    <t>Melbourne Police Department</t>
  </si>
  <si>
    <t>Officers reported that they were pursuing McDaniel as he was suspected in several robberies. They claim that when he was unable to escape in his car, that he waived a gun, and the officers shot him to death.</t>
  </si>
  <si>
    <t>La Palma Ave and Helena St</t>
  </si>
  <si>
    <t>Anaheim</t>
  </si>
  <si>
    <t>92801</t>
  </si>
  <si>
    <t>Anaheim Police Department</t>
  </si>
  <si>
    <t>It's reported that Garcia had mental health issues and past drug issues as well. He allegedly pulled up behind an officer involved in a traffic stop, and moved towards the officer with a knife. Two officers fired multiple shots killing Garcia. It's not clear why Garcia carried out the actions that he did before his death.</t>
  </si>
  <si>
    <t>James Johnson</t>
  </si>
  <si>
    <t>Main St and 4th St</t>
  </si>
  <si>
    <t>Beech Grove</t>
  </si>
  <si>
    <t>46107</t>
  </si>
  <si>
    <t>Beech Grove Police Department</t>
  </si>
  <si>
    <t>Johnson was fatally shot by responding officers after approaching them with a firearm and saying "shoot me." Neighbors told media outlets that the 54-year-old had a history of mental illness.</t>
  </si>
  <si>
    <t>Richard Warolf</t>
  </si>
  <si>
    <t>9205 W Hutton Dr</t>
  </si>
  <si>
    <t>Sun City</t>
  </si>
  <si>
    <t>85351</t>
  </si>
  <si>
    <t>Maricopa County Sheriff's Office</t>
  </si>
  <si>
    <t>Deputies got a 911 call from a woman who had left the house saying her husband was suicidal and texting relatives he was going to kill himself. The woman told deputies he had been drinking and had several weapons inside the home. Authorities say the 911 dispatcher asked the man to come out and he said, "If anybody got any closer to him there would be a shootout." After three hours, the man came out of the home and pointed his gun at deputies at which point shots were fired.</t>
  </si>
  <si>
    <t>2263 Loring Pl</t>
  </si>
  <si>
    <t>10468</t>
  </si>
  <si>
    <t>Ocasio died after being tased by officers responding to a call from the 51-year-old man's girlfriend, who told police that Ocasio was acting erratic and high on drugs.</t>
  </si>
  <si>
    <t>James Smillie</t>
  </si>
  <si>
    <t>3300 Mola St</t>
  </si>
  <si>
    <t>North Port</t>
  </si>
  <si>
    <t>34287</t>
  </si>
  <si>
    <t>Sarasota</t>
  </si>
  <si>
    <t>North Port Police Department</t>
  </si>
  <si>
    <t>Smillie was fatally shot by police after the 53-year-old reached into his shorts during a standoff with police. Smillie's wife had earlier reported a domestic disturbance and told police that her husband was extremely intoxicated at the time of the shooting.</t>
  </si>
  <si>
    <t>Gene Marshall</t>
  </si>
  <si>
    <t>727 3rd St</t>
  </si>
  <si>
    <t>Woodland</t>
  </si>
  <si>
    <t>Cowlitz</t>
  </si>
  <si>
    <t>Woodland Police Department</t>
  </si>
  <si>
    <t>Police said Marshall was fatally shot after approaching an officer while armed with a handgun. The officer had been dispatched to deal with a call reporting that Marshall was threatening to kill himself and his wife, according to authorities.</t>
  </si>
  <si>
    <t>Lakeshore Ave and Lake Park Ave</t>
  </si>
  <si>
    <t>94610</t>
  </si>
  <si>
    <t>Hogg was unconscious in his car, investigations are open to determine why the police officers opened fire.</t>
  </si>
  <si>
    <t>Tevin Harris</t>
  </si>
  <si>
    <t>Moreland Avenue and Pickens Street SE</t>
  </si>
  <si>
    <t>Atlanta</t>
  </si>
  <si>
    <t>30316</t>
  </si>
  <si>
    <t>Georgia Capitol Police</t>
  </si>
  <si>
    <t>Harris, from North Carolina, was kicked off an Amtrak train without incident for some kind of disturbance. He then threw several rocks through a depot window to steal a railroad employee's Ford F-150, and led police on an early-morning chase. The pursuit ended when Harris struck a tree, the pickup caught fire, and he was trapped inside.</t>
  </si>
  <si>
    <t>http://www.gainesvilletimes.com/m/section/6/article/109811/</t>
  </si>
  <si>
    <t>Exit 310 of I-70</t>
  </si>
  <si>
    <t>Strasburg</t>
  </si>
  <si>
    <t>80136</t>
  </si>
  <si>
    <t>Adams</t>
  </si>
  <si>
    <t>Arapahoe County Sheriff's Office</t>
  </si>
  <si>
    <t>Ramirez had a record as a sex offender and after being chased by the police on Interstate 70 he resisted the arrest and responded with gunfire.</t>
  </si>
  <si>
    <t>Porter Dr and San Juan Rd</t>
  </si>
  <si>
    <t>Pajaro</t>
  </si>
  <si>
    <t>95076</t>
  </si>
  <si>
    <t>Watsonville Police Department</t>
  </si>
  <si>
    <t>Fernandez was wanted for robbing homeless people. When police arrived, he made a run for it. Shots were exchanged. He hit an officer, and was shot and killed. The officer survived.</t>
  </si>
  <si>
    <t>Christie L. Cathers</t>
  </si>
  <si>
    <t>Finch Rd</t>
  </si>
  <si>
    <t>Morgantown</t>
  </si>
  <si>
    <t>26508</t>
  </si>
  <si>
    <t>Monongalia</t>
  </si>
  <si>
    <t>Monongalia County Sheriff's Department</t>
  </si>
  <si>
    <t>Cathers tried to run over a deputy, and they shot into the vehicle several times.</t>
  </si>
  <si>
    <t>Joe Nevels</t>
  </si>
  <si>
    <t>2601 Midland Dr</t>
  </si>
  <si>
    <t>Midland</t>
  </si>
  <si>
    <t>79707</t>
  </si>
  <si>
    <t>Midland Police Department</t>
  </si>
  <si>
    <t>Nevels was fatally shot by police behind a Midland liquor store after charging at officers with a box cutter. The officers were cleared of any wrongdoing following an internal investigation.</t>
  </si>
  <si>
    <t>Andrew Ellerbe</t>
  </si>
  <si>
    <t>6919 Rising Sun Ave</t>
  </si>
  <si>
    <t>19111</t>
  </si>
  <si>
    <t>Ellerbee was shot and killed by police after allegedly firing blank rounds at an off-duty officer during a robbery attempt at a pizza parlor.</t>
  </si>
  <si>
    <t>Jesus Quezada Gomez</t>
  </si>
  <si>
    <t>300 W Williams St</t>
  </si>
  <si>
    <t>Santa Maria</t>
  </si>
  <si>
    <t>93458</t>
  </si>
  <si>
    <t>Santa Barbara</t>
  </si>
  <si>
    <t>Santa Maria Police Department</t>
  </si>
  <si>
    <t>Gomez was fatally shot by police responding to a domestic disturbance call after the 50-year-old exchanged gunfire with officers. Police later announced that they found a deceased woman with multiple stab wounds inside Gomez's home.</t>
  </si>
  <si>
    <t>Persia Ave and Sunnydale Ave</t>
  </si>
  <si>
    <t>94112</t>
  </si>
  <si>
    <t>Pinkerton-Devito was killed by a patrol car. Details are very sketchy, and it appears that major media in San Francisco have completely ignored this story.</t>
  </si>
  <si>
    <t>1100 Pine Ln</t>
  </si>
  <si>
    <t>19013</t>
  </si>
  <si>
    <t>Chester Police Department</t>
  </si>
  <si>
    <t>A woman report a robbery, when the deputy showed, they pursued Sherman. He fell off his bike, and he was run over by the cops. He died at the hospital.</t>
  </si>
  <si>
    <t>Lorenzo Garza Jr.</t>
  </si>
  <si>
    <t>2324 Algehro Dr</t>
  </si>
  <si>
    <t>Delano</t>
  </si>
  <si>
    <t>93215</t>
  </si>
  <si>
    <t>Delano Police Department</t>
  </si>
  <si>
    <t>Officers responding to reports of criminal threats and a drive-by shooting pursued and exchanged gunfire with Garza, who lead police on a short car chase before being fatally shot.</t>
  </si>
  <si>
    <t>5 S Hazel St</t>
  </si>
  <si>
    <t>Los Lunas</t>
  </si>
  <si>
    <t>87031</t>
  </si>
  <si>
    <t>Valencia</t>
  </si>
  <si>
    <t>Valencia County Sheriff's Department</t>
  </si>
  <si>
    <t>His mother called the police because her son was drinking too much, when the cops showed, he opened fired against them.</t>
  </si>
  <si>
    <t>Miguel A. Martinez</t>
  </si>
  <si>
    <t>FM329 and Cherry St</t>
  </si>
  <si>
    <t>Waxahachie</t>
  </si>
  <si>
    <t>76041</t>
  </si>
  <si>
    <t>Ellis</t>
  </si>
  <si>
    <t>Ellis County Sheriff's Department and Texas DPS</t>
  </si>
  <si>
    <t>Miguel Martinez stole a police SUV from an officer who arrested him and his brother, Daniel Dankert. Authorities pursued. A negotiator asked Martinez to stop the car over the police radio. He did. Both threatened suicide. A shot was fired inside the vehicle. Martinez exited the vehicle, pointing a gun at deputies. They fatally shot him. Dankert also died, killed either by his brother or himself.</t>
  </si>
  <si>
    <t>Edelmiro Hernandez</t>
  </si>
  <si>
    <t>11799 Featherwood Dr</t>
  </si>
  <si>
    <t>77034</t>
  </si>
  <si>
    <t xml:space="preserve">Officers reported that Hernandez was a suspected car burglar, and that when confronted in his SUV, he wouldn't come out of the vehicle. After a 20-minute standoff, the officers sent in the dog, and they said Hernandez tried to hurt the dog with a knife, at which point the officers shot Hernandez to death. </t>
  </si>
  <si>
    <t>Ronald Neal</t>
  </si>
  <si>
    <t>Laurel Trail</t>
  </si>
  <si>
    <t>Byram Township</t>
  </si>
  <si>
    <t>07821</t>
  </si>
  <si>
    <t>Sussex</t>
  </si>
  <si>
    <t>Byram Police Department</t>
  </si>
  <si>
    <t>It's reported that Neal exited his home telling officers to shoot him, while he pointed a shot gun at them. The officers were responding to a call from a neighbor reported that they heard a gun shot.</t>
  </si>
  <si>
    <t>100 Lamplighter Ct</t>
  </si>
  <si>
    <t>Azle</t>
  </si>
  <si>
    <t>76020</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</si>
  <si>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</si>
  <si>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</si>
  <si>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4600 Washington St</t>
  </si>
  <si>
    <t>Roslindale</t>
  </si>
  <si>
    <t>02131</t>
  </si>
  <si>
    <t>Shot after lunging at FBI agent and police officer with knife.</t>
  </si>
  <si>
    <t>271 Greece Ridge Center Dr</t>
  </si>
  <si>
    <t>Rochester</t>
  </si>
  <si>
    <t>14626</t>
  </si>
  <si>
    <t>Greece Police Department</t>
  </si>
  <si>
    <t xml:space="preserve">Officer Eric Hughes pulled over a vehicle driven by Ladd's girlfriend because Ladd, her passenger, fit the description of a suicidal man. The vehicle drove away during the stop, dragging Hughes about 70 feet. Hughes used a stun gun at some point and fatally shot Ladd after he reached in his waistband for a semiautomatic pistol. </t>
  </si>
  <si>
    <t>2225 Texas Hwy 256 Loop</t>
  </si>
  <si>
    <t>Palestine</t>
  </si>
  <si>
    <t>75801</t>
  </si>
  <si>
    <t>Palestine Police Department</t>
  </si>
  <si>
    <t>Officers arrested Bushey at an Applebee's bathroom in connection with a robbery. They did not use handcuffs. When Bushey broke away from them and reached for a BB gun, they shot and killed him.</t>
  </si>
  <si>
    <t>Richard Gregory Davis</t>
  </si>
  <si>
    <t>https://pbs.twimg.com/media/CGY25hgVIAEMsLm.png</t>
  </si>
  <si>
    <t>Tremont St and Morgan St</t>
  </si>
  <si>
    <t>14611</t>
  </si>
  <si>
    <t>Rochester Police Department</t>
  </si>
  <si>
    <t>Davis drove into a truck and a church before leaving his vehicle. Police and firefighters confronted Davis, who returned to his vehicle and locked himself inside, ignoring orders. He then left his vehicle and rushed at responders. Officer Thomas Frye shot him with a stun gun. Davis, whose brother said he had a breathing problem, died at Strong Memorial Hospital.</t>
  </si>
  <si>
    <t>James Morris</t>
  </si>
  <si>
    <t>Juanipero Way and La Loma Dr</t>
  </si>
  <si>
    <t>Medford</t>
  </si>
  <si>
    <t>97504</t>
  </si>
  <si>
    <t>Medford Police Department</t>
  </si>
  <si>
    <t>Morris armed himself with a semiautomatic pistol after a breakup with his significant other. She called police, saying that he was threatening himself and would shoot police if they responded. A responding officer found Morris walking away from his house in the vicinity of an elementary school. He tried to stop Morris. Morris pointed his gun at the officer, who fatally shot him. Morris died at a hospital.</t>
  </si>
  <si>
    <t>http://www.eastoregonian.com/medford-man-seriously-injured-in-police-shooting-eo-ap-webfeeds-news-northwestb799f1cbead04333a3390c575bf86c4d</t>
  </si>
  <si>
    <t>Alexander Tirado Rivera</t>
  </si>
  <si>
    <t>http://www.killedbypolice.net/victims/150471.jpg</t>
  </si>
  <si>
    <t>1128 Murfreesboro Pike</t>
  </si>
  <si>
    <t>Nashville</t>
  </si>
  <si>
    <t>37217</t>
  </si>
  <si>
    <t xml:space="preserve">Rivera, robbing a loan center, pointed what appeared to be a gun at Sgt. Scott Carter as Carter responded to the incident. Carter fired a shot and retreated. Rivera then exited the building, holding his weapon to a woman's head. Just as she broke free, wrenching Rivera's weapon away, Carter fatally shot Rivera. His weapon was an air pistol. </t>
  </si>
  <si>
    <t>Ebin Lamont Proctor</t>
  </si>
  <si>
    <t>http://www.killedbypolice.net/victims/150470.jpg</t>
  </si>
  <si>
    <t>Yuma Circle</t>
  </si>
  <si>
    <t>Cottonwood</t>
  </si>
  <si>
    <t>86326</t>
  </si>
  <si>
    <t>Yavapai County Sheriffâ€™s Office</t>
  </si>
  <si>
    <t>Deputies pulled a car over that contained Proctor and five others. They asked for his identity. Violating probation, Proctor gave an alias instead, then fled his vehicle. Deputy Steven Gorman chased him on foot, shooting him in a backyard with a stun gun to no effect. Proctor turned and attacked the deputy, who then tried to subdue Proctor with pepper spray. Proctor, unaffected, grabbed for the deputy's gun. The deputy fatally shot him, then was taken to a hospital.  </t>
  </si>
  <si>
    <t>http://wn.ktvu.com/story/29200702/2015/05/31/suspect-shot-and-killed-in-cottonwood-identified</t>
  </si>
  <si>
    <t>Nehemiah Fischer</t>
  </si>
  <si>
    <t>http://www.killedbypolice.net/victims/150468.jpg</t>
  </si>
  <si>
    <t>Hectorville Rd and Bixby Rd</t>
  </si>
  <si>
    <t>Mounds</t>
  </si>
  <si>
    <t>74047</t>
  </si>
  <si>
    <t>Creek</t>
  </si>
  <si>
    <t>Oklahoma Highway Patrol</t>
  </si>
  <si>
    <t>State Troopers tried to call two brothers out of flood waters. Nehemiah Fischer attacked officers</t>
  </si>
  <si>
    <t>http://www.theguardian.com/us-news/2015/may/31/oklahoma-pastor-nehemiah-fischer-trooper-shooting-flooding</t>
  </si>
  <si>
    <t>Robert Box</t>
  </si>
  <si>
    <t>108 Fir Canyon Rd</t>
  </si>
  <si>
    <t>Grants Pass</t>
  </si>
  <si>
    <t>97527</t>
  </si>
  <si>
    <t>Oregon State Police</t>
  </si>
  <si>
    <t>Kelsey Box, a paraplegic and tough truck racer, called troopers at 10:27 p.m. to report that her father, Robert, was abusing her. Troopers Gregor West and Heather Smyth responded. One or both shot Robert, carrying a pistol, on the driveway of the residence. He died at Asante Three Rivers Medical Center.</t>
  </si>
  <si>
    <t>Kevin K. Allen</t>
  </si>
  <si>
    <t>http://www.killedbypolice.net/victims/150466.jpg</t>
  </si>
  <si>
    <t>355 Valley Brook Ave</t>
  </si>
  <si>
    <t>Lyndhurst</t>
  </si>
  <si>
    <t>07071</t>
  </si>
  <si>
    <t>Lyndhurst Police Department</t>
  </si>
  <si>
    <t>Allen, who had warrants for his arrest, was in the top floor of a library when Lyndhurst officers tried to arrest him. According to their Chief of Police, the officers used a baton and pepper spray on Allen, who attacked them with a knife. He was fatally shot.</t>
  </si>
  <si>
    <t xml:space="preserve"> Pending investigation</t>
  </si>
  <si>
    <t>Mitchell Martinez</t>
  </si>
  <si>
    <t>4055 41st Ave</t>
  </si>
  <si>
    <t>32960</t>
  </si>
  <si>
    <t>http://tbo.com/news/crime/autopsy-set-for-thursday-in-death-of-vero-beach-inmate-20150604/?page=1</t>
  </si>
  <si>
    <t>http://www.thelevisalazer.com/images/Billy_collins.jpg</t>
  </si>
  <si>
    <t>215 N Main Cross St</t>
  </si>
  <si>
    <t>Louisa</t>
  </si>
  <si>
    <t>41230</t>
  </si>
  <si>
    <t>Lawrence</t>
  </si>
  <si>
    <t>Louisa Police Department</t>
  </si>
  <si>
    <t xml:space="preserve">Collins was arrested after behaving erratically. He resisted officers at Louisa Police Department, striking a sergeant multiple times and barricading himself in the department foyer. Officers shot him twice with a stun gun and struck with their hands and batons. When officers subdued Collins, he showed signs of medical distress and was taken to a hospital, where he died.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</si>
  <si>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</si>
  <si>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</si>
  <si>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</si>
  <si>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</si>
  <si>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</si>
  <si>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Kenneth Joel Dothard</t>
  </si>
  <si>
    <t>http://www.killedbypolice.net/victims/150464.jpg</t>
  </si>
  <si>
    <t>900 Bankhead Hwy</t>
  </si>
  <si>
    <t>Carrollton</t>
  </si>
  <si>
    <t>30117</t>
  </si>
  <si>
    <t>Carroll</t>
  </si>
  <si>
    <t>Carrolton Police Department</t>
  </si>
  <si>
    <t xml:space="preserve">An Amber Alert was issued after Williams transported his niece from Texas to Louisiana. An FBI Task Force confronted Williams at a motel in Louisiana, where he shot an officer in the leg and an officer fatally shot him. </t>
  </si>
  <si>
    <t>Pending investigation; Georgia Bureau of Investigation</t>
  </si>
  <si>
    <t>James Edward Strong Jr.</t>
  </si>
  <si>
    <t>10900 E 109th Pl</t>
  </si>
  <si>
    <t>Northglenn</t>
  </si>
  <si>
    <t>80233</t>
  </si>
  <si>
    <t>Northglenn Police Department</t>
  </si>
  <si>
    <t>Strong shot a member of a SWAT team twice as it served a warrant. SWAT officers fatally shot him in response. The officer survived.</t>
  </si>
  <si>
    <t>Harry Davis</t>
  </si>
  <si>
    <t>Sparta Hwy and Oconee Springs Rd</t>
  </si>
  <si>
    <t>Eatonton</t>
  </si>
  <si>
    <t>31024</t>
  </si>
  <si>
    <t>Putnam</t>
  </si>
  <si>
    <t>Putnam County Sheriff's Department</t>
  </si>
  <si>
    <t>Davis, an Army veteran with PTSD, had a drunken argument with his son while parked in Oconee Springs Road. An associate of his called deputies shortly before midnight. They separated Davis and his son. Davis went to his vehicle for a knife, and threw it at a deputy. He returned to his vehicle for another knife and ran at deputies with it. Deputy Justin Brock fatally shot him.</t>
  </si>
  <si>
    <t>Kyle Baker</t>
  </si>
  <si>
    <t>http://www.killedbypolice.net/victims/150465.jpg</t>
  </si>
  <si>
    <t>2800 Longmeadow Dr</t>
  </si>
  <si>
    <t>Trenton</t>
  </si>
  <si>
    <t>48183</t>
  </si>
  <si>
    <t>Trenton Police Department</t>
  </si>
  <si>
    <t>Officers responded to a call that Baker was behaving threateningly, possibly under the influence of alcohol or drugs. Officers shot Baker with a stun gun but he advanced and wounded an officer in the hand with a lawn mower blade. He was fatally shot in the abdomen.</t>
  </si>
  <si>
    <t>Darrell Morgan</t>
  </si>
  <si>
    <t>http://www.killedbypolice.net/victims/150463.jpg</t>
  </si>
  <si>
    <t>3164 Charlotte Hwy</t>
  </si>
  <si>
    <t>29720</t>
  </si>
  <si>
    <t>Lancaster County Sheriff's Department</t>
  </si>
  <si>
    <t>Morgan, a Baptist pastor, followed his wife of 40 years into a store and confronted her for abandoning him for his best friend, their neighbor. The owner of the store called 911 as he waved a pistol in the air and made threats. Major Matt Shaw and investigator Brad Whitesides responded. They shot Morgan. He died at Springs Memorial Hospital.</t>
  </si>
  <si>
    <t>Simon D. Hubble</t>
  </si>
  <si>
    <t>3600 Emmanuel Way</t>
  </si>
  <si>
    <t>Alpine</t>
  </si>
  <si>
    <t>91901</t>
  </si>
  <si>
    <t>San Diego County Sheriff's Department</t>
  </si>
  <si>
    <t>Deputy Aaron Miller responded to a call that Hubble was behaving erratically at a residence. At the residence, an associate of Hubble's told the deputy that Hubble was trying to provoke a shooting. The deputy found Hubble on a street outside of the residence. Hubble attacked the deputy with a screwdriver. The deputy shot him with a stun gun. Hubble continued his attack. The deputy fatally shot him.</t>
  </si>
  <si>
    <t>Randall C. Torrence</t>
  </si>
  <si>
    <t>http://www.killedbypolice.net/victims/150457.jpg</t>
  </si>
  <si>
    <t>1225 Quindaro Blvd</t>
  </si>
  <si>
    <t>66104</t>
  </si>
  <si>
    <t>Kansas City KS Police Department</t>
  </si>
  <si>
    <t>Both officers and paramedics responded when Torrence began to behave erratically in a parking lot. Officers and paramedics tried to load Torrence into an EMS vehicle. He was shot with a stun gun as he resisted. He died of cardiac arrest.</t>
  </si>
  <si>
    <t>Scott McAllister</t>
  </si>
  <si>
    <t>33 Bayside Pkwy</t>
  </si>
  <si>
    <t>Middletown</t>
  </si>
  <si>
    <t>07748</t>
  </si>
  <si>
    <t>Monmouth County Emergency Response Team</t>
  </si>
  <si>
    <t>Officers arrived at McAllister's house Tuesday at 11:30 a.m. after he drunkenly beat his partner and threatened to kill their 1-year-old son. A hostage negotiator spoke with him until 4:30 a.m. the next day, when a SWAT team broke into the residence and fatally shot McAllister. His son was unhurt.</t>
  </si>
  <si>
    <t>Garrett Sandeno</t>
  </si>
  <si>
    <t>http://www.killedbypolice.net/victims/150458.jpg</t>
  </si>
  <si>
    <t>1701 Ridgecrest Rd</t>
  </si>
  <si>
    <t>Edmond</t>
  </si>
  <si>
    <t>73013</t>
  </si>
  <si>
    <t>Edmond Police Department</t>
  </si>
  <si>
    <t>A woman asked officers to do a welfare check on her husband, Sandeno, who threatened himself after she asked him for a divorce. Officers found him outside of his house with a pellet gun. Officers told him to drop it. They allege that he pointed the pellet gun at them, provoking the fatal shooting.</t>
  </si>
  <si>
    <t>Dalton Branch</t>
  </si>
  <si>
    <t>http://www.killedbypolice.net/victims/150454.jpg</t>
  </si>
  <si>
    <t>530 Stanley Ave</t>
  </si>
  <si>
    <t>11207</t>
  </si>
  <si>
    <t>Three officers approached Branch in his car after the fatal shooting of his girlfriend. He began shooting at officers from his car with a .380 Beretta pistol and continued to shoot as he exited his vehicle. Officers fatally shot Branch from a distance of about eight feet.</t>
  </si>
  <si>
    <t>Jessie Nicholas Williams</t>
  </si>
  <si>
    <t>http://www.killedbypolice.net/victims/150455.jpg</t>
  </si>
  <si>
    <t>200 John Wesly Blvd</t>
  </si>
  <si>
    <t>Bossier City</t>
  </si>
  <si>
    <t>71112</t>
  </si>
  <si>
    <t>Bossier</t>
  </si>
  <si>
    <t xml:space="preserve">An Amber Alert was issued after Williams transported his niece, Caitlynn from Texas to Louisiana. An FBI Task Force confronted Williams at a motel in Louisiana, where he shot an officer in the leg and an officer fatally shot him. </t>
  </si>
  <si>
    <t>Millard James Tallant III</t>
  </si>
  <si>
    <t>17500 Tester Rd</t>
  </si>
  <si>
    <t>Snohomish</t>
  </si>
  <si>
    <t>98290</t>
  </si>
  <si>
    <t>Snohomish County Sheriff's Office</t>
  </si>
  <si>
    <t>A deputy responded to a call about Tallant, distraught and in the process of divorce, going to the door of the caller. According to the deputy's conversation with dispatchers, the deputy shot Tallant and Tallant fired once after he was hit. He died.</t>
  </si>
  <si>
    <t>Pending investigation; Snohomish County Multiagency Response Team</t>
  </si>
  <si>
    <t>Anthony Dewayne Briggs</t>
  </si>
  <si>
    <t>http://www.killedbypolice.net/victims/150452.jpg</t>
  </si>
  <si>
    <t>1100 E Gateway Dr SE</t>
  </si>
  <si>
    <t>Huntsville</t>
  </si>
  <si>
    <t>35803</t>
  </si>
  <si>
    <t>Madison</t>
  </si>
  <si>
    <t>Huntsville Police Department</t>
  </si>
  <si>
    <t xml:space="preserve">Briggs attacked his brother, Quinten, with a knife, then stabbed Matthew Shane Hooks. Hooks called 911. When officers responded, Briggs rushed at them with his knife, ignored commands to drop it and was fatally shot. </t>
  </si>
  <si>
    <t>Cassandra Bolin</t>
  </si>
  <si>
    <t>6505 Shirley Ave</t>
  </si>
  <si>
    <t>78752</t>
  </si>
  <si>
    <t>Officers responded to a 1:30 a.m. 911 call by Bolin's boyfriend, who said that she was suicidal. SWAT officers who responded tried to reason with her, but she exited her residence so quickly that officers shot at her with a "less-lethal projectile." She returned to her residence, then went outside again, threatening herself and then officers with her pistol. A SWAT sniper fatally shot her.</t>
  </si>
  <si>
    <t>Eric Robinson</t>
  </si>
  <si>
    <t>135 N Main St</t>
  </si>
  <si>
    <t>Eagar</t>
  </si>
  <si>
    <t>85925</t>
  </si>
  <si>
    <t>Apache</t>
  </si>
  <si>
    <t>Eagar Police Department and Apache County Sheriff's Office</t>
  </si>
  <si>
    <t xml:space="preserve">Robinson, from his pickup truck, shot a pregnant woman at the parking lot of a Mormon stake center. She called 911. Robinson shot an Eagar police officer who responded. After, he fled to his residence, and was quickly surrounded by authorities from multiple agencies. He continued to shoot. When he emerged, he was fatally shot. </t>
  </si>
  <si>
    <t>Caso Jackson</t>
  </si>
  <si>
    <t>13331 Strathmoor St</t>
  </si>
  <si>
    <t>48227</t>
  </si>
  <si>
    <t>Detroit Police Department</t>
  </si>
  <si>
    <t>Jackson, ignoring a personal protection order, held his estranged wife and two children hostage, threatening them as well as himself. SWAT officers responded. After negotiation, Jackson jumped from the front door of the residence with a gun and shot an officer in the face. He was fatally shot in response. The officer survived.</t>
  </si>
  <si>
    <t>James Horn Jr.</t>
  </si>
  <si>
    <t>http://www.killedbypolice.net/victims/150448.jpg</t>
  </si>
  <si>
    <t>SE 650th Rd</t>
  </si>
  <si>
    <t>Green Ridge</t>
  </si>
  <si>
    <t>65332</t>
  </si>
  <si>
    <t>Pettis</t>
  </si>
  <si>
    <t>Pettis County Sheriff's Office</t>
  </si>
  <si>
    <t>Deputies followed a tip about Horn, suspected in a double murder, to J. N. Turkey Kearn Memorial Wildlife Area. They fatally shot him at a house when he threatened them with a pistol.</t>
  </si>
  <si>
    <t>Michael Lowrey</t>
  </si>
  <si>
    <t>http://www.killedbypolice.net/victims/150447.jpg</t>
  </si>
  <si>
    <t>1534 N Center Ave</t>
  </si>
  <si>
    <t>Somerset</t>
  </si>
  <si>
    <t>15501</t>
  </si>
  <si>
    <t>Michael J. Lowrey was carrying a black BB gun that looked like a handgun. He was shot and killed Friday, May 22 in the morning at Save-A-Lot grocery store in Somerset, PA.</t>
  </si>
  <si>
    <t>Markus Clark</t>
  </si>
  <si>
    <t>http://www.killedbypolice.net/victims/150444.jpg</t>
  </si>
  <si>
    <t>600 NW 27th Ave</t>
  </si>
  <si>
    <t>Fort Lauderdale</t>
  </si>
  <si>
    <t>33311</t>
  </si>
  <si>
    <t>Javoris Reshaud Washington</t>
  </si>
  <si>
    <t>http://www.killedbypolice.net/victims/150443.jpg</t>
  </si>
  <si>
    <t>SW 29th Ave and SW 29th Terrace</t>
  </si>
  <si>
    <t>33312</t>
  </si>
  <si>
    <t>Fort Lauderdale Police Department</t>
  </si>
  <si>
    <t>Authorities said they were forced to open fire on a man who had barricaded himself inside a home in Fort Lauderdale. There were reports Washington was on the drug Flakka.</t>
  </si>
  <si>
    <t>Drug or Alcohol Use</t>
  </si>
  <si>
    <t>Chrislon Talbott</t>
  </si>
  <si>
    <t>http://www.killedbypolice.net/victims/150439.jpg</t>
  </si>
  <si>
    <t>4585 Frederica St</t>
  </si>
  <si>
    <t>Owensboro</t>
  </si>
  <si>
    <t>42301</t>
  </si>
  <si>
    <t>Daviess</t>
  </si>
  <si>
    <t>Owensboro Police Department and Kentucky State Police</t>
  </si>
  <si>
    <t>Officers tracked the suspect, 38-year-old Chrislon Talbott, to a motel on Frederica Street late Wednesday night. Kentucky State Police say Talbott came out of a room around midnight and shot at officers</t>
  </si>
  <si>
    <t>Jerome Thomas Caldwell</t>
  </si>
  <si>
    <t>http://www.killedbypolice.net/victims/150440.jpg</t>
  </si>
  <si>
    <t>83 Beaufain St</t>
  </si>
  <si>
    <t>Charleston</t>
  </si>
  <si>
    <t>29401</t>
  </si>
  <si>
    <t>South Carolina State Law Enforcement Division</t>
  </si>
  <si>
    <t>Police say they shot and killed a man who was wanted for the attempted murder of Berkeley County Sheriff's Lt. Will Rogers Thursday after the man emerged from a downtown apartment and opened fire at officers.</t>
  </si>
  <si>
    <t>Elvin Jesus Diaz</t>
  </si>
  <si>
    <t>http://www.killedbypolice.net/victims/150442.jpg</t>
  </si>
  <si>
    <t>10 Temple Ave</t>
  </si>
  <si>
    <t>Three city police officers went to 10 Temple Avenue around 1:30 p.m. to check on Elvin Diaz at the request of county probation officials. Hackensack Police Director Michael Mordaga said Diaz was armed with "a very large knife" when the shooting occurred.</t>
  </si>
  <si>
    <t>David Alejandro Gandara</t>
  </si>
  <si>
    <t>5111 Fairbanks Dr</t>
  </si>
  <si>
    <t>79924</t>
  </si>
  <si>
    <t>El Paso police shot and killed a 22-year-old man who was armed and possibly suicidal moments after he tried to enter a children's day care center in the Northeast, police officials said.</t>
  </si>
  <si>
    <t>Cary Lloyd Martin</t>
  </si>
  <si>
    <t>http://www.killedbypolice.net/victims/150446.jpg</t>
  </si>
  <si>
    <t>497 Florida Ave</t>
  </si>
  <si>
    <t>St Augustine</t>
  </si>
  <si>
    <t>32080</t>
  </si>
  <si>
    <t>Saint Johns</t>
  </si>
  <si>
    <t>Cary Lloyd Martin fired at least eight rounds toward authorities after they thought he was ready to give up during a May 14 confrontation at his Florida Avenue home in St. Augustine Beach, according to the Sheriff's Office. Sgt. Earl Edenfield III and Deputy Joshua Butler returned fire striking him multiple times</t>
  </si>
  <si>
    <t>James Anthony Cooper</t>
  </si>
  <si>
    <t>http://www.killedbypolice.net/victims/150438.jpg</t>
  </si>
  <si>
    <t>3271 Dartmouth Dr</t>
  </si>
  <si>
    <t>29414</t>
  </si>
  <si>
    <t>North Charleston Police Department</t>
  </si>
  <si>
    <t>Authorities said when they encountered Cooper on the second floor of the home, he ran at the deputy with a knife or other sharp object and swung at him, but the deputy deflected the attack.</t>
  </si>
  <si>
    <t>Nikki Jo Burtsfield</t>
  </si>
  <si>
    <t>http://www.killedbypolice.net/victims/150441.jpg</t>
  </si>
  <si>
    <t>N Garner Lake Rd and Vaquero Ave</t>
  </si>
  <si>
    <t>Gillette</t>
  </si>
  <si>
    <t>82716</t>
  </si>
  <si>
    <t>Campbell</t>
  </si>
  <si>
    <t>Campbell County Sheriff's Office</t>
  </si>
  <si>
    <t>Near midnight Burtsfield was spotted trespassing in a rural area. Deputies chased her, then stopped her vehicle with deflating spikes. She emerged from her vehicle brandishing a knife. A Taser wasn't effective in stopping the threat deputies felt, so she was shot to death.</t>
  </si>
  <si>
    <t>Marcus D. Wheeler</t>
  </si>
  <si>
    <t>http://www.killedbypolice.net/victims/150437.jpg</t>
  </si>
  <si>
    <t>3057 Martin Ave</t>
  </si>
  <si>
    <t>68112</t>
  </si>
  <si>
    <t>Omaha Police Department</t>
  </si>
  <si>
    <t>An Omaha police officer and a suspect were shot and killed after a confrontation at North 30th Street and Martin Avenue just before 1 p.m.</t>
  </si>
  <si>
    <t>Jonathan McIntosh</t>
  </si>
  <si>
    <t>http://www.killedbypolice.net/victims/150435.jpg</t>
  </si>
  <si>
    <t>900 E Main St</t>
  </si>
  <si>
    <t>Cabot</t>
  </si>
  <si>
    <t>72023</t>
  </si>
  <si>
    <t>Lonoke</t>
  </si>
  <si>
    <t>Lonoke County Sheriff's Office and Arkansas Department of Community Correction</t>
  </si>
  <si>
    <t>While questioning a 35-year-old man at 905 East Main Street it was determined the individual was the subject of outstanding warrants. The man was placed into custody and held in a law enforcement vehicle. officers reported gunshots coming from inside the car and returned fire striking the individual who had moments earlier been taken into custody.</t>
  </si>
  <si>
    <t>Jonathan Colley</t>
  </si>
  <si>
    <t>http://www.killedbypolice.net/victims/150436.jpg</t>
  </si>
  <si>
    <t>2569 Raber Rd</t>
  </si>
  <si>
    <t>44685</t>
  </si>
  <si>
    <t>Stark</t>
  </si>
  <si>
    <t>Summit County Sheriff's Office</t>
  </si>
  <si>
    <t>Deputies say Jonathan L. Colley, 52, approached deputies with a butcher-style knife. The deputies asked him to drop the knife, but he continued to approach them.</t>
  </si>
  <si>
    <t>Anthony Quinn Gomez Jr.</t>
  </si>
  <si>
    <t>http://www.killedbypolice.net/victims/150433.jpg</t>
  </si>
  <si>
    <t>305 E Walnut St</t>
  </si>
  <si>
    <t>17602</t>
  </si>
  <si>
    <t>Lancaster Police Department</t>
  </si>
  <si>
    <t>Officers served a warrant on Gomez for beating a woman and threatening to kill her and her children. When Gomez refused to be taken in, an officer shot him with a stun gun. Gomez shot the officer with a pistol. A second officer fatally shot Gomez.</t>
  </si>
  <si>
    <t>Alfredo Rials-Torres</t>
  </si>
  <si>
    <t>4219 2nd Road N</t>
  </si>
  <si>
    <t>22203</t>
  </si>
  <si>
    <t xml:space="preserve">Two officers responded to a domestic disturbance call at the residence of Rials-Torres, a violent schizophrenic. During a confrontation, the details of which are unclear, one officer was cut and another shot with a stun gun. A woman in the residence was slightly wounded. Rials-Torres was fatally shot. </t>
  </si>
  <si>
    <t>Yes/ Schizophrenia</t>
  </si>
  <si>
    <t>David Gaines</t>
  </si>
  <si>
    <t>N 10th St and Gunnison Ave</t>
  </si>
  <si>
    <t>Grand Junction</t>
  </si>
  <si>
    <t>81501</t>
  </si>
  <si>
    <t>Grand Junction Police Department</t>
  </si>
  <si>
    <t>After a fight with his father, Gaines drove away from his house in a pickup truck containing a gun. He sped through Grand Junction, hitting a motorcycle and a car. He left his truck, carrying a gun, and forced a mother and her children out of their SUV. Authorities from several departments converged on Gaines. A Grand Junction officer fatally shot him.</t>
  </si>
  <si>
    <t xml:space="preserve">Unknown </t>
  </si>
  <si>
    <t>Bin Christopher Williams</t>
  </si>
  <si>
    <t>http://www.killedbypolice.net/victims/150467.jpg</t>
  </si>
  <si>
    <t>1100 Bruce Ln</t>
  </si>
  <si>
    <t>Natrona County Sheriff’s Office</t>
  </si>
  <si>
    <t>Physical restraint</t>
  </si>
  <si>
    <t>Ronell Wade</t>
  </si>
  <si>
    <t>http://victimsofpolice.com/2015/images/Ronell-Wade.jpg</t>
  </si>
  <si>
    <t>15746 Union Ave</t>
  </si>
  <si>
    <t>Harvey</t>
  </si>
  <si>
    <t>60426</t>
  </si>
  <si>
    <t>Harvey Police Department</t>
  </si>
  <si>
    <t xml:space="preserve">Wade, a suspect in a dollar store robbery, fled officers on foot to St. John the Baptist Catholic Church, where he tried to hide his money before leaving the building. Wade shot at officers, who fatally shot him. </t>
  </si>
  <si>
    <t>Dennis Richard Fiel</t>
  </si>
  <si>
    <t>http://www.killedbypolice.net/victims/150428.jpg</t>
  </si>
  <si>
    <t>7700 Mesa College Dr</t>
  </si>
  <si>
    <t>92123</t>
  </si>
  <si>
    <t>Officers chased a speeding jeep on Interstate 805, finding it abandoned near Mesa College Drive. They spread out, looking for the driver, Fiel. When they found him, he ran, shooting. Fiel hit Officer Heather L. Seddon in the neck. Officers Joshua Hodge and Mario Larrea fatally shot him in response. Seddon survived.</t>
  </si>
  <si>
    <t>Yes/Asperger's Syndrome/Depression</t>
  </si>
  <si>
    <t>Austin Goodner</t>
  </si>
  <si>
    <t>http://www.killedbypolice.net/victims/150431.jpg</t>
  </si>
  <si>
    <t>5236 Robin Ln N</t>
  </si>
  <si>
    <t>St Petersburg</t>
  </si>
  <si>
    <t>33714</t>
  </si>
  <si>
    <t>Pinellas</t>
  </si>
  <si>
    <t>St Petersburg Police Department</t>
  </si>
  <si>
    <t>Officers Brian Lynch, Michael Cordiviola and Matthew Enhoffer went to Goodner's residence to investigate him for a shooting. He emerged from the backyard, armed, as officers spoke to his mother. He pointed a gun at an officer, who shot at him. He retreated, then shot an officer in the leg, daring officers to kill him. Officers fatally shot him.</t>
  </si>
  <si>
    <t>Timothy Jones</t>
  </si>
  <si>
    <t>http://www.killedbypolice.net/victims/150429.jpg</t>
  </si>
  <si>
    <t>111 Otero Dr</t>
  </si>
  <si>
    <t>Ruidoso</t>
  </si>
  <si>
    <t>88345</t>
  </si>
  <si>
    <t>Lincoln</t>
  </si>
  <si>
    <t>Ruidoso Police Department</t>
  </si>
  <si>
    <t>Ruidoso Police Department Corporal Lance Ledford and Officer Joseph Baily were investigating a domestic disturbance when they both fatally shot Jones in his home. In spite of orders, he had approached them and his mother with a sword. It was the department's first fatal officer-involved shooting.</t>
  </si>
  <si>
    <t>Matthew Coates</t>
  </si>
  <si>
    <t>http://www.killedbypolice.net/victims/150427.jpg</t>
  </si>
  <si>
    <t>2010 61st St</t>
  </si>
  <si>
    <t>95817</t>
  </si>
  <si>
    <t>Sacramento Police Department</t>
  </si>
  <si>
    <t>Officers responded to a call about Coates shouting at his girlfriend, Sonja Morrow, and hitting the caller, Norman Petersen. Over an hour later, officers went to the couple's residence. Morrow let officers in. Coates, in their bedroom, refused to speak to the officers and pointed a BB gun at them. They fatally shot him as Morrow tried to tell them that the weapon was fake.</t>
  </si>
  <si>
    <t>Yes/ Bipolar</t>
  </si>
  <si>
    <t>Denis Reyes</t>
  </si>
  <si>
    <t>http://www.killedbypolice.net/victims/150425.jpg</t>
  </si>
  <si>
    <t>274 E 194th St</t>
  </si>
  <si>
    <t>10458</t>
  </si>
  <si>
    <t>Mark T. Farrar</t>
  </si>
  <si>
    <t>http://www.killedbypolice.net/victims/150426.jpg</t>
  </si>
  <si>
    <t>1806 16th Ave</t>
  </si>
  <si>
    <t>Rockford</t>
  </si>
  <si>
    <t>61104</t>
  </si>
  <si>
    <t>Winnebago</t>
  </si>
  <si>
    <t>Rockford Police Department</t>
  </si>
  <si>
    <t xml:space="preserve">Informed that he was suicidal, officers visited Farrar's residence to do a welfare check. From his front porch, he began shooting at officers with an AR-15, hitting one. An officer shot him fatally in the chest. He died at Swedish American Hospital. </t>
  </si>
  <si>
    <t>Sean Michael Pelletier</t>
  </si>
  <si>
    <t>6095 Anna's Ln</t>
  </si>
  <si>
    <t>Portage</t>
  </si>
  <si>
    <t>49024</t>
  </si>
  <si>
    <t>Kalamazoo</t>
  </si>
  <si>
    <t>Michigan State Police, Kalamazoo County Sheriff's Office and Portage Police Department</t>
  </si>
  <si>
    <t>A chase began on the east side of Kalamazoo County. One of the men was wanted on a warrant of resisting/obstructing an officer. A sheriff's deputy initially was involved in the chase, which later included the state police, Kalamazoo Public Safety and Portage Public Safety. A state trooper, a sheriff's deputy and a Kalamazoo Public Safety officer all fired their weapons</t>
  </si>
  <si>
    <t>Lorenzo Hayes</t>
  </si>
  <si>
    <t>http://www.killedbypolice.net/victims/150423.jpg</t>
  </si>
  <si>
    <t>N Addison St and E Sanson Ave</t>
  </si>
  <si>
    <t>99207</t>
  </si>
  <si>
    <t>While en route to jail, police said the man began kicking on the back of the patrol car. Jail staff took him into the booking area while he was handcuffed. Police said the man was still uncooperative, so jail staff were preparing to place him in a restraint chair when he had a medical emergency.Mielke said he was told the man went into cardiac arrest during processing.</t>
  </si>
  <si>
    <t>D'Angelo Reyes Stallworth</t>
  </si>
  <si>
    <t>7300 Blanding Blvd</t>
  </si>
  <si>
    <t>32244</t>
  </si>
  <si>
    <t>Jacksonville Police Department</t>
  </si>
  <si>
    <t>Two Jacksonville police officers fatally shot Stallworth at a Westside apartment complex after police said he stuck a gun in an officer's chest.</t>
  </si>
  <si>
    <t>Dajuan Graham</t>
  </si>
  <si>
    <t>13900 Castle Blvd</t>
  </si>
  <si>
    <t>Silver Spring</t>
  </si>
  <si>
    <t>20904</t>
  </si>
  <si>
    <t>Montgomery County Police Department</t>
  </si>
  <si>
    <t xml:space="preserve">Police respond to a disturbance call about a man on the street acting erratically and on PCP(Angel Dust). </t>
  </si>
  <si>
    <t>Bruce Zalonka</t>
  </si>
  <si>
    <t>http://www.killedbypolice.net/victims/150421.jpg</t>
  </si>
  <si>
    <t>1031 Nuuanu Ave</t>
  </si>
  <si>
    <t>Honolulu</t>
  </si>
  <si>
    <t>96817</t>
  </si>
  <si>
    <t>Marshalls approached Zalonka's vehicle to arrest him on weapon-related charges. He yelled at deputies, who broke a window to shoot him with a stun gun. When it had no effect, and Zalonka reached for a pistol, he was fatally shot.</t>
  </si>
  <si>
    <t>Alec Ouzounian</t>
  </si>
  <si>
    <t>http://www.killedbypolice.net/victims/150420.jpg</t>
  </si>
  <si>
    <t>28 Paseo Viento</t>
  </si>
  <si>
    <t>Rancho Santa Margarita</t>
  </si>
  <si>
    <t>92688</t>
  </si>
  <si>
    <t>Orange County Sheriff's Department</t>
  </si>
  <si>
    <t>Alec Ouzounian of Rancho Santa Margarita was killed after Orange County sheriff’s deputies encountered him inside a home where they had been called to assist a suicidal man.</t>
  </si>
  <si>
    <t>Lionel Young</t>
  </si>
  <si>
    <t>http://www.killedbypolice.net/victims/150414.jpg</t>
  </si>
  <si>
    <t>950 Nalley Rd</t>
  </si>
  <si>
    <t>Landover</t>
  </si>
  <si>
    <t>20785</t>
  </si>
  <si>
    <t>Prince George's</t>
  </si>
  <si>
    <t>Prince George's County Sheriff's Office</t>
  </si>
  <si>
    <t xml:space="preserve">Around 9 p.m., Corporal Jamal Deider and Deputy Anthony Bynum engaged Young, a domestic violence suspect with two knives, in a car chase. Young rammed the deputy's vehicles in the parking lot of Cora L. Rice Elementary School. Deider and Bynum fatally shot him in response. </t>
  </si>
  <si>
    <t>Kelvin Antonie Goldston</t>
  </si>
  <si>
    <t>http://www.killedbypolice.net/victims/150418.jpg</t>
  </si>
  <si>
    <t>6024 Wheaton Dr</t>
  </si>
  <si>
    <t>76133</t>
  </si>
  <si>
    <t>Officers advanced on a residence occupied by Goldston, named in multiple outstanding warrants. Goldston left the residence, entered a pickup truck and backed into a female narcotics officer. Other officers shot him, the fatal bullet entering his neck.</t>
  </si>
  <si>
    <t>Sean Johnson</t>
  </si>
  <si>
    <t>http://www.killedbypolice.net/victims/150416.jpg</t>
  </si>
  <si>
    <t>59705 E Bidegain Pl</t>
  </si>
  <si>
    <t>Kearny</t>
  </si>
  <si>
    <t>85137</t>
  </si>
  <si>
    <t>Pinal</t>
  </si>
  <si>
    <t>Pinal County Sheriff's Office</t>
  </si>
  <si>
    <t>A Kearny man wielding a Samurai sword was shot and killed by police officers on Friday night after refusing to drop the sword and swinging at police officers.</t>
  </si>
  <si>
    <t>Justin Edward Way</t>
  </si>
  <si>
    <t>http://www.killedbypolice.net/victims/150417.jpg</t>
  </si>
  <si>
    <t>225 Presidents Cup Way</t>
  </si>
  <si>
    <t>32092</t>
  </si>
  <si>
    <t>St. Johns</t>
  </si>
  <si>
    <t>Deputies responded to a 911 call about Way, who was threatening suicide. When they entered Way's residence, they alleged that Way pointed a machete at them and they fatally shot him. The shooting is still under investigation.</t>
  </si>
  <si>
    <t>Michael Tyrone Gallagher</t>
  </si>
  <si>
    <t>http://www.killedbypolice.net/victims/150415.jpg</t>
  </si>
  <si>
    <t>100 Whitfield St</t>
  </si>
  <si>
    <t>Enfield</t>
  </si>
  <si>
    <t>27823</t>
  </si>
  <si>
    <t>Halifax</t>
  </si>
  <si>
    <t>Enfield Police Department</t>
  </si>
  <si>
    <t>Lt. Jerry Powell arrived at a break in caused by Michael Tyrone Gallagher. He confronted Gallagher, and then Powell, along with a witness, got into an altercation with Gallagher.During the confrontation, authorities said Powell's taser was used on Gallagher. Powell and the witness then handcuffed him.When Halifax County EMS crews arrived, they found Gallagher unresponsive and immediately took him to the Halifax County Medical Center, where he was later pronounced dead.</t>
  </si>
  <si>
    <t>Stephen Cunningham</t>
  </si>
  <si>
    <t>3420 S Proctor St</t>
  </si>
  <si>
    <t>98409</t>
  </si>
  <si>
    <t>Tacoma police shot and killed a man after being called to a noise complaint.</t>
  </si>
  <si>
    <t>unknown</t>
  </si>
  <si>
    <t>Sam Matthew Holmes</t>
  </si>
  <si>
    <t>http://victimsofpolice.com/2015/images/Sam-Matthew-Holmes.png</t>
  </si>
  <si>
    <t>University Ave NE and I-694</t>
  </si>
  <si>
    <t>Fridley</t>
  </si>
  <si>
    <t>55432</t>
  </si>
  <si>
    <t>Anoka</t>
  </si>
  <si>
    <t>Lino Lakes Police Department</t>
  </si>
  <si>
    <t xml:space="preserve">Sergeant William Owens stopped a vehicle for speeding, then attempted to arrest the driver, Holmes, for intoxication and outstanding warrants. Holmes, struggled with Owens, who shot him with a Taser. Owens then shot Holmes with a pistol as Holmes re-entered his vehicle and drove away, dragging the sergeant with him. The car veered off into a parking lot. Holmes died on the scene. </t>
  </si>
  <si>
    <t>Pending investigation; Minnesota Bureau of Criminal Apprehension, Minnesota State Patrol, Anoka County Sheriff's Office, Fridley Police Department, Lino Lakes Police Department</t>
  </si>
  <si>
    <t>Dedrick Marshall</t>
  </si>
  <si>
    <t>http://www.killedbypolice.net/victims/150410.jpg</t>
  </si>
  <si>
    <t>3020 Destrehan Ave</t>
  </si>
  <si>
    <t>70058</t>
  </si>
  <si>
    <t>Jefferson Parish Sheriff's Office</t>
  </si>
  <si>
    <t xml:space="preserve">Deputies responded to a call about an aggravated assault after Marshall, armed, threatened a group that included his ex-girlfriend. Deputies went to Marshall's home to ask him about the incident. He pointed a semiautomatic pistol at the deputies. Deputy Justin McLin fatally shot him. </t>
  </si>
  <si>
    <t>David A. Schwalm</t>
  </si>
  <si>
    <t>http://www.killedbypolice.net/victims/150411.jpg</t>
  </si>
  <si>
    <t>168 Auringer Rd</t>
  </si>
  <si>
    <t>Constantania</t>
  </si>
  <si>
    <t>13044</t>
  </si>
  <si>
    <t>Oswego</t>
  </si>
  <si>
    <t>Oswego County Sheriff's Department</t>
  </si>
  <si>
    <t xml:space="preserve">Deputy Mark Walton did a welfare check on Schwalm, who was suicidal. Schwalm pointed a shotgun at the deputy, who told him to drop the weapon. When Schwalm did not, Walton fatally shot him. </t>
  </si>
  <si>
    <t>Justified; New York State Police investigation; Schwalm's brother offered condolences to the deputy because of his brother's illness.</t>
  </si>
  <si>
    <t>Nephi Arriguin</t>
  </si>
  <si>
    <t>http://www.killedbypolice.net/victims/150408.jpg</t>
  </si>
  <si>
    <t>17200 Pires Ave</t>
  </si>
  <si>
    <t>Cerritos</t>
  </si>
  <si>
    <t>90703</t>
  </si>
  <si>
    <t>A deputy responded to a call about an unfamiliar woman knocking on doors at Beach Street residences and asking for people who did not live there. The deputy arrested her, then looked into the vehicle that she was associated with, occupied by Arriguin. Told to put his hands up, he drove into the deputy. The deputy shot at him, then pursued him as he drove away. Arriguin's car lost control and crashed half a mile later.</t>
  </si>
  <si>
    <t>John Paul Kaafi</t>
  </si>
  <si>
    <t>http://www.killedbypolice.net/victims/150409.jpg</t>
  </si>
  <si>
    <t>8th St and N Orange Ave</t>
  </si>
  <si>
    <t>34236</t>
  </si>
  <si>
    <t>Sarasota Police Department</t>
  </si>
  <si>
    <t>Officer Juan Jaimes arrested Kaafi during a traffic stop for drug possession. He called Officers Adam Arena and Laura Markey for backup. Jaimes shot Kaafi three times with a Taser for resisting arrest. When Kaafi claimed to suffer asthma, Jaimes called EMS, then cancelled aid. Tim Bess, driver of the car, alleged that officers told him to write a false statement. On the drive to jail, Kaafi escaped the police car. He was shot again with a Taser, struck with a flashlight and recaptured. Before he was jailed, Kaafi complained again of asthma. He was taken to a hospital, where he died.</t>
  </si>
  <si>
    <t>Joseph Roy</t>
  </si>
  <si>
    <t>2853 Avalon Meadows Ct</t>
  </si>
  <si>
    <t>Lawrenceville</t>
  </si>
  <si>
    <t>30044</t>
  </si>
  <si>
    <t>Gwinnett County Sheriff's Department</t>
  </si>
  <si>
    <t>A neighbor called 911 about Roy, a cancer patient threatening suicide. When police responded, he had locked himself into a bathroom. Later, he opened the door, lunging at two officers with a steak knife. They fatally shot him. </t>
  </si>
  <si>
    <t>David Johnson</t>
  </si>
  <si>
    <t>http://www.killedbypolice.net/victims/150406.jpg</t>
  </si>
  <si>
    <t>300 Stone Monument Dr</t>
  </si>
  <si>
    <t>After crashing his vehicle, police said Johnson exited the vehicle armed with a handgun in plain view and was told to drop his weapon before being shot multiple times.</t>
  </si>
  <si>
    <t>Michael G. Murphy</t>
  </si>
  <si>
    <t>http://www.killedbypolice.net/victims/150407.jpg</t>
  </si>
  <si>
    <t>I-84</t>
  </si>
  <si>
    <t>Beacon</t>
  </si>
  <si>
    <t>12508</t>
  </si>
  <si>
    <t>Dutchess</t>
  </si>
  <si>
    <t>Beacon Police Department</t>
  </si>
  <si>
    <t>Michael G. Murphy, who had carjacked a vehicle in southern Dutchess County, was shot and killed by police after he threatened them with a knife.The shooting happened at about 3:30 p.m. Thursday just off Interstate 84, near Exit 11, in the city of Beacon.</t>
  </si>
  <si>
    <t>Brendon Glenn</t>
  </si>
  <si>
    <t>http://www.killedbypolice.net/victims/150402.jpg</t>
  </si>
  <si>
    <t>1602 Pacific Ave</t>
  </si>
  <si>
    <t>90291</t>
  </si>
  <si>
    <t>The officers attempted to detain Glenn, and an altercation occurred between them. During that fight, Glenn was shot and killed.</t>
  </si>
  <si>
    <t>Nuwnah Laroche</t>
  </si>
  <si>
    <t>http://www.killedbypolice.net/victims/150404.jpg</t>
  </si>
  <si>
    <t>I-95</t>
  </si>
  <si>
    <t>Ridgefield Park</t>
  </si>
  <si>
    <t>07094</t>
  </si>
  <si>
    <t>Hudson</t>
  </si>
  <si>
    <t>New Jersey State Police</t>
  </si>
  <si>
    <t>State police officers in high speed pursuit crashes and creates accident where two pedestrians died.</t>
  </si>
  <si>
    <t>Jason Champion</t>
  </si>
  <si>
    <t>Thong Kien Ma</t>
  </si>
  <si>
    <t>http://www.killedbypolice.net/victims/150401.jpg</t>
  </si>
  <si>
    <t>10400 Enloe St</t>
  </si>
  <si>
    <t>South El Monte</t>
  </si>
  <si>
    <t>When deputies arrived, they found a man stabbing another man and when he refused to obey orders and walked towards deputies they open fire.</t>
  </si>
  <si>
    <t>Shawn Watashe</t>
  </si>
  <si>
    <t>6700 E Admiral Pl</t>
  </si>
  <si>
    <t>Tulsa</t>
  </si>
  <si>
    <t>74115</t>
  </si>
  <si>
    <t>Osage Nation Police Department</t>
  </si>
  <si>
    <t>Officer Corey Stewart was off duty but driving a patrol car when he hit Shawn Watashe and left the scene. He returned later and told invistagators that he was the one that hit Watashe. He has been fired and criminal charges have been brought up against him.</t>
  </si>
  <si>
    <t>http://www.tulsaworld.com/news/local/osage-nation-police-officer-involved-in-fatal-hit-and-run/article_7c0413a8-69d5-54a0-9a9c-36644882c725.html</t>
  </si>
  <si>
    <t>Robert Frost</t>
  </si>
  <si>
    <t>http://www.killedbypolice.net/victims/150400.jpg</t>
  </si>
  <si>
    <t>1847 Bob White Blvd</t>
  </si>
  <si>
    <t>Pulaski</t>
  </si>
  <si>
    <t>Pulaski Police Department</t>
  </si>
  <si>
    <t>A Desert Storm veteran with PTSD, Frost sat in his truck near Pulaski Storage when Officer A.M. Abdelaziz looked into the driver's side window and saw that he had a pistol in his lap. Abdelaziz called for backup. Frost woke and began shooting. Abdelaziz shot Frost. Frost opened the door of his truck and collapsed on the ground. It is not yet known whether any of his wounds are self-inflicted.</t>
  </si>
  <si>
    <t>Michael Asher</t>
  </si>
  <si>
    <t>http://www.killedbypolice.net/victims/150398.jpg</t>
  </si>
  <si>
    <t>Doctors Row</t>
  </si>
  <si>
    <t>Chavies</t>
  </si>
  <si>
    <t>Perry</t>
  </si>
  <si>
    <t xml:space="preserve">During a traffic stop, a constable heard gunshots coming from Asher's camper. He called state police, who investigated. Given his phone number, troopers tried and failed to contact Asher. Around 9:30 p.m., Asher exited his camper, pointing a gun in the direction of a trooper, who fatally shot him. </t>
  </si>
  <si>
    <t>Roark K. Cook</t>
  </si>
  <si>
    <t>http://www.killedbypolice.net/victims/150399.jpg</t>
  </si>
  <si>
    <t>3320 W 9th Ave</t>
  </si>
  <si>
    <t>Kennewick</t>
  </si>
  <si>
    <t>Benton</t>
  </si>
  <si>
    <t>Kennewick Police Department/Tri-City Swat Team</t>
  </si>
  <si>
    <t>Richland police, the Benton County Sheriff’s Office and the Tri-City SWAT team responded to help Kennewick officers with a disturbance call.</t>
  </si>
  <si>
    <t>Nadir Soofi</t>
  </si>
  <si>
    <t>http://www.killedbypolice.net/victims/150395.jpg</t>
  </si>
  <si>
    <t>4999 Naaman Forest Blvd</t>
  </si>
  <si>
    <t>Garland</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</si>
  <si>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</si>
  <si>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</si>
  <si>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Elton Simpson</t>
  </si>
  <si>
    <t>http://www.killedbypolice.net/victims/150396.jpg</t>
  </si>
  <si>
    <t>Billy Grimm</t>
  </si>
  <si>
    <t>http://www.killedbypolice.net/victims/150397.jpg</t>
  </si>
  <si>
    <t>Arenal Rd SW and Tapia Blvd SW</t>
  </si>
  <si>
    <t xml:space="preserve">Grimm and his girlfriend were having car trouble. Grimm refused to exit the vehicle - an argument ensued and Grimm produced weapon. The deputy shot and killed Grimm. </t>
  </si>
  <si>
    <t>Kevin Vance Norton</t>
  </si>
  <si>
    <t>http://www.killedbypolice.net/victims/150394.jpg</t>
  </si>
  <si>
    <t>210 W 300 N</t>
  </si>
  <si>
    <t>Roosevelt</t>
  </si>
  <si>
    <t>Duchesne</t>
  </si>
  <si>
    <t>Roosevelt Police Department</t>
  </si>
  <si>
    <t>Police shot and killed a man Sunday that they say was wielding a handgun and acting erratically near the Uintah Basin Medical Center.</t>
  </si>
  <si>
    <t>Kenneth Mathena</t>
  </si>
  <si>
    <t>30 Malvern Ln</t>
  </si>
  <si>
    <t>Smyrna</t>
  </si>
  <si>
    <t>19977</t>
  </si>
  <si>
    <t>Kent</t>
  </si>
  <si>
    <t>Smyrna Police Department</t>
  </si>
  <si>
    <t>Responding to a domestic violence dispute Smyrna Police Officers found an armed man attempting to break into the house. When they arrived, they reported the man, armed with a shotgun pointed it in their direction and they opened fire.</t>
  </si>
  <si>
    <t>Alexia Christian</t>
  </si>
  <si>
    <t>141 Pryor St SW</t>
  </si>
  <si>
    <t>30303</t>
  </si>
  <si>
    <t>Atlanta Police Department</t>
  </si>
  <si>
    <t>Officers shot and killed a woman who allegedly fired shots from the back seat of a patrol car.</t>
  </si>
  <si>
    <t>John D. Acree</t>
  </si>
  <si>
    <t>812 Forest Hills Dr</t>
  </si>
  <si>
    <t xml:space="preserve">Four officers served a warrant on Acree at his home at 7:45 a.m. for missing a court date. Acree, who was mentally ill and believed he was under surveillance, refused to come outside. Officers blocked the front and back doors of his house. As Acree exited the back door with a semiautomatic pistol, he and Officer William Wright exchanged fire. Acree was fatally shot. </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</si>
  <si>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</si>
  <si>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</si>
  <si>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</si>
  <si>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</si>
  <si>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</si>
  <si>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Jeffrey O. Adkins</t>
  </si>
  <si>
    <t>200 Elm Rd</t>
  </si>
  <si>
    <t>Emporia</t>
  </si>
  <si>
    <t>Greensville</t>
  </si>
  <si>
    <t>Greensville County Sheriff's Office and Virginia State Police</t>
  </si>
  <si>
    <t xml:space="preserve">Deputies went to Adkins's residence to serve an emergency custody order around 6:45 p.m. The mentally-ill Navy veteran confronted them with sawed-off shotgun. Negotiators were sent to reason with Adkins. Around 10 p.m., authorities used a diversionary device, or flashbang grenade, against Adkins. He shot at authorities, who fatally shot him in response. </t>
  </si>
  <si>
    <t>Joshua Deysie</t>
  </si>
  <si>
    <t>http://www.gannett-cdn.com/-mm-/3221a1f017874e5965a167b7473dac7b6b71c14a/c=13-0-388-500&amp;r=537&amp;c=0-0-534-712/local/-/media/2015/04/30/Phoenix/Phoenix/635660110001182124-Joshua-Deysie.jpg</t>
  </si>
  <si>
    <t>1400 E Harmony Ave</t>
  </si>
  <si>
    <t xml:space="preserve">Police said 33-year-old Joshua Deysie spent a half hour in a standoff with officers, eventually pointing a gun right at the officers. He was shot and killed. </t>
  </si>
  <si>
    <t>Erick Emmanuel Sanchez</t>
  </si>
  <si>
    <t>"from Mexico" http://www.elpasotimes.com/news/ci_28023272/el-paso-police-officer-shot-and-killed-burglary</t>
  </si>
  <si>
    <t>11565 James Watt Dr</t>
  </si>
  <si>
    <t>Two officers investigating a burglary around 9 p.m. confronted Sanchez. Police alleged that Sanchez advanced on officers with a metal object, threatening them. When one officer shot him with a Taser, officers said that Sanchez rushed at them. The other officer shot him, and he died at a hospital. </t>
  </si>
  <si>
    <t>Andrew Jackson</t>
  </si>
  <si>
    <t>1200 W Florida Ave</t>
  </si>
  <si>
    <t>Chickasha</t>
  </si>
  <si>
    <t>Grady</t>
  </si>
  <si>
    <t>Grady County Sheriff's Department and Chickasha Police Department</t>
  </si>
  <si>
    <t>Chickasha police received a call about a burglary in the 1200 block of S. 16 Street. While on the way to the scene, officers spotted two men walking, Authorities say one of the men ran from police. When two Grady County deputies and a Chickasha police officer went inside, they say Jackson pulled out a knife. An officer then shot Jackson, killing him.</t>
  </si>
  <si>
    <t>Luis Chavez-Diaz</t>
  </si>
  <si>
    <t>1624 Hood Franklin Rd</t>
  </si>
  <si>
    <t>Elk Grove</t>
  </si>
  <si>
    <t>95757</t>
  </si>
  <si>
    <t>California Department of Fish and Wildlife</t>
  </si>
  <si>
    <t>Officers encountered Chavez-Diaz during a raid on a marijuana grow operation on public lands. He was alone when they encountered him and said that he had a gun and pointed it at a game warden when he was shot.</t>
  </si>
  <si>
    <t>Jared Johnson</t>
  </si>
  <si>
    <t>http://www.nola.com/crime/index.ssf/2015/04/dollar_general_police_shooting_2.html</t>
  </si>
  <si>
    <t>8400 Chef Menteur Hwy</t>
  </si>
  <si>
    <t>Orleans</t>
  </si>
  <si>
    <t>Police officers who responded to a report of an armed robbery shot and killed a suspect. A semi-automatic gun was found near the body of the dead suspect. A bag with about $2,000 worth of stolen merchandise was also found inside the store.</t>
  </si>
  <si>
    <t>Joshua Green</t>
  </si>
  <si>
    <t>1408 W Main St</t>
  </si>
  <si>
    <t>Williamson</t>
  </si>
  <si>
    <t>Marion Police Department, Illinois State Police and Williamson County Sheriff's Department</t>
  </si>
  <si>
    <t>Joshua A. Green, 27, of Marion was pronounced dead outside a 1408 W. Main St. apartment where he reportedly took a woman hostage.</t>
  </si>
  <si>
    <t>David Parker</t>
  </si>
  <si>
    <t>36 Randall Rd</t>
  </si>
  <si>
    <t>Mansfield</t>
  </si>
  <si>
    <t>Richland</t>
  </si>
  <si>
    <t>Mansfield Police Department</t>
  </si>
  <si>
    <t>David Parker was shot in his home at around 11 a.m., ending a police standoff that lasted more than 24 hours at the 36 Randall Road home.</t>
  </si>
  <si>
    <t>Terrance Kellom</t>
  </si>
  <si>
    <t>9500 Evergreen Rd</t>
  </si>
  <si>
    <t>Immigration and Customs Enforcement</t>
  </si>
  <si>
    <t xml:space="preserve">A fugitive task force involving ICE and officers with the Detroit Police Department — was attempting to serve an armed robbery warrant at a home. Kellom was shot and killed after an officer felt threatened. </t>
  </si>
  <si>
    <t>Dean Kristian Genova</t>
  </si>
  <si>
    <t>http://jail.com/arrest-records/dean-genova-6308191</t>
  </si>
  <si>
    <t>13822 Brookhurst St</t>
  </si>
  <si>
    <t>Garden Grove</t>
  </si>
  <si>
    <t>Fountain Valley Police Department</t>
  </si>
  <si>
    <t>Officers responded to a burglary in progress call at the drugstore, the suspect fought with officers as they tried to detain him. During the struggle, the suspect bit one officer on the arm and then grabbed another officer's handgun. After making repeated commands to let go of the firearm, an officer fired a single round.</t>
  </si>
  <si>
    <t>Albert Hanson Jr.</t>
  </si>
  <si>
    <t>7th Ave and Kansas Ave</t>
  </si>
  <si>
    <t>Hanford</t>
  </si>
  <si>
    <t>93230</t>
  </si>
  <si>
    <t>Kings County Sheriff's Office</t>
  </si>
  <si>
    <t>The SWAT team responded to the scene and tried to start negotiations with the suspect. During the process, the sheriff's office says a round was fired from the suspect's vehicle. SWAT officers then opened fire.</t>
  </si>
  <si>
    <t>http://www.killedbypolice.net/victims/150380.jpg</t>
  </si>
  <si>
    <t>Billy Joe Patrick</t>
  </si>
  <si>
    <t>Bunch</t>
  </si>
  <si>
    <t>Adair</t>
  </si>
  <si>
    <t>Oklahoma Department of Wildlife Conservation</t>
  </si>
  <si>
    <t>A warden asked Patrick and other fisherman for their fishing licenses and discovered that Patrick was wanted for a parole violation. When the warden tried to arrest Patrick, he attempted to drown the warden. The warden freed himself, then fatally shot Patrick.</t>
  </si>
  <si>
    <t>Ongoing investigation</t>
  </si>
  <si>
    <t>http://www.guns.com/2015/04/30/game-warden-shoots-kills-man-who-tried-to-drown-him-after-checking-fishing-license/</t>
  </si>
  <si>
    <t>Brandon Lawrence</t>
  </si>
  <si>
    <t>800 Simpson Rd</t>
  </si>
  <si>
    <t>Victoria</t>
  </si>
  <si>
    <t>Victoria Police Department</t>
  </si>
  <si>
    <t>The shooting happened after officers were confronted by a suspect with a weapon</t>
  </si>
  <si>
    <t>David Felix</t>
  </si>
  <si>
    <t>538 E Sixth St</t>
  </si>
  <si>
    <t>10009</t>
  </si>
  <si>
    <t>David, who was a schizophrenic living in a home for the mentally ill, was said by police to have involved them in a struggle, in which officers shot him to death. The police had responded to a call in which David was suspected of a robbery.</t>
  </si>
  <si>
    <t>Daniel Howard Davis</t>
  </si>
  <si>
    <t>http://75.103.99.183/obit_images/memorial/59610_memorial.jpg</t>
  </si>
  <si>
    <t>8624 Firestone Cir</t>
  </si>
  <si>
    <t>Clermont</t>
  </si>
  <si>
    <t>Daniel Davis, 58, was visiting his parents’ home on Firestone Circle in a subdivision at the Green Valley Country Club when he caused a fight and refused to leave. Two deputies arrived at the home shortly before 3:30 p.m. to order Davis to leave the residence. The man pulled out a knife during the encounter and was killed.</t>
  </si>
  <si>
    <t>Todd Jamal Dye</t>
  </si>
  <si>
    <t>http://www.killedbypolice.net/victims/150371.jpg</t>
  </si>
  <si>
    <t>1505 E Main St</t>
  </si>
  <si>
    <t>Trinidad</t>
  </si>
  <si>
    <t>Las Animas</t>
  </si>
  <si>
    <t>Trinidad Police Department</t>
  </si>
  <si>
    <t>An officer came in contact with Dye in an empty trailer. Dye ran away then pointed a gun at the officer.</t>
  </si>
  <si>
    <t>Gregory Daquan Harris</t>
  </si>
  <si>
    <t>401 Juniper Lake Rd</t>
  </si>
  <si>
    <t>West End</t>
  </si>
  <si>
    <t>27376</t>
  </si>
  <si>
    <t>Moore</t>
  </si>
  <si>
    <t>Pinehurst Police Department</t>
  </si>
  <si>
    <t>Local police attempted to stop a speeding vehicle, which developed into a police chase. The 25-year-old suspect lost control of his car, left the road and crashed into a tree, which killed his two passengers, Lashonda Ruth Belk and Gregory Daquan Harris.</t>
  </si>
  <si>
    <t>http://www.fayobserver.com/news/local/pinehurst-police-chase-leads-to-crash-dead/article_7df3dee3-c327-5f8d-8d0f-7bc0e0fc0332.html?mode=story</t>
  </si>
  <si>
    <t>Lashonda Ruth Belk</t>
  </si>
  <si>
    <t>Gary Timmie Collins</t>
  </si>
  <si>
    <t>H St NW and 20th Ave NW</t>
  </si>
  <si>
    <t>Coal</t>
  </si>
  <si>
    <t>Collins ignored a driver's license checkpoint and was pursued by troopers. He exited his vehicle with a gun, and a trooper fatally shot him.</t>
  </si>
  <si>
    <t>Mark Cecil Hawkins</t>
  </si>
  <si>
    <t>1940 Turner Rd SE</t>
  </si>
  <si>
    <t>Salem</t>
  </si>
  <si>
    <t>Salem Police Department</t>
  </si>
  <si>
    <t>Before Friday's tense, hours-long standoff ended with the gunman mortally wounded in a Walmart parking lot, he had repeatedly fired his weapon at police while ignoring their demands to surrender, Salem police said.</t>
  </si>
  <si>
    <t>Terry Lee Chatman</t>
  </si>
  <si>
    <t>http://www.houstonchronicle.com/news/houston-texas/houston/article/Bicycle-rider-dies-in-crash-with-HPD-car-6220466.php</t>
  </si>
  <si>
    <t>MLK boulevard and Reed st</t>
  </si>
  <si>
    <t>Houston police say Officer R. Scott was traveling westbound on Reed Road and had the green light when they say a man on a bicycle heading southbound on MLK biked into Reed Road and collided with Officer Scott. The impact killed the Chatman.</t>
  </si>
  <si>
    <t>Hector Morejon</t>
  </si>
  <si>
    <t>http://www.killedbypolice.net/victims/150370.jpg</t>
  </si>
  <si>
    <t>1100 Hoffman Ave</t>
  </si>
  <si>
    <t xml:space="preserve">Officers responding to a trespassing and vandalizing call at about 2:45 p.m. discovered two open windows on scene. The officer shot and killed Morejon after it appeared he pointed an object toward the officer. No weapon was found. </t>
  </si>
  <si>
    <t>Andrew Valadez</t>
  </si>
  <si>
    <t>Tyler St and Glenoaks Blvd</t>
  </si>
  <si>
    <t>Sylmar</t>
  </si>
  <si>
    <t>Around 7 a.m., officers responded to 911 calls about a man brandishing a gun in public. Officers responded, and Valadez pointed the gun at his head. He then turned around as if to walk away. He turned back and pointed his gun at officers, at least one of whom shot him. Valadez died at a nearby hospital.</t>
  </si>
  <si>
    <t>Karen Jenks</t>
  </si>
  <si>
    <t>2661 Gravenstein Hwy S</t>
  </si>
  <si>
    <t>Sebastopol</t>
  </si>
  <si>
    <t>Sonoma</t>
  </si>
  <si>
    <t>Sonoma County Sheriff's Office</t>
  </si>
  <si>
    <t>After a car chase Deputies ordered the woman driving, later identified as Janks, to surrender, but she allegedly accelerated in reverse and struck three deputies and a patrol vehicle behind them. Four deputies fired rounds into the vehicle striking the driver an undetermined amount of times</t>
  </si>
  <si>
    <t>Jonathan Efraim</t>
  </si>
  <si>
    <t>16802 Hillside Ave</t>
  </si>
  <si>
    <t>11432</t>
  </si>
  <si>
    <t>Queens</t>
  </si>
  <si>
    <t>Police responded to a report of a man inside a bar who fired a gun. On arrival, they chased the subject who allegedly fired at them. NYPD opened fire and shot and killed the man.</t>
  </si>
  <si>
    <t>David Levi Dehmann</t>
  </si>
  <si>
    <t>http://www.killedbypolice.net/victims/150369.jpg</t>
  </si>
  <si>
    <t>11540 Upper Gilchrist Rd</t>
  </si>
  <si>
    <t>Mt Vernon</t>
  </si>
  <si>
    <t>Knox</t>
  </si>
  <si>
    <t>Knox County Sheriff's Office</t>
  </si>
  <si>
    <t>Dehmann, autistic, was driven home by Corporal Travis Tharp around 6 p.m. after being hospitalized for intoxication and a possible head injury. He continued to drink vodka until he was arrested, after a struggle, by Tharp and others, around 7:43 p.m. At Knox County Sheriff's Office, he hit his head after he hit a deputy, who threw him to the ground. Dehmann was rushed to a hospital, where he died.</t>
  </si>
  <si>
    <t>Joseph Potts</t>
  </si>
  <si>
    <t>182 N4430 Rd</t>
  </si>
  <si>
    <t>Rufe</t>
  </si>
  <si>
    <t>74755</t>
  </si>
  <si>
    <t>Choctaw County Sheriff's Office and Hugo Police Department</t>
  </si>
  <si>
    <t>Police received a report that a man was shooting at neighbors. The man then set fire to his house and walked out, allegedly trying to grab an officer's gun. He was shot multiple times and died.</t>
  </si>
  <si>
    <t>Lue Vang</t>
  </si>
  <si>
    <t>4100 Eldorado Springs Dr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</si>
  <si>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</si>
  <si>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</si>
  <si>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http://www.dailycamera.com/boulder-county-news/ci_27966283/boulder-county-sheriff-investigating-shooting-eldorado-springs-area</t>
  </si>
  <si>
    <t>William Chapman</t>
  </si>
  <si>
    <t>http://www.killedbypolice.net/victims/150360.jpg</t>
  </si>
  <si>
    <t>1098 Frederick Blvd</t>
  </si>
  <si>
    <t>Portsmouth</t>
  </si>
  <si>
    <t>23707</t>
  </si>
  <si>
    <t>Portsmouth City</t>
  </si>
  <si>
    <t>Portsmouth Police Department</t>
  </si>
  <si>
    <t>Walmart security called the police about a shoplifter. Police found the man in the parking lot. The officer pulled his taser out, there was a tussle, and the taser got knocked out of the officer's hand. The policeman pulled out his gun and the subject allegedly took off his shirt as though he was ready to fight. The officer opened fire, killing the subject on the scene.</t>
  </si>
  <si>
    <t>http://wtkr.com/2015/04/23/mother-of-teen-killed-by-portsmouth-police-he-didnt-deserve-this/</t>
  </si>
  <si>
    <t>Jose E. Herrera</t>
  </si>
  <si>
    <t>3000 W Cecil Ave</t>
  </si>
  <si>
    <t>91764</t>
  </si>
  <si>
    <t>Herrera appeared to be intoxicated. One officer shot and killed Herrera, it is unknown if there was a threat towards said officer.</t>
  </si>
  <si>
    <t>Carlos Saavedra Ramirez</t>
  </si>
  <si>
    <t>http://www.killedbypolice.net/victims/150362.jpg</t>
  </si>
  <si>
    <t>101 Naco Hwy</t>
  </si>
  <si>
    <t>Bisbee</t>
  </si>
  <si>
    <t>85603</t>
  </si>
  <si>
    <t>Bisbee Police Department</t>
  </si>
  <si>
    <t>A woman called police reporting the subject was banging on her windows and being aggressive over a reported parking issue in a Safeway parking lot. When officers arrived, the homeless man, armed with a knife, was shot and killed by police.</t>
  </si>
  <si>
    <t>http://www.kvoa.com/story/28871705/officials-investigating-fatal-officer-involved-shooting-in-bisbee</t>
  </si>
  <si>
    <t>Reginald McGregor</t>
  </si>
  <si>
    <t>http://www.killedbypolice.net/victims/150358.jpg</t>
  </si>
  <si>
    <t>200 North Retta St</t>
  </si>
  <si>
    <t>76111</t>
  </si>
  <si>
    <t>Police were called about a home that was being broken into. He allegedly struggled with the homeowner and fled the house, firing on the homeowner and police, who opened fire and killed the subject.</t>
  </si>
  <si>
    <t>http://www.star-telegram.com/news/local/community/fort-worth/article19316715.html</t>
  </si>
  <si>
    <t>Kimber Key</t>
  </si>
  <si>
    <t>107 White Falls Dr</t>
  </si>
  <si>
    <t>29212</t>
  </si>
  <si>
    <t>Lexington County Sheriff's Office</t>
  </si>
  <si>
    <t>The subject's brother called police to seek help for his brother who was allegedly suicidal. When officers arrived, the man was in the kitchen wielding a knife. The man was shot by a deputy and died.</t>
  </si>
  <si>
    <t>http://www.wltx.com/story/news/local/2015/04/22/man-shot-by-deputies-in-lexington-county-dies/26176707/</t>
  </si>
  <si>
    <t>Samuel Harrell</t>
  </si>
  <si>
    <t>18 Strack Dr</t>
  </si>
  <si>
    <t>New York Department of Corrections and Community Supervision</t>
  </si>
  <si>
    <t>Daniel Wolfe</t>
  </si>
  <si>
    <t>http://www.killedbypolice.net/victims/150355.jpg</t>
  </si>
  <si>
    <t>1714 Walker Ave</t>
  </si>
  <si>
    <t>07083</t>
  </si>
  <si>
    <t>Police were pursuing an alleged carjacked car that crashed into a group of parked cars. Officers opened fire on the subject, killing him at the scene.</t>
  </si>
  <si>
    <t>Luis Martinez</t>
  </si>
  <si>
    <t>3400 Manitou Ave</t>
  </si>
  <si>
    <t>90031</t>
  </si>
  <si>
    <t>Officers responded to a report of a man who might be trying to fatally stab himself with a knife. On the scene, the man refused to drop the knife and allegedly moved towards the officers who opened fire and killed him.</t>
  </si>
  <si>
    <t>Daniel I. Covarrubias</t>
  </si>
  <si>
    <t>http://www.killedbypolice.net/victims/150356.jpg</t>
  </si>
  <si>
    <t>3600 SW 108th St</t>
  </si>
  <si>
    <t>98499</t>
  </si>
  <si>
    <t>Lakewood Police Department</t>
  </si>
  <si>
    <t>Police responded to a call about a man running through a lumber yard "as if he were being chased by police." So, police chased him. The man vaulted a fence and climbed to the top of a 25-foot pile of wood. Police told him to put his hands up and the man reached into his pocket and they opened fire, killing him at the scene.</t>
  </si>
  <si>
    <t>http://www.komonews.com/news/local/Man-critically-wounded-in-officer-involved-shooting-in-Lakewood-300859491.html</t>
  </si>
  <si>
    <t>Stephen Gene Davenport</t>
  </si>
  <si>
    <t>http://www.killedbypolice.net/victims/150354.jpg</t>
  </si>
  <si>
    <t>Old Hwy 19 SE</t>
  </si>
  <si>
    <t>Meridian</t>
  </si>
  <si>
    <t>39301</t>
  </si>
  <si>
    <t>Lauderdale</t>
  </si>
  <si>
    <t>Lauderdale County Sheriff's Office</t>
  </si>
  <si>
    <t>Deputies responded to a call of two men fighting, apparently, in the middle of Highway 19 in rural Mississippi. While trying to arrest the subject a stun gun was used "unsuccessfully" according to deputies and as soon as the man was in handcuffs he became unresponsive. He was transported to a hospital where he died.</t>
  </si>
  <si>
    <t>Santos “Cuate” Cortez Hernandez</t>
  </si>
  <si>
    <t>http://www.killedbypolice.net/victims/150353.jpg</t>
  </si>
  <si>
    <t>Mission</t>
  </si>
  <si>
    <t>A fugitive who was fatally shot by sheriff’s deputies this week had led a criminal organization, made up mostly of teenagers, that was involved in a string of crimes across Hidalgo County, authorities said Thursday</t>
  </si>
  <si>
    <t>http://www.expressnews.com/news/local/article/Hidalgo-County-sheriff-says-leader-of-criminal-6220543.php</t>
  </si>
  <si>
    <t>Dana Duwane Hlavinka</t>
  </si>
  <si>
    <t>http://www.killedbypolice.net/victims/150352.jpg</t>
  </si>
  <si>
    <t>1363 Clark Dr</t>
  </si>
  <si>
    <t>Sidney</t>
  </si>
  <si>
    <t>69162</t>
  </si>
  <si>
    <t>Sidney Police Department</t>
  </si>
  <si>
    <t>Officers responded to a domestic call and found the subject's wife running from the house. Inside, the subject was armed with a knife and officers fired and killed him.</t>
  </si>
  <si>
    <t>Freddie Gray</t>
  </si>
  <si>
    <t>http://www.killedbypolice.net/victims/150349.jpg</t>
  </si>
  <si>
    <t>Mount St and Presbury St</t>
  </si>
  <si>
    <t>21217</t>
  </si>
  <si>
    <t>Baltimore Police Department</t>
  </si>
  <si>
    <t>http://www.ksat.com/content/pns/ksat/news/2015/04/19/man-dies-in-police-custody0.html</t>
  </si>
  <si>
    <t>Norman Cooper</t>
  </si>
  <si>
    <t>http://www.killedbypolice.net/victims/150350.jpg</t>
  </si>
  <si>
    <t>4827 Legend Well Dr</t>
  </si>
  <si>
    <t>78247</t>
  </si>
  <si>
    <t>Police were called on a report of a family disturbance and found the subject under the influence of "some sort of narcotic." The subject was uncooperative and wouldn't be escorted out so police fired a Taser at him. The subject then allegedly pulled the probes of the Taser out and a second Taser was fired at him. Shortly after, the subject became unresponsive and was pronounced dead at the scene.</t>
  </si>
  <si>
    <t>http://www.baltimoresun.com/news/maryland/bs-md-hagerstown-custody-death-20150417-story.html</t>
  </si>
  <si>
    <t>Michael Foster</t>
  </si>
  <si>
    <t>105 Hinkle St</t>
  </si>
  <si>
    <t>Wilmore</t>
  </si>
  <si>
    <t>40390</t>
  </si>
  <si>
    <t>Jessamine</t>
  </si>
  <si>
    <t>Wilmore Police Department</t>
  </si>
  <si>
    <t>Police were called to a residence they had been to several previous times, found a man outside with a gun who allegedly pointed it at them. Police fired at the man, killing him.</t>
  </si>
  <si>
    <t>Richard Brian Reed</t>
  </si>
  <si>
    <t>http://www.killedbypolice.net/victims/150351.jpg</t>
  </si>
  <si>
    <t>SW Wanamaker Rd and I-70</t>
  </si>
  <si>
    <t>Topeka</t>
  </si>
  <si>
    <t>66606</t>
  </si>
  <si>
    <t>Shawnee</t>
  </si>
  <si>
    <t>Topeka Police Department</t>
  </si>
  <si>
    <t>The subject allegedly carjacked two cars, the second of which he allegedly rammed into police cruisers. Police opened fire and the subject died nine days later in the hospital.</t>
  </si>
  <si>
    <t>http://cjonline.com/news/2015-04-19/coroners-office-man-shot-topeka-police-after-alleged-carjackings-died-saturday</t>
  </si>
  <si>
    <t>Thaddeus McCarroll</t>
  </si>
  <si>
    <t>http://www.killedbypolice.net/victims/150345.jpg</t>
  </si>
  <si>
    <t>9201 Riverwood Dr</t>
  </si>
  <si>
    <t>Jennings</t>
  </si>
  <si>
    <t>63136</t>
  </si>
  <si>
    <t>Police received a call from a mother concerned about her son, who she said had locked her out of her house and was walking around being very strange, speaking of "black revolution" and carrying swords and knives inside the house. The man left the house carrying a knife and a Bible, was hit by the "not-so-lethal" round and then allegedly charged at officers who opened fire, killing him at the scene.</t>
  </si>
  <si>
    <t>http://stlouis.cbslocal.com/2015/04/18/police-shoot-kill-man-armed-with-knife-and-bible/</t>
  </si>
  <si>
    <t>Erik Tellez</t>
  </si>
  <si>
    <t>https://www.facebook.com/erick.lagunastellez/photos</t>
  </si>
  <si>
    <t>20th St and Thomas Rd</t>
  </si>
  <si>
    <t>85006</t>
  </si>
  <si>
    <t>Officers were called to a park by a report of a man acting suspicious. The man was armed and said he thought there were snipers and others pointing guns at him. Before police had a chance to establish a conversation with the subject he allegedly opened fire and police returned fire, killing the man.</t>
  </si>
  <si>
    <t>Grover Zeno Sapp Jr.</t>
  </si>
  <si>
    <t>http://www.killedbypolice.net/victims/150346.jpg</t>
  </si>
  <si>
    <t>1200 Beck Ave</t>
  </si>
  <si>
    <t>Panama City</t>
  </si>
  <si>
    <t>32401</t>
  </si>
  <si>
    <t>Bay</t>
  </si>
  <si>
    <t>Panama City Police Department</t>
  </si>
  <si>
    <t>Officers responded to a report of a white male carrying a “long gun” in the around 5:30 a.m. Police encountered the suspect and after numerous commands to put down the gun the suspect “engaged” officers and they returned fire, killing him.</t>
  </si>
  <si>
    <t>http://www.newsherald.com/news/crime-public-safety/man-dies-after-officer-involved-shooting-on-beck-avenue-1.466560?tc=cr</t>
  </si>
  <si>
    <t>Jeffery Kemp</t>
  </si>
  <si>
    <t>http://jail.com/arrest-records/jeffery-kemp-7849409</t>
  </si>
  <si>
    <t>74th Street and Merrill Ave</t>
  </si>
  <si>
    <t>Officers on patrol near 71st Street and Paxton Avenue heard shots fired and saw a van speeding away from the area. A chase ensued and a man jumped from the vehicle with a gun in his hand. After a foot pursuit, officers commanded the man to drop the weapon. The man allegedly refused and pointed the gun at officers who fired and killed the man at the scene.</t>
  </si>
  <si>
    <t>Darrell Lawrence Brown</t>
  </si>
  <si>
    <t>402 North Prospect St</t>
  </si>
  <si>
    <t>Hagerstown</t>
  </si>
  <si>
    <t>21740</t>
  </si>
  <si>
    <t>Hagerstown Police Department</t>
  </si>
  <si>
    <t>Police responded to a call of a man attempting to break-into a house. They had reason to believe he was on drugs. The man allegedly made an aggressive stance toward police and was tasered an unknown number of times. He became unresponsive and was put in an ambulance and died at the hospital early the next morning.</t>
  </si>
  <si>
    <t>Elias Cavazos</t>
  </si>
  <si>
    <t>http://www.killedbypolice.net/victims/150343.jpg</t>
  </si>
  <si>
    <t>Girard Street and Acacia Ave</t>
  </si>
  <si>
    <t>92544</t>
  </si>
  <si>
    <t>Riverside County Sheriff's Department and California Highway Patrol</t>
  </si>
  <si>
    <t>Officers on anti-gang task force duty stopped a vehicle because they recognized the man in the passenger seat who was on parole and had a felony warrant for his arrest. As soon as the car stopped, the subject allegedly flung open his door and started firing at officers. Officers returned fire, killing the man at the scene.</t>
  </si>
  <si>
    <t>Delonte Lee</t>
  </si>
  <si>
    <t>20601</t>
  </si>
  <si>
    <t>Charles</t>
  </si>
  <si>
    <t>State troopers attempted to pull Lee over at 1 a.m. for a bad license plate light. Lee refused to stop, possibly because of an outstanding failure-to-appear warrant. He pulled off Route 301 and onto Acton Lane. Police describe the chase halted and then the trooper coming across Lee's fatal one-car wreck shortly after.</t>
  </si>
  <si>
    <t>http://www.nbcwashington.com/news/local/1-Dead-in-Crash-in-Waldorf-300057901.html</t>
  </si>
  <si>
    <t>Rodolfo Velazquez</t>
  </si>
  <si>
    <t>West Lerdo Hwy and South Wall St</t>
  </si>
  <si>
    <t>Shafter</t>
  </si>
  <si>
    <t>92363</t>
  </si>
  <si>
    <t>Shafter Police Department</t>
  </si>
  <si>
    <t>Officers shot and killed a man after he reportedly pulled a knife and approached them in an alley, not complying with their demands for him to put the knife down but instead moving closer to them.</t>
  </si>
  <si>
    <t>David Kapuscinski</t>
  </si>
  <si>
    <t>http://www.killedbypolice.net/victims/150341.jpg</t>
  </si>
  <si>
    <t>14680 Middle Gibraltar Rd</t>
  </si>
  <si>
    <t>Rockwood</t>
  </si>
  <si>
    <t>48173</t>
  </si>
  <si>
    <t>Gibraltar Police Department</t>
  </si>
  <si>
    <t>Officers arrived on the scene and confronted the subject who was allegedly in the act of assaulting the victim. Officers TASERed the man an unknown number of times. The man became unresponsive and died.</t>
  </si>
  <si>
    <t>Mark W. Adair</t>
  </si>
  <si>
    <t>http://www.killedbypolice.net/victims/150339.jpg</t>
  </si>
  <si>
    <t>Hitt St and Elm St</t>
  </si>
  <si>
    <t>65201</t>
  </si>
  <si>
    <t>Boone</t>
  </si>
  <si>
    <t>Columbia Police Department and University of Missouri Police</t>
  </si>
  <si>
    <t>Police recognized the subject, an alleged sex offender, in a parking garage and approached him. Shots were fired after an "altercation between the two where the officer cornered him." The details are not yet known.</t>
  </si>
  <si>
    <t>Tevin Barkley</t>
  </si>
  <si>
    <t>http://www.killedbypolice.net/victims/150335.jpg</t>
  </si>
  <si>
    <t>840 NW 75th St</t>
  </si>
  <si>
    <t>33150</t>
  </si>
  <si>
    <t>Officers on bicycle patrol responded to a call about shots fired and at least one made contact with the subject who was found to have a Cobray M-11 assault-style weapon on his person. The officer fired and killed the subject.</t>
  </si>
  <si>
    <t>Donte Adaryll Noble</t>
  </si>
  <si>
    <t>200 Canaan Pointe Dr</t>
  </si>
  <si>
    <t>Spartanburg</t>
  </si>
  <si>
    <t>29306</t>
  </si>
  <si>
    <t>Spartanburg Police Department</t>
  </si>
  <si>
    <t>Police responded to a 911 call of a man stabbing a woman in an apartment complex. Once they located the apartment, officers kicked down the door and shot the suspect dead as he was stabbing the woman.</t>
  </si>
  <si>
    <t>http://www.killedbypolice.net/victims/150333.jpg</t>
  </si>
  <si>
    <t>Castlegory Rd and Wallisville Rd</t>
  </si>
  <si>
    <t>77015</t>
  </si>
  <si>
    <t>Police tried to initiate a traffic stop on a man due to "suspicious activity," including two unsafe lane changes. The man got out of the vehicle and then appeared to reach back into the vehicle when the two officers fired on him and killed him. No weapon was found in the vehicle.</t>
  </si>
  <si>
    <t>Ernesto Flores</t>
  </si>
  <si>
    <t>http://www.killedbypolice.net/victims/150336.jpg</t>
  </si>
  <si>
    <t>11157 Chico Ave</t>
  </si>
  <si>
    <t>Pomona</t>
  </si>
  <si>
    <t>97166</t>
  </si>
  <si>
    <t>Deputies responded to a report of a man barricaded in his home and threatening to blow it up. At one point he allegedly started a fire inside. Reports say, "It’s unclear exactly why deputies opened fire." The man died at the hospital.</t>
  </si>
  <si>
    <t>Christopher Grant Finley</t>
  </si>
  <si>
    <t>http://www.killedbypolice.net/victims/150331.jpg</t>
  </si>
  <si>
    <t>900 Walnut St</t>
  </si>
  <si>
    <t>Jonesboro</t>
  </si>
  <si>
    <t>Craighead</t>
  </si>
  <si>
    <t>Jonesboro Police Department</t>
  </si>
  <si>
    <t xml:space="preserve">Finley struck an officer in the arm with a machete. Finely was then shot and killed. </t>
  </si>
  <si>
    <t>Joseph Slater</t>
  </si>
  <si>
    <t>http://www.killedbypolice.net/victims/150337.jpg</t>
  </si>
  <si>
    <t>27767 Base Line</t>
  </si>
  <si>
    <t>Highland</t>
  </si>
  <si>
    <t>92346</t>
  </si>
  <si>
    <t>Highland Police Department</t>
  </si>
  <si>
    <t>Deputies responded to a report of a man damaging property a gas station. They pepper-sprayed him at least once and he allegedly tried to escape. They finally got him under control after "force was used to overcome his resistance" and got the subject in the patrol car when the man had a medical emergency and became unresponsive. He died soon after at the hospital.</t>
  </si>
  <si>
    <t>Stanley Watson</t>
  </si>
  <si>
    <t>http://www.killedbypolice.net/victims/150332.jpg</t>
  </si>
  <si>
    <t>3120 East Main St</t>
  </si>
  <si>
    <t>81212</t>
  </si>
  <si>
    <t>Carson City Police Department</t>
  </si>
  <si>
    <t>The subject called police and said he was suicidal and was going to shoot his wife and his dog. Police responded and found out that he had carried out his threat. The man barricaded himself in his trailer, eventually coming out shooting with two guns. Police returned fire and killed the man at the scene.</t>
  </si>
  <si>
    <t>Shawn Clyde</t>
  </si>
  <si>
    <t>https://www.vinelink.com/vinelink/detailsAction.do?siteId=31000&amp;agency=11&amp;id=1100083552&amp;searchType=offender</t>
  </si>
  <si>
    <t>110 Nottinghill Ln</t>
  </si>
  <si>
    <t>Hamilton Township</t>
  </si>
  <si>
    <t>08619</t>
  </si>
  <si>
    <t>Mercer</t>
  </si>
  <si>
    <t>Hamilton Police Department</t>
  </si>
  <si>
    <t xml:space="preserve">Clyde was shot and killed by police after he refused to drop a knife he used to repeatedly stab his father, authorities said </t>
  </si>
  <si>
    <t xml:space="preserve">Pending investigation  </t>
  </si>
  <si>
    <t>Karl Taylor</t>
  </si>
  <si>
    <t>http://www.killedbypolice.net/victims/150330.jpg</t>
  </si>
  <si>
    <t>325 Riverside Dr</t>
  </si>
  <si>
    <t>Fallsburg</t>
  </si>
  <si>
    <t>12733</t>
  </si>
  <si>
    <t>Sullivan</t>
  </si>
  <si>
    <t>Colby Robinson</t>
  </si>
  <si>
    <t>http://www.killedbypolice.net/victims/150329.jpg</t>
  </si>
  <si>
    <t>7000 Altaire Ave</t>
  </si>
  <si>
    <t>DeSoto Police Department</t>
  </si>
  <si>
    <t xml:space="preserve">Robinson was wanted for murder and was found in Dallas. After a short foot chase Robinson was shot and killed. </t>
  </si>
  <si>
    <t>Isaac Jimenez</t>
  </si>
  <si>
    <t>3400 Lincoln Ave</t>
  </si>
  <si>
    <t>Alton</t>
  </si>
  <si>
    <t>63121</t>
  </si>
  <si>
    <t>Alton Police Department</t>
  </si>
  <si>
    <t>Police were called about a report of a suspect being in the area who was wanted for murder. On arrival, Jimenez allegedly displayed a handgun and was shot and killed at the scene.</t>
  </si>
  <si>
    <t>Celin Nunez</t>
  </si>
  <si>
    <t>3 Greens Rd</t>
  </si>
  <si>
    <t>77060</t>
  </si>
  <si>
    <t>The Guardian reports that Nunez's name was released to them by Harris County Institute of Forensic Sciances. Nunez was shot by Houston Police Officer David Sudderth while sitting in his truck at a gas station. Police say he was acting eradically.</t>
  </si>
  <si>
    <t>Peding investigaton</t>
  </si>
  <si>
    <t>http://abc13.com/news/hpd-off-duty-officer-fatally-shoots-suspect/656854/</t>
  </si>
  <si>
    <t>Jason Lee Evans</t>
  </si>
  <si>
    <t>https://scontent-sjc.xx.fbcdn.net/hphotos-xfp1/t31.0-8/904300_108013602730490_1054741731_o.jpg</t>
  </si>
  <si>
    <t>North Carolina Hwy 242 and Reeda Branch Rd</t>
  </si>
  <si>
    <t>Salemburg</t>
  </si>
  <si>
    <t>28385</t>
  </si>
  <si>
    <t>Sampson</t>
  </si>
  <si>
    <t>Sampson County Sheriff's Office</t>
  </si>
  <si>
    <t>Evans fired a shot into the ceiling of a convenience store during an armed robbery. Deputies caught up with his vehicle about 20 miles away. Evans fired at the officers, who fatally shot him.</t>
  </si>
  <si>
    <t>Mack Long</t>
  </si>
  <si>
    <t>http://www.killedbypolice.net/victims/150324.jpg</t>
  </si>
  <si>
    <t>E 31st St and N Sherman Dr</t>
  </si>
  <si>
    <t>Officer Christopher Wilburn, an IMPD spokesman, said the officers chased the suspect, who was armed, and a struggle ensued. One officer was grazed by a bullet but suffered only minor injuries. Long was killed.</t>
  </si>
  <si>
    <t>Richard Dale Weaver</t>
  </si>
  <si>
    <t>http://www.killedbypolice.net/victims/150325.jpg</t>
  </si>
  <si>
    <t>Sleepy Hollow Dr and Misty Glen Dr</t>
  </si>
  <si>
    <t>Newalla</t>
  </si>
  <si>
    <t>74857</t>
  </si>
  <si>
    <t>Police responded to a call about an elderly man carrying a machete and making threats to passing cars and people in the area. An officer approached and the man refused to put the machete down. The officer shot and killed the man at the scene.</t>
  </si>
  <si>
    <t>Donald W. Allen</t>
  </si>
  <si>
    <t>http://www.killedbypolice.net/victims/150323.jpg</t>
  </si>
  <si>
    <t>W 51st St and S 129th Ave W</t>
  </si>
  <si>
    <t>Sand Springs</t>
  </si>
  <si>
    <t>Sand Springs Police Department</t>
  </si>
  <si>
    <t>Police said they received a call that a man was firing a gun in his backyard in Prattville and went to the neighborhood just after 8 a.m. Officers say he wouldn't drop the gun and threatened them. The man again confronted officers, rushing at one with the gun pointed, according to Sand Springs Chief of Police Daniel Bradley. That's when Bradley said the officer fired three shots and the man was killed.</t>
  </si>
  <si>
    <t>Angel Cresencio Corona Jr.</t>
  </si>
  <si>
    <t>http://www.killedbypolice.net/victims/150321.jpg</t>
  </si>
  <si>
    <t>4740 Barham Ave</t>
  </si>
  <si>
    <t>Corning</t>
  </si>
  <si>
    <t>96021</t>
  </si>
  <si>
    <t>Tehama</t>
  </si>
  <si>
    <t>Tehama County Sheriff's Department</t>
  </si>
  <si>
    <t>Deputies responded to a call of a disturbance in a mobile home park and found the subject outside a mobile home stabbing a relative. The deputy shot and killed the subject.</t>
  </si>
  <si>
    <t>Jess Leipold</t>
  </si>
  <si>
    <t>45 Major Bell Ln</t>
  </si>
  <si>
    <t>Gettysburg</t>
  </si>
  <si>
    <t>17325</t>
  </si>
  <si>
    <t>Leipold showed up to the Adams County prison with a gun and was killed by state police.</t>
  </si>
  <si>
    <t>Don Oneal Smith Jr.</t>
  </si>
  <si>
    <t>http://www.killedbypolice.net/victims/150319.jpg</t>
  </si>
  <si>
    <t>8516 N Meridian Rd</t>
  </si>
  <si>
    <t>Monon</t>
  </si>
  <si>
    <t>47959</t>
  </si>
  <si>
    <t>Indiana State Police, Tippecanoe County Sheriff's Department</t>
  </si>
  <si>
    <t>The subject committed an armed robbery and carjacking in Illinois where he took a hostage and drove to Indiana. There, he held up a check cashing business and eventually was run off the road by a set of police spike strips. He was killed in the subsequent shootout with police.</t>
  </si>
  <si>
    <t>Gordon Talmage Kimbrell Jr.</t>
  </si>
  <si>
    <t>(victim's dad) http://openpasts.com/photo/gordon-kimbrell/okaloosa-florida/0607135349069</t>
  </si>
  <si>
    <t>9265 Quail Roost Dr</t>
  </si>
  <si>
    <t>Navarre</t>
  </si>
  <si>
    <t>32566</t>
  </si>
  <si>
    <t>Santa Rosa</t>
  </si>
  <si>
    <t>Santa Rosa County Sheriff's Office</t>
  </si>
  <si>
    <t>Officers responded to a call about a man with a weapon and encountered the subject in possession of a samurai sword. He allegedly attacked the officers who shot him dead.</t>
  </si>
  <si>
    <t>Mark Smith</t>
  </si>
  <si>
    <t>http://www.killedbypolice.net/victims/150317.jpg</t>
  </si>
  <si>
    <t>W 141st St and 257th W Ave</t>
  </si>
  <si>
    <t>Kellyville</t>
  </si>
  <si>
    <t>74039</t>
  </si>
  <si>
    <t>Creek County Sheriff's Department and Bristow Police Department</t>
  </si>
  <si>
    <t>Deputies responded to a domestic violence call at the subject's residence and an officer shot the subject, killing him at the scene. No further information has been released.</t>
  </si>
  <si>
    <t>Phillip Michael Burgess</t>
  </si>
  <si>
    <t>http://www.killedbypolice.net/victims/150318.jpg</t>
  </si>
  <si>
    <t>477 Belcher Rd</t>
  </si>
  <si>
    <t>Boiling Springs</t>
  </si>
  <si>
    <t>29316</t>
  </si>
  <si>
    <t>Spartanburg County Sheriff's Office</t>
  </si>
  <si>
    <t>Police went to the subject's house to serve a narcotics warrant when he allegedly pointed a gun at them and was killed by the officers.</t>
  </si>
  <si>
    <t>Dexter Bethea</t>
  </si>
  <si>
    <t>http://www.killedbypolice.net/victims/150314.jpg</t>
  </si>
  <si>
    <t>3022 James Rd</t>
  </si>
  <si>
    <t>Valdosta</t>
  </si>
  <si>
    <t>31602</t>
  </si>
  <si>
    <t>Lowndes</t>
  </si>
  <si>
    <t>Lowndes County Sheriff's Office</t>
  </si>
  <si>
    <t>Roberto Rodriguez</t>
  </si>
  <si>
    <t>4th St and Mathews St</t>
  </si>
  <si>
    <t>90033</t>
  </si>
  <si>
    <t>Officers chased the suspect, wanted for an earlier murder, on foot and shot him dead.</t>
  </si>
  <si>
    <t>Michael Earl Lemon</t>
  </si>
  <si>
    <t>11936 California Rte 178</t>
  </si>
  <si>
    <t>Lake Isabella</t>
  </si>
  <si>
    <t>93240</t>
  </si>
  <si>
    <t>The Kern County Sheriff's Office says they used less than lethal force on Lemon while trying to get him in handcuffs. They now say the two deputies used batons, tasers and pepper spray to control Lemon though its not clear which deputy used what.</t>
  </si>
  <si>
    <t>Joseph Jeremy Weber</t>
  </si>
  <si>
    <t>http://www.killedbypolice.net/victims/150312.jpg</t>
  </si>
  <si>
    <t>Tasman Dr and Lawrence Expy</t>
  </si>
  <si>
    <t>94089</t>
  </si>
  <si>
    <t>Police confronted the suspect in an alley after a liquor store robbery. The subject, an army veteran said to be suffering from PTSD allegedly moved toward one of the officers with a knife and was shot dead.</t>
  </si>
  <si>
    <t>Douglas Faith</t>
  </si>
  <si>
    <t>Karen Ln and Corinne Dr</t>
  </si>
  <si>
    <t>78218</t>
  </si>
  <si>
    <t>Police attempted a traffic stop but the subject allegedly led them on a chase. When they caught up to him in a Walmart parking lot he began screaming threats and started reaching for something in a bag. Officers fired and killed the man.</t>
  </si>
  <si>
    <t>Tyrell J. Larsen</t>
  </si>
  <si>
    <t>http://www.killedbypolice.net/victims/150310.jpg</t>
  </si>
  <si>
    <t>E 100 N</t>
  </si>
  <si>
    <t>Rigby</t>
  </si>
  <si>
    <t>83442</t>
  </si>
  <si>
    <t>Bonneville County</t>
  </si>
  <si>
    <t>A Bonneville County deputy tried to initiate a traffic stop on the subject who was a felon with charges of Larsen was a convicted felon with drug, weapons, traffic, and hunting violations. The subject refused to stop and turned off his lights, leading the deputy on a high-speed chase in the dark. Eventually he pulled into a driveway and drove into a cement foundation. When the deputy got out to see if the subject was OK, he drew a .22 caliber rifle and refused to drop it. The deputy fired and killed the subject.</t>
  </si>
  <si>
    <t>Erick Rose</t>
  </si>
  <si>
    <t>http://www.killedbypolice.net/victims/150311.jpg</t>
  </si>
  <si>
    <t>Post Office Neck Rd and Lake Rd</t>
  </si>
  <si>
    <t>74801</t>
  </si>
  <si>
    <t>Pottawatomie</t>
  </si>
  <si>
    <t>Pottawatomie County Sheriff's Office</t>
  </si>
  <si>
    <t>The subject led police on a high-speed pursuit and refused to get out of his car after it crashed. Officers shot him dead at the scene.</t>
  </si>
  <si>
    <t>Desmond Willis</t>
  </si>
  <si>
    <t>http://www.killedbypolice.net/victims/150307.jpg</t>
  </si>
  <si>
    <t>2515 Manhattan Blvd</t>
  </si>
  <si>
    <t>Detectives attempted a vehicle stop of Mr. Willis on suspicion of drug dealing. Willis initially stopped but drove away. Detectives chased. Willis drove to an area of retail businesses, wrecked his vehicle and fled on foot. Witnesses say Willis pointed a gun at deputies and fired. A gun battle ensued. Willis was eventually killed. A gun was found near Willis’ body with another gun in his pocket.</t>
  </si>
  <si>
    <t>Richard August Hanna</t>
  </si>
  <si>
    <t>400 Steuber Rd</t>
  </si>
  <si>
    <t>Tehachapi</t>
  </si>
  <si>
    <t>Tehachapi Police Department</t>
  </si>
  <si>
    <t>Officers responding to a domestic violence call found Hanna in a vehicle with a weapon. He allegedly fired once while in the vehicle, exited and advanced on officers, who shot him. He died at Tehachapi Hospital.</t>
  </si>
  <si>
    <t>William J. Dick III</t>
  </si>
  <si>
    <t>Bureau of Indian Affairs Rd 66</t>
  </si>
  <si>
    <t>Tonasket</t>
  </si>
  <si>
    <t>98855</t>
  </si>
  <si>
    <t>Okanogan</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</si>
  <si>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</si>
  <si>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Jared Forsyth</t>
  </si>
  <si>
    <t>http://www.killedbypolice.net/victims/150308.jpg</t>
  </si>
  <si>
    <t>11120 NW Gainesville Rd</t>
  </si>
  <si>
    <t>Ocala</t>
  </si>
  <si>
    <t>34482</t>
  </si>
  <si>
    <t>Ocala Police Department</t>
  </si>
  <si>
    <t>During a firearms training session at a local correctional institution Officer Forsyth accidentally took a round in the side, which bypassed his bulletproof vest and entered his chest. He died several hours later in surgery.</t>
  </si>
  <si>
    <t>Alexander Myers</t>
  </si>
  <si>
    <t>http://www.killedbypolice.net/victims/150305.jpg</t>
  </si>
  <si>
    <t>5700 block Ashby Dr</t>
  </si>
  <si>
    <t>46221</t>
  </si>
  <si>
    <t>Police say the man, later identified as 23-year-old Alexander Myers, confronted officers with a rifle after they were called out on a report of a suicidal individual.</t>
  </si>
  <si>
    <t>Ken Cockerel</t>
  </si>
  <si>
    <t>W Union Hills Dr and N 39th Ave</t>
  </si>
  <si>
    <t>Police officers responded to a 911 call that a man had stabbed himself in the chest and after not responding to authorities, he was shot and killed.</t>
  </si>
  <si>
    <t>Paul Anthony Anderson</t>
  </si>
  <si>
    <t>http://www.killedbypolice.net/victims/150302.jpg</t>
  </si>
  <si>
    <t>150 E Lincoln Ave</t>
  </si>
  <si>
    <t>orange</t>
  </si>
  <si>
    <t>An Anaheim police officer shot and killed an armed man following a traffic stop.</t>
  </si>
  <si>
    <t>Justus Howell</t>
  </si>
  <si>
    <t>http://www.killedbypolice.net/victims/150303.jpg</t>
  </si>
  <si>
    <t>2300 Gilead Ave</t>
  </si>
  <si>
    <t>Zion</t>
  </si>
  <si>
    <t>Zion Police Department</t>
  </si>
  <si>
    <t>The officer fired two shots, reportedly hitting the victim in the back, when an officer spotted what he thought was a gun.</t>
  </si>
  <si>
    <t>Walter Scott</t>
  </si>
  <si>
    <t>http://www.killedbypolice.net/victims/150300.jpg</t>
  </si>
  <si>
    <t>1945 Remount Rd</t>
  </si>
  <si>
    <t>North Charleston</t>
  </si>
  <si>
    <t>29406</t>
  </si>
  <si>
    <t>Scott was pulled over by a North Charleston police officer Michael Slager. He pulled into the Advance Auto Parts store's parking lot. At that point, witnesses say the suspect tried to get out of his car which led to an argument. The man was shocked with a Taser and then tried to run away. Video evidence suggests Slager shot him in the back and then attempted to plant evidence to support his story that Scott took his Taser and Scott feared for his life.</t>
  </si>
  <si>
    <t>http://www.postandcourier.com/article/20150404/PC16/150409635/1180/man-shot-and-killed-by-north-charleston-police-officer-after-traffic-stop-sled-investigating</t>
  </si>
  <si>
    <t>Ethan Noll</t>
  </si>
  <si>
    <t>http://www.killedbypolice.net/victims/150299.jpg</t>
  </si>
  <si>
    <t>Mountainair St</t>
  </si>
  <si>
    <t>Edgewood</t>
  </si>
  <si>
    <t>New Mexico State Police</t>
  </si>
  <si>
    <t>The fatal shooting of an Edgewood man by State Police officers early Saturday came after at least three calls to the police in a neighborhood dispute and ended when the man stepped from his truck and pointed a semiautomatic-type rifle at officers and refused to drop it,</t>
  </si>
  <si>
    <t>David Cody Lynch</t>
  </si>
  <si>
    <t>http://www.killedbypolice.net/victims/150301.jpg</t>
  </si>
  <si>
    <t>11974-11998 US-64</t>
  </si>
  <si>
    <t>Muskogee County</t>
  </si>
  <si>
    <t>Muskogee</t>
  </si>
  <si>
    <t>Warner Police Department</t>
  </si>
  <si>
    <t>When a Warner officer arrived at U.S. 64 near 158th Street South to investigate, Lynch assaulted the officer, according to an OSBI news release. The officer “deployed his Taser,” the release stated. After Lynch was handcuffed, the officer noticed Lynch was not breathing. An ambulance took him to a Muskogee hospital where he was pronounced dead</t>
  </si>
  <si>
    <t>Darrin A. Langford</t>
  </si>
  <si>
    <t>12th Ave and Glenhurst Ct</t>
  </si>
  <si>
    <t>Rock Island</t>
  </si>
  <si>
    <t>Rock Island Police Department</t>
  </si>
  <si>
    <t>Police say arriving officers engaged in a foot pursuit with an individual who was observed to be armed with a handgun.</t>
  </si>
  <si>
    <t>Christopher A. Prevatt</t>
  </si>
  <si>
    <t>http://www.killedbypolice.net/victims/150298.jpg</t>
  </si>
  <si>
    <t>123 Gregory Pl</t>
  </si>
  <si>
    <t>Winchester</t>
  </si>
  <si>
    <t>Frederick</t>
  </si>
  <si>
    <t>Frederick County Sheriff's Office</t>
  </si>
  <si>
    <t>Frederick County Sheriff’s Office responded to a 911 call from a residence in the 100 block of Gregory Place in the Regency Lakes subdivision. The emergency call was for a domestic situation. When the sheriff’s deputy arrived on scene and entered the residence, he encountered a male subject who was subsequently shot.</t>
  </si>
  <si>
    <t>Donald "Dontay" Ivy</t>
  </si>
  <si>
    <t>http://www.killedbypolice.net/victims/150293.jpg</t>
  </si>
  <si>
    <t>Lark St and Second St</t>
  </si>
  <si>
    <t>Albany</t>
  </si>
  <si>
    <t>City of Albany Police Department</t>
  </si>
  <si>
    <t>At approximately 12:36 a.m., officers questioned Ivy, a paranoid schizophrenic with a heart condition. He fled down Second Street. Officers chased Ivy, shooting him with a Taser at least once. The Taser failed to subdue Ivy, whom they chased and handcuffed. When he stopped breathing, officers attempted CPR and called for help. Ivy died at Albany Medical Center. </t>
  </si>
  <si>
    <t>Eric Courtney Harris</t>
  </si>
  <si>
    <t>http://www.killedbypolice.net/victims/150294.jpg</t>
  </si>
  <si>
    <t>1900 block N Harvard Ave</t>
  </si>
  <si>
    <t>Tulsa County Sheriff's Office</t>
  </si>
  <si>
    <t>Suspect accidently shot by "special deputy" who claims he mistook his pistol for a taser.</t>
  </si>
  <si>
    <t>Donald J. Hicks</t>
  </si>
  <si>
    <t>Illinois Rte 145 and Waldo Church Rd</t>
  </si>
  <si>
    <t>Metropolis</t>
  </si>
  <si>
    <t>62960</t>
  </si>
  <si>
    <t>Massac</t>
  </si>
  <si>
    <t>Metropolis Police Department</t>
  </si>
  <si>
    <t>Authorities reported that Hicks was suicidal, and when they responded to a call they found him driving. As a car chase ended because Hicks drove over spike strips, officers allege that he pointed a gun at an officer, and the officer then shot him to death.</t>
  </si>
  <si>
    <t>Aaron Marcus Rutledge</t>
  </si>
  <si>
    <t>http://www.killedbypolice.net/victims/150296.jpg</t>
  </si>
  <si>
    <t>300 block Iris Park Dr</t>
  </si>
  <si>
    <t>Pineville</t>
  </si>
  <si>
    <t>71360</t>
  </si>
  <si>
    <t>Rapides</t>
  </si>
  <si>
    <t>Rapides Parish Sheriff's Office</t>
  </si>
  <si>
    <t>A Rapides Parish Sheriff's deputy fatally shot a man Thursday morning in Pineville after he had pointed a gun at deputies and had refused to drop the weapon, according to a release.</t>
  </si>
  <si>
    <t>Robert Washington</t>
  </si>
  <si>
    <t>14200 Kornblum Ave</t>
  </si>
  <si>
    <t>Hawthorne</t>
  </si>
  <si>
    <t>Hawthorne Police Department</t>
  </si>
  <si>
    <t>Denise Chiffon Berry pulled up to an officer, claiming that she and her son, 12, were being followed. She parked in front of the officer's car. A white Cadillac pulled up to the officer and the woman. Washington, in the passenger seat, began shooting. The officer shot back. Washington killed the woman and wounded her son. The officer killed Washington. Two other men in the Cadillac were arrested.</t>
  </si>
  <si>
    <t>Tyrail Ezell</t>
  </si>
  <si>
    <t>https://mgtvwkrn.files.wordpress.com/2015/03/tyrail-ezell.jpg?w=240</t>
  </si>
  <si>
    <t>2333 Rosa L Parks Blvd</t>
  </si>
  <si>
    <t>37228</t>
  </si>
  <si>
    <t>It's alleged that Ezell was shot after after another man driving the car rammed unoccupied police vehicles and swerved in the direction of the officers trying to arrest them during a cocaine peddling investigation.</t>
  </si>
  <si>
    <t>http://wkrn.com/2015/03/31/metro-police-officer-involved-in-shooting/</t>
  </si>
  <si>
    <t>Anthony Stokes</t>
  </si>
  <si>
    <t>http://www.gannett-cdn.com/-mm-/8000e5ea5a4357f0f832f576b398d67787601107/c=1-0-614-461&amp;r=x404&amp;c=534x401/local/-/media/2015/04/01/WXIA/WXIA/635634729223741214-130812063806Anthony20Stokes21jpg.jpg</t>
  </si>
  <si>
    <t>Hembree Road and Highway 9</t>
  </si>
  <si>
    <t>30076</t>
  </si>
  <si>
    <t>Stokes was a robbery suspect and involved in a high speed car chase with police, when he collided with a pole and died.</t>
  </si>
  <si>
    <t>http://www.11alive.com/story/news/local/roswell/2015/03/31/roswell-pedestrian-burglary/70733978/</t>
  </si>
  <si>
    <t>Phillip White</t>
  </si>
  <si>
    <t>http://www.gannett-cdn.com/-mm-/cccdf6592c864812332bf7467463925b3d2670e1/c=0-78-621-544&amp;r=x404&amp;c=534x401/local/-/media/Vineland/2015/04/01/B9316823877Z.1_20150401144449_000_GCDACSMGE.1-0.jpg</t>
  </si>
  <si>
    <t>100 Grape Street</t>
  </si>
  <si>
    <t>Vineland</t>
  </si>
  <si>
    <t>08360</t>
  </si>
  <si>
    <t>Cumberland</t>
  </si>
  <si>
    <t>Vineland Police Department</t>
  </si>
  <si>
    <t>Beaten</t>
  </si>
  <si>
    <t>White was resisting arrest, and was kicked punched, and bitten by a police dog. At some point after that, he died in police custody.</t>
  </si>
  <si>
    <t>http://www.dailykos.com/story/2015/04/01/1374779/-Witness-Jersey-police-punched-kicked-and-dog-bit-Phillip-White-s-face-before-he-died-in-custody</t>
  </si>
  <si>
    <t>Benjamin Quezada</t>
  </si>
  <si>
    <t>http://www.killedbypolice.net/victims/150289.jpg</t>
  </si>
  <si>
    <t>West Texas and Gaillard Street</t>
  </si>
  <si>
    <t>Baytown</t>
  </si>
  <si>
    <t>Baytown Police Department</t>
  </si>
  <si>
    <t>Benjamin Quezada, 21, was shot and killed by a Baytown police officer early Tuesday after officials said he pointed what appeared to be an AR-15 at the officer. The gun turned out to be a pellet rifle.</t>
  </si>
  <si>
    <t>Jeremy James Anderson</t>
  </si>
  <si>
    <t>http://www.baynews9.com/content/dam/news/images/2015/04/1/New-Jeremy-Anderson-040115.jpg</t>
  </si>
  <si>
    <t>16040 Grass Lake Drive</t>
  </si>
  <si>
    <t>33618</t>
  </si>
  <si>
    <t>U.S. Marshals Service, Tampa Police Department</t>
  </si>
  <si>
    <t>Anderson was wanted on sex-related charges and was deemed a high-risk arrest. Federal and local officers encountered him in a residential back yard, and Anderson was fatally shot after he exchanged fire with them.</t>
  </si>
  <si>
    <t>http://www.baynews9.com/content/news/baynews9/news/article.html/content/news/articles/bn9/2015/3/31/suspect_shot_during_.html</t>
  </si>
  <si>
    <t>Dominick R. Wise</t>
  </si>
  <si>
    <t>http://www.killedbypolice.net/victims/150286.jpg</t>
  </si>
  <si>
    <t>1301 Spring Meadow Ln</t>
  </si>
  <si>
    <t>Culpeper</t>
  </si>
  <si>
    <t>Culpeper Police Department</t>
  </si>
  <si>
    <t>Officer saw Wise “acting erratically by walking in circles in the middle of the street.” Officer chased and confronted Wise and tased him an undetermined amount of times.</t>
  </si>
  <si>
    <t>http://www.fredericksburg.com/news/crime_courts/culpeper-man-dies-after-being-tasered-by-police/article_46debc2a-d727-11e4-a18f-5b06a6f5b1bd.html</t>
  </si>
  <si>
    <t>Maya Hall</t>
  </si>
  <si>
    <t>http://cnsnews.com/sites/default/files/c999213f79a54d4bb9c3d0ad0f7662cd.jpg?1427900763</t>
  </si>
  <si>
    <t>4409 Llewellyn Avenue</t>
  </si>
  <si>
    <t>Fort George Meade</t>
  </si>
  <si>
    <t>20755</t>
  </si>
  <si>
    <t>Anne Arundel</t>
  </si>
  <si>
    <t>National Security Administration Police Department</t>
  </si>
  <si>
    <t>Officers reported that Hall was driving with another person towards a restricted access gate the National Security Administration, and when she disobeyed orders to leave and sped towards a police cruiser, she was shot to death.</t>
  </si>
  <si>
    <t>http://cnsnews.com/news/article/driver-killed-nsa-identified-transgender-friend-says</t>
  </si>
  <si>
    <t>Gregory Thomas Joseph Smith</t>
  </si>
  <si>
    <t>2293 N Main St</t>
  </si>
  <si>
    <t>Crown Point</t>
  </si>
  <si>
    <t>Lake County Sheriff's Department</t>
  </si>
  <si>
    <t>While he was being moved from one portion of the jail to another because of alleged violent behavior, correctional officers began restraining him after he displayed more violent behavior. The officers used a dry stun on Smith as the officers tried to restrain him. Two nurses from the jail were called after the officers realized Smith needed medical attention.</t>
  </si>
  <si>
    <t>Brian Avon Babb</t>
  </si>
  <si>
    <t>https://www.facebook.com/photo.php?fbid=407462292640321&amp;set=a.117016721684881.34299.100001296626241&amp;type=1&amp;theater</t>
  </si>
  <si>
    <t>2200 Devos Street</t>
  </si>
  <si>
    <t>Eugene</t>
  </si>
  <si>
    <t>97402</t>
  </si>
  <si>
    <t>Lane</t>
  </si>
  <si>
    <t>Eugene Police Department</t>
  </si>
  <si>
    <t>Police haven't released any information except to say he died on his porch.</t>
  </si>
  <si>
    <t>http://registerguard.com/rg/news/local/32927249-75/police-suicidal-man-fatally-shot-by-eugene-officer-in-bethel-neighborhood.html.csp</t>
  </si>
  <si>
    <t>Jason Moland</t>
  </si>
  <si>
    <t>3700 Beyer Park Dr</t>
  </si>
  <si>
    <t>Ceres</t>
  </si>
  <si>
    <t>95355</t>
  </si>
  <si>
    <t>Stanislaus</t>
  </si>
  <si>
    <t>Ceres Police Department</t>
  </si>
  <si>
    <t>An off-duty police officer and a woman were in a park at night, and Moland approached them. There was a confrontation in which Moland pointed a BB gun, and the off-duty police officer shot Moland to death.</t>
  </si>
  <si>
    <t>http://www.news10.net/story/news/local/modesto/2015/03/30/ceres-officer-fatal-shooting/70660046/</t>
  </si>
  <si>
    <t>John Allen</t>
  </si>
  <si>
    <t>841 Avenue A</t>
  </si>
  <si>
    <t>Boulder City</t>
  </si>
  <si>
    <t>89005</t>
  </si>
  <si>
    <t>Boulder City Police Department</t>
  </si>
  <si>
    <t>Officers reported that they responded to a call about gunshots fired, and when they arrived Allen was outside his apartment and shot at them, at which point they shot him to death.</t>
  </si>
  <si>
    <t>http://www.reviewjournal.com/news/las-vegas/coroner-ids-man-killed-boulder-city-police</t>
  </si>
  <si>
    <t>Byron Hebert</t>
  </si>
  <si>
    <t>111 Towne Drive</t>
  </si>
  <si>
    <t>42701</t>
  </si>
  <si>
    <t>Elizabethtown Police Department</t>
  </si>
  <si>
    <t>http://www.wlky.com/news/Police-identify-man-shot-killed-by-Elizabethtown-officer/32106934</t>
  </si>
  <si>
    <t>Robert Rooker</t>
  </si>
  <si>
    <t>Fields Hollow Road</t>
  </si>
  <si>
    <t>Peebles</t>
  </si>
  <si>
    <t>Pike</t>
  </si>
  <si>
    <t>Pike County Sheriff's Office</t>
  </si>
  <si>
    <t>Pike County prosecutors report three deputies were chasing after a man who repeatedly rammed his vehicle into theirs, later shooting and killing him.</t>
  </si>
  <si>
    <t>Angelo West</t>
  </si>
  <si>
    <t>http://bostinno.streetwise.co/2015/03/28/boston-police-i-d-angelo-west-in-shooting-of-officer-john-moynihan/</t>
  </si>
  <si>
    <t>Humboldt Avenue and Ruthven Street</t>
  </si>
  <si>
    <t>02121</t>
  </si>
  <si>
    <t>Boston Police Department</t>
  </si>
  <si>
    <t>Officers of The Youth Violence Strike Force pulled West over and he began firing at them, hitting one cop point blank. They returned fire, killing him.</t>
  </si>
  <si>
    <t>http://www.killedbypolice.net/victims/150279.jpg</t>
  </si>
  <si>
    <t>500 West Vineyard Avenue</t>
  </si>
  <si>
    <t>Oxnard</t>
  </si>
  <si>
    <t>Ventura</t>
  </si>
  <si>
    <t>Oxnard Police Department</t>
  </si>
  <si>
    <t>Meagan Hockaday, of Oxnard, was pronounced dead at the scene after being shot as she advanced with a knife.</t>
  </si>
  <si>
    <t>Jamalis Hall</t>
  </si>
  <si>
    <t>http://media2.wptv.com/photo/2015/03/27/wptv-Jamalis-Hall_1427461140854_15676033_ver1.0_320_240.jpg</t>
  </si>
  <si>
    <t>1000 Mayflower Road</t>
  </si>
  <si>
    <t>Fort Pierce</t>
  </si>
  <si>
    <t>34950</t>
  </si>
  <si>
    <t>St. Lucie</t>
  </si>
  <si>
    <t>Saint Lucie County Sheriff's Office</t>
  </si>
  <si>
    <t>Task force trying to serve a warrant pulled suspect over. Suspect allegedly reached for a filet knife, and police opened fire.</t>
  </si>
  <si>
    <t>http://www.wptv.com/news/region-st-lucie-county/fort-pierce/officer-involved-shooting-in-fort-pierce</t>
  </si>
  <si>
    <t>Adrian Hernandez</t>
  </si>
  <si>
    <t>http://www.turnto23.com/news/local-news/pursuit-ends-in-gunfire-near-garces-high-school</t>
  </si>
  <si>
    <t>4000 Union Avenue</t>
  </si>
  <si>
    <t>93305</t>
  </si>
  <si>
    <t>The suspect in a rape and murder, Hernandez set fire to his ex's house and led police on a chase, ending when he got out of his car brandishing a gun.</t>
  </si>
  <si>
    <t>Name withheld by police</t>
  </si>
  <si>
    <t>Shadytree Lane and Glen Arbor Driv</t>
  </si>
  <si>
    <t>Encinitas</t>
  </si>
  <si>
    <t>92024</t>
  </si>
  <si>
    <t>Encinitas Police Department</t>
  </si>
  <si>
    <t>Police responded to a 911 hang-up and found a man sitting on his lawn pointing a shotgun at himself. He allegedly pointed it at police and asked them to kill him. They obliged.</t>
  </si>
  <si>
    <t>http://patch.com/california/encinitas/sheriffs-deputy-shoots-encinitas-man-dead-apparent-suicide-cop-0</t>
  </si>
  <si>
    <t>Neil Seifert</t>
  </si>
  <si>
    <t>40 North Main St.</t>
  </si>
  <si>
    <t>Webster</t>
  </si>
  <si>
    <t>01570</t>
  </si>
  <si>
    <t>Webster Police Department</t>
  </si>
  <si>
    <t>Officers reported that they responded to a call in which Seifert had attacked his on-again off-again girlfriend. When Seifert shot at the officers, they returned fire and killed him. The location was on Main Street in Webster, Massachusetts.</t>
  </si>
  <si>
    <t>http://www.necn.com/news/new-england/Suspect-Shot-After-Leading-Police-on-Pursuit-Opening-Fire-297759021.html</t>
  </si>
  <si>
    <t>Harvey E. Oates</t>
  </si>
  <si>
    <t>Horseshoe Run Road</t>
  </si>
  <si>
    <t>Fort Ashby</t>
  </si>
  <si>
    <t>26719</t>
  </si>
  <si>
    <t>Police responded to a man with known warrants who was "agitated" and armed. After a 90 minute negotiation, Oates allegedly charged at a cop and was shot dead.</t>
  </si>
  <si>
    <t>http://wvmetronews.com/2015/03/28/state-police-shoot-armed-man/</t>
  </si>
  <si>
    <t>Adrian Solis</t>
  </si>
  <si>
    <t>1500 Bayview Avenue</t>
  </si>
  <si>
    <t>90744</t>
  </si>
  <si>
    <t>Officers responded to a call about a suicidal man with a knife.</t>
  </si>
  <si>
    <t>http://www.dailybreeze.com/government-and-politics/20150327/knife-wielding-wilmington-man-killed-in-officer-involved-shooting-identified</t>
  </si>
  <si>
    <t>Robert Timothy McAlister Jr</t>
  </si>
  <si>
    <t>http://www.wyff4.com/image/view/-/32051404/highRes/1/-/w/240/-/ll3jwdz/-/Robert-McAlister.jpg</t>
  </si>
  <si>
    <t>Verdae Blvd &amp; Rocky Slope Rd</t>
  </si>
  <si>
    <t>29607</t>
  </si>
  <si>
    <t>Officers reported that McAlister had been involved in an accident, and when confronted he fled in the police cruiser. Later in the chase, McAlister crashed the vehicle and died.</t>
  </si>
  <si>
    <t>http://www.wyff4.com/news/suspects-steals-police-car-leads-them-on-pursuit-crashes-in-upstate/32038936</t>
  </si>
  <si>
    <t>Deanne Choate</t>
  </si>
  <si>
    <t>http://www.killedbypolice.net/victims/150271.jpg</t>
  </si>
  <si>
    <t>400 North Birch Street</t>
  </si>
  <si>
    <t>Gardner</t>
  </si>
  <si>
    <t>66030</t>
  </si>
  <si>
    <t>Johnson</t>
  </si>
  <si>
    <t>Gardner Police Department</t>
  </si>
  <si>
    <t>Police responded to a call from boyfriend saying his girlfriend had discharged a gun inside her house. The details are unknown at this point.</t>
  </si>
  <si>
    <t>http://www.kshb.com/news/local-news/officer-involved-shooting-in-gardner-kan-leaves-1-woman-dead-2-officers-on-administrative-leave</t>
  </si>
  <si>
    <t>Jeremy L. Kelly</t>
  </si>
  <si>
    <t>Dixie Street</t>
  </si>
  <si>
    <t>Johnsonville</t>
  </si>
  <si>
    <t>29555</t>
  </si>
  <si>
    <t>Florence</t>
  </si>
  <si>
    <t>Johnsonville Police Department; Florence County Sheriff's Office Florence County SWAT</t>
  </si>
  <si>
    <t>Officers respsonded to a call of shots fired, SWAT team called and opened fire when suspect pointed gun at them.</t>
  </si>
  <si>
    <t>http://www.carolinalive.com/news/story.aspx?id=1182204#.VRcxveEqrIW</t>
  </si>
  <si>
    <t>Victor Daniel Terrazas</t>
  </si>
  <si>
    <t>102nd Street and Vermont Avenue</t>
  </si>
  <si>
    <t>90044</t>
  </si>
  <si>
    <t>Police were investigating the murder of a woman just four block away when they found the suspect armed with a shotgun. Police opened fire killing the suspect.</t>
  </si>
  <si>
    <t>http://www.nbclosangeles.com/news/local/Deputy-Shoots-Suspected-Gunman-South-Los-Angeles-297492071.html</t>
  </si>
  <si>
    <t>Nicholas Thomas</t>
  </si>
  <si>
    <t>https://pbs.twimg.com/media/CA6KRfhW4AEFQrD.png:large</t>
  </si>
  <si>
    <t>2475 Cumberland Parkway</t>
  </si>
  <si>
    <t>30339</t>
  </si>
  <si>
    <t>Cobb</t>
  </si>
  <si>
    <t>Cobb County Police Department</t>
  </si>
  <si>
    <t>Suspect, a mechanic, was at his job when police called his boss and told them they were going to serve a warrant on the suspect. When police arrived the suspect started driving the car he was working on around the business. Police opened fire and killed him.</t>
  </si>
  <si>
    <t>http://www.cbs46.com/story/28611922/details-emerge-in-deadly-cobb-county-police-shooting</t>
  </si>
  <si>
    <t>Walter Brown III</t>
  </si>
  <si>
    <t>http://www.gannett-cdn.com/-mm-/3270c0bd35959d25475f2fbd501e8bb76dc0de70/c=5-0-3261-2448&amp;r=x383&amp;c=540x380/local/-/media/2015/03/25/WVEC/WVEC/635628941662895361-Walter-Brown.JPG</t>
  </si>
  <si>
    <t>19 Colin Drive</t>
  </si>
  <si>
    <t>23701</t>
  </si>
  <si>
    <t>Norfolk</t>
  </si>
  <si>
    <t>Virginia State Police</t>
  </si>
  <si>
    <t>Suspect was pursued by police to his home where he struggled and was Tasered twice. Police say he pulled a gun and shot him dead.</t>
  </si>
  <si>
    <t>http://wavy.com/2015/03/24/portsmouth-police-confirm-officer-involved-shooting/</t>
  </si>
  <si>
    <t>Joseph Tassinari</t>
  </si>
  <si>
    <t>https://www.linkedin.com/pub/joseph-tassinari/62/4a8/295</t>
  </si>
  <si>
    <t>North 67th Ave. and West Peoria Ave.</t>
  </si>
  <si>
    <t>Glendale</t>
  </si>
  <si>
    <t>85302</t>
  </si>
  <si>
    <t>Mariopa</t>
  </si>
  <si>
    <t>Glendale Police Department</t>
  </si>
  <si>
    <t>Gunshot, Tasered</t>
  </si>
  <si>
    <t>Tassinari, a Vietnam veteran, "showed a gun" to a woman at an ATM machine. She gave his license plates to the police, who showed up at his home and found him in his car. He reached for something in the waistband and was tasered (to little or no effect) and then shot.</t>
  </si>
  <si>
    <t>http://www.azcentral.com/story/news/12-news/2015/03/25/12news-officer-involved-shooting-glendale-joe-tassinari/70463988/</t>
  </si>
  <si>
    <t>Scott Dunham</t>
  </si>
  <si>
    <t>http://www.kcra.com/image/view/-/32007504/medRes/1/-/maxh/460/maxw/620/-/14rfpcxz/-/ScottDunham-jpg.jpg</t>
  </si>
  <si>
    <t>2600 Senter Rd</t>
  </si>
  <si>
    <t>95111</t>
  </si>
  <si>
    <t>It's alleged that Dunham shot and killed an officer from his balcony after two officers responded to a call from Dunham's relative that he was intoxicated, mentally ill, and armed. The accompanying officer who lived then shot Dunham to death.</t>
  </si>
  <si>
    <t>http://www.kcra.com/news/pinpoint-shot-killed-man-who-gunned-down-san-jose-officer/32050018</t>
  </si>
  <si>
    <t>Steven T. Snyder</t>
  </si>
  <si>
    <t>http://wbay.com/2015/03/24/officer-shot-in-fond-du-lac-standoff/</t>
  </si>
  <si>
    <t>W Johnson St &amp; US-41</t>
  </si>
  <si>
    <t>Fond du Lac</t>
  </si>
  <si>
    <t>54937</t>
  </si>
  <si>
    <t>Wisconsin State Police</t>
  </si>
  <si>
    <t>State trooper on his first day out alone on duty thought he recognized man from bank robbery and tried to pull him over. Suspect shot and killed officer whose shots killed him..</t>
  </si>
  <si>
    <t>http://www.jsonline.com/news/crime/3-dead-including-trooper-after-trail-of-violence-ends-in-fond-du-lac-b99468884z1-297498871.html</t>
  </si>
  <si>
    <t>Mychael J. Lynch</t>
  </si>
  <si>
    <t>707 West 13th Street</t>
  </si>
  <si>
    <t>Vancouver</t>
  </si>
  <si>
    <t>Clark County Sheriff's Office</t>
  </si>
  <si>
    <t>Officers report that they decided Lynch should be moved to another area, but he was uncooperative. They restrained him, and he allegedly suffered an undisclosed medical emergency.</t>
  </si>
  <si>
    <t>Denzel Brown</t>
  </si>
  <si>
    <t>https://pbs.twimg.com/media/CAzMKPJW8AACyDP.jpg:large</t>
  </si>
  <si>
    <t>1851 West Sunrise Highway</t>
  </si>
  <si>
    <t>Islip</t>
  </si>
  <si>
    <t>11706</t>
  </si>
  <si>
    <t>Suffolk County Police Department</t>
  </si>
  <si>
    <t>Brown was suspected of shoplifting from a Best Buy. Police responded and found him hiding in the parking lot. Subject attempted to open car doors in lot. Tried to steal a car from a couple with children in back seat. Officers shot and killed him.</t>
  </si>
  <si>
    <t>https://www.longislandexchange.com/press-releases/suspect-dies-after-officer-involved-shooting-in-bay-shore/</t>
  </si>
  <si>
    <t>Devin J. Gates</t>
  </si>
  <si>
    <t>2105 Scott Blvd.</t>
  </si>
  <si>
    <t>95050</t>
  </si>
  <si>
    <t>Santa Clara Police Department</t>
  </si>
  <si>
    <t>Gates allegedly walked into a 7-11 and tried to rob it at gunpoint. Officers responded in the parking lot, shooting him dead.</t>
  </si>
  <si>
    <t>http://www.mercurynews.com/crime-courts/ci_27778858/tracy-man-identified-person-killed-by-santa-clara</t>
  </si>
  <si>
    <t>Jeffrey L. Jackson</t>
  </si>
  <si>
    <t>http://www.thenewsjournal.net/userfiles/image/Jeffrey%20Jackson1.jpg</t>
  </si>
  <si>
    <t>KY-92</t>
  </si>
  <si>
    <t>Williamsburg</t>
  </si>
  <si>
    <t>40769</t>
  </si>
  <si>
    <t>Whitley</t>
  </si>
  <si>
    <t>Kentucky State Police Department</t>
  </si>
  <si>
    <t>Medical emergency</t>
  </si>
  <si>
    <t>Police responded to a call of a man trying to flag down traffic on a highway jumping on the hoods of cars. He allegedly fought with police and then stopped breathing at the scene where he was pronounced dead.</t>
  </si>
  <si>
    <t>http://www.thetimestribune.com/news/williamsburg-man-dies-in-custody/article_79b2d1d0-d2a5-11e4-ab15-dfce00f6089f.html</t>
  </si>
  <si>
    <t>Christopher R. Healy</t>
  </si>
  <si>
    <t>http://portlandtribune.com/images/artimg/00003509972183.jpg</t>
  </si>
  <si>
    <t>2300 Southeast 130th Avenue</t>
  </si>
  <si>
    <t>97233</t>
  </si>
  <si>
    <t>Police called to a home for a burglary and were confronted by the subject with a knife. Officers opened fire and killed the man.</t>
  </si>
  <si>
    <t>http://www.oregonlive.com/pacific-northwest-news/index.ssf/2015/03/man_shot_by_police_in_east_por.html</t>
  </si>
  <si>
    <t>James Moore</t>
  </si>
  <si>
    <t>5900 South Lewis Avenue</t>
  </si>
  <si>
    <t>74105</t>
  </si>
  <si>
    <t>Tulsa Police Department</t>
  </si>
  <si>
    <t>Officers were driving down highway and a man in dark clothing walked into their path and was killed.</t>
  </si>
  <si>
    <t>Found Excusable</t>
  </si>
  <si>
    <t>http://www.newson6.com/story/28582219/tulsa-patrol-officer-strikes-kills-pedestrian-crossing-south-lewis</t>
  </si>
  <si>
    <t>Romeo Roddrick Staples</t>
  </si>
  <si>
    <t>http://www.news4jax.com/image/view/-/31952558/highRes/2/-/h/200/-/2nnfwhz/-/Romeo-Roddrick-Staples-jpg.jpg</t>
  </si>
  <si>
    <t>St. Johns Ave &amp; N. Palm Ave</t>
  </si>
  <si>
    <t>Palatka</t>
  </si>
  <si>
    <t>32177</t>
  </si>
  <si>
    <t>Putnam County Sheriff's Office</t>
  </si>
  <si>
    <t>Pursued by police at high speed in a stolen Nissan Pathfinder, and wearing gloves and a handkerchief over his face at the time, Staples' vehicle crossed the center line and crashed head-on into a black Mercedes, killing him and injuring his passenger.</t>
  </si>
  <si>
    <t>http://www.news4jax.com/news/driver-dies-in-police-chase/31950250</t>
  </si>
  <si>
    <t>Gary Page</t>
  </si>
  <si>
    <t>1790 East Voorhees Street</t>
  </si>
  <si>
    <t>Harmony</t>
  </si>
  <si>
    <t>47853</t>
  </si>
  <si>
    <t>Clay</t>
  </si>
  <si>
    <t>Clay County Sheriff's Office</t>
  </si>
  <si>
    <t>Subject called police and asked them to come shoot him. They found him waving a gun and fired at him, killing him at the scene.</t>
  </si>
  <si>
    <t>http://wthitv.com/2015/03/21/one-person-dead-after-police-action-shooting/</t>
  </si>
  <si>
    <t>Jason L. Smith</t>
  </si>
  <si>
    <t>4600 Summit Street</t>
  </si>
  <si>
    <t>43202</t>
  </si>
  <si>
    <t>Columbus Police Department</t>
  </si>
  <si>
    <t>Man was making threats to his family. He returned when the police arrived and struggled with an officer who shot and killed him.</t>
  </si>
  <si>
    <t>www.nbc4i.com/story/28581173/officer-involved-shooting-on-citys-north-side</t>
  </si>
  <si>
    <t>Enoch Gaver</t>
  </si>
  <si>
    <t>2003 E Rodeo Drive</t>
  </si>
  <si>
    <t>Cottonwood Police Department</t>
  </si>
  <si>
    <t>Police responded to an assault on a female at Walmart and were greeted by a group of people who allegedly attacked them. Gaver was shot and killed in the melee. Family allegedly lived on the lot and were a Christian band.</t>
  </si>
  <si>
    <t>http://www.dailymail.co.uk/news/article-3009456/Christian-band-named-end-days-identified-group-got-deadly-gunfight-police-Walmart-parking-lot.html</t>
  </si>
  <si>
    <t>James J. Ellis</t>
  </si>
  <si>
    <t>http://www.whec.com/whecimages/repository/2015-03/ellisjames.jpg</t>
  </si>
  <si>
    <t>NY-31A</t>
  </si>
  <si>
    <t>Clarendon</t>
  </si>
  <si>
    <t>14470</t>
  </si>
  <si>
    <t>Orleans County Sheriff's Office</t>
  </si>
  <si>
    <t>Police responded to a call about a man shooting a gun in the town of Shelby. Subject fled at high speed and crashed into a telephone pole. He then went into the woods and tried to shoot the police.</t>
  </si>
  <si>
    <t>http://www.whec.com/news/stories/S3742306.shtml?cat=565</t>
  </si>
  <si>
    <t>Philip Conley</t>
  </si>
  <si>
    <t>http://www.killedbypolice.net/victims/150255.jpg</t>
  </si>
  <si>
    <t>904 Admiral Callaghan Lane</t>
  </si>
  <si>
    <t>Vallejo</t>
  </si>
  <si>
    <t>94591</t>
  </si>
  <si>
    <t>Solano</t>
  </si>
  <si>
    <t>Vallejo Police Department</t>
  </si>
  <si>
    <t>Man with a fake gun in his waistband commits suicide by cop wielding knife in parking lot. Left note for his loved ones.</t>
  </si>
  <si>
    <t>http://kron4.com/2015/03/22/vallejo-police-kill-knife-wielding-man-displaying-fake-gun-in-his-waistband/</t>
  </si>
  <si>
    <t>Joe Rodriguez</t>
  </si>
  <si>
    <t>Arthur Kill Rd &amp; W Shore Expy</t>
  </si>
  <si>
    <t>10312</t>
  </si>
  <si>
    <t>Linden Police Department</t>
  </si>
  <si>
    <t>Several off-duty officers had been out drinking together, and were involved in a head-on collision with a tractor-trailer. Two of the off-duty officers in the smaller vehicle, including Rodriguez died.</t>
  </si>
  <si>
    <t>http://news.yahoo.com/officer-behind-wheel-fatal-wrong-way-crash-had-185420604.html</t>
  </si>
  <si>
    <t>Frank Viggiano</t>
  </si>
  <si>
    <t>Several off-duty officers had been out drinking together, and were involved in a head-on collision with a tractor-trailer. Two of the off-duty officers in the smaller vehicle, including Viggiano died.</t>
  </si>
  <si>
    <t>Richard White</t>
  </si>
  <si>
    <t>http://www.nola.com/crime/index.ssf/2015/03/new_orleans_airport_machete_at.html</t>
  </si>
  <si>
    <t>900 Airline Drive</t>
  </si>
  <si>
    <t>Kenner</t>
  </si>
  <si>
    <t>70062</t>
  </si>
  <si>
    <t>Jefferson Parish Police Department</t>
  </si>
  <si>
    <t>Subject allegedly chased a TSA agent with a machete and was shot by police.</t>
  </si>
  <si>
    <t>Tyrel W. Vick</t>
  </si>
  <si>
    <t>http://kotv.images.worldnow.com/images/7205478_G.jpg</t>
  </si>
  <si>
    <t>Highway 31B</t>
  </si>
  <si>
    <t>Wapanucka</t>
  </si>
  <si>
    <t>73461</t>
  </si>
  <si>
    <t>Police were looking for subject in the death of his brother and saw him on the hgihway in brother's truck. A chase ensued. Subject shot at police. Police shot back, killing subject.</t>
  </si>
  <si>
    <t>http://www.newson6.com/story/28578606/ohp-shots-fired-in-chase-with-suspect-vehicle-in-coal-county</t>
  </si>
  <si>
    <t>Brandon Jones</t>
  </si>
  <si>
    <t>1077 Parkwood Dr</t>
  </si>
  <si>
    <t>44108</t>
  </si>
  <si>
    <t>Cleveland Police Department</t>
  </si>
  <si>
    <t>Officers reported that they responded to a robbery call at Parkwood Grocery early in the morning when the store was closed. Accounts vary about the time of the shooting. Officers say they had a scuffle with Jones, who had a bag, and they shot him to death. There was no weapon found on Jones.</t>
  </si>
  <si>
    <t>http://newsone.com/3100355/brandon-jones-unarmed-teen-fatally-shot-by-cleveland-police/</t>
  </si>
  <si>
    <t>Kendre Alston</t>
  </si>
  <si>
    <t>http://www.killedbypolice.net/victims/150244.jpg</t>
  </si>
  <si>
    <t>1800 Helena St</t>
  </si>
  <si>
    <t>32208</t>
  </si>
  <si>
    <t>Police were chasing a stolen car when the driver wrecked. The two subjects got out and the driver pointed his gun at the officer but didn't fire. They both fled on foot but the officer tracked down the driver and killed him.</t>
  </si>
  <si>
    <t>http://jacksonville.com/news/crime/2015-03-19/story/1-dead-1-sought-jacksonville-police-shooting</t>
  </si>
  <si>
    <t>Adam Jovicic</t>
  </si>
  <si>
    <t>http://imgick.cleveland.com/home/cleve-media/pgthumb/img/akron/photo/adam-jovicic-3d8a42aef5131d68.jpg</t>
  </si>
  <si>
    <t>364 Hiwood Ave.</t>
  </si>
  <si>
    <t>Munroe Falls</t>
  </si>
  <si>
    <t>44262</t>
  </si>
  <si>
    <t>Summit</t>
  </si>
  <si>
    <t>Kent Police Department</t>
  </si>
  <si>
    <t>http://www.cleveland.com/akron/index.ssf/2015/03/kent_police_officer_fatally_sh.html</t>
  </si>
  <si>
    <t>Jamison Childress</t>
  </si>
  <si>
    <t>Kneuman Rd</t>
  </si>
  <si>
    <t>Sumas</t>
  </si>
  <si>
    <t>98295</t>
  </si>
  <si>
    <t>Whatcom</t>
  </si>
  <si>
    <t>U.S. Customs and Border Protection</t>
  </si>
  <si>
    <t>It's alleged that Childress was wanted in a murder, and sprayed something into the agent's eyes, and the agent shot him to death.</t>
  </si>
  <si>
    <t>http://www.cbc.ca/news/canada/calgary/jamison-childress-suspect-in-brando-walker-homicide-killed-by-u-s-border-agents-1.3004636</t>
  </si>
  <si>
    <t>Robert P. Burdge</t>
  </si>
  <si>
    <t>http://www.killedbypolice.net/victims/150248.jpg</t>
  </si>
  <si>
    <t>6100 Knudsen Drive</t>
  </si>
  <si>
    <t>93308</t>
  </si>
  <si>
    <t>Subject involved in a love triangle, shot and killed his rival and barricaded himself in the lobby of the Vagabond Inn. SWAT teams killed him.</t>
  </si>
  <si>
    <t>http://www.kerngoldenempire.com/story/d/story/standoff-deadly-officer-involved-shooting-in-north/24817/acHk7QgYoE-qOGZhUfnMiw</t>
  </si>
  <si>
    <t>Shane Watkins</t>
  </si>
  <si>
    <t>http://bloximages.newyork1.vip.townnews.com/waaytv.com/content/tncms/assets/v3/editorial/3/0b/30b9ee52-ce5c-11e4-993a-6fe56894095b/550b0565c065c.image.jpg?resize=760%2C439</t>
  </si>
  <si>
    <t>County Road 249</t>
  </si>
  <si>
    <t>Langtown</t>
  </si>
  <si>
    <t>35650</t>
  </si>
  <si>
    <t>Subject was having a schizophrenic episode and called police to say his mother was going to kill him. He grabbed a box cutter and went to meet the deputies outside. He allegedly charged at them, refusing to stop and was killed.</t>
  </si>
  <si>
    <t>http://www.al.com/news/huntsville/index.ssf/2015/03/sister_of_mentally_ill_man_sla.html</t>
  </si>
  <si>
    <t>Justin Fowler</t>
  </si>
  <si>
    <t>N-13 &amp; Indn Route 13</t>
  </si>
  <si>
    <t>Lukachukai</t>
  </si>
  <si>
    <t>86507</t>
  </si>
  <si>
    <t>Navajo Nation Police Department</t>
  </si>
  <si>
    <t>Officers reported that Fowler was holding his family at gunpoint with an assault rifle, then led police on a chase, at which point he fired on them, killing one officer and was himself shot to death.</t>
  </si>
  <si>
    <t>http://hosted.ap.org/dynamic/stories/U/US_NAVAJO_OFFICER_KILLED?SITE=MTBIL&amp;SECTION=HOME&amp;TEMPLATE=DEFAULT</t>
  </si>
  <si>
    <t>Garland L. Wingo</t>
  </si>
  <si>
    <t>Lake Ella Drive</t>
  </si>
  <si>
    <t>Tallahassee</t>
  </si>
  <si>
    <t>32303</t>
  </si>
  <si>
    <t>Leon</t>
  </si>
  <si>
    <t>Tallahassee Police Department</t>
  </si>
  <si>
    <t>Officers were called to Lake Ella for a report of a white male armed with a weapon who was reportedly sitting on a park bench. Officer approached and somehow discharged his weapon, killing Wingo.</t>
  </si>
  <si>
    <t>http://www.tallahassee.com/story/news/local/2015/03/18/tpd-investigating-crime-scene-at-lake-ella/24990789/</t>
  </si>
  <si>
    <t>Brandon Rapp</t>
  </si>
  <si>
    <t>http://media.jrn.com/images/288*360/Rapp_Brandon.JPG</t>
  </si>
  <si>
    <t>9000 Charles Way</t>
  </si>
  <si>
    <t>Middleton</t>
  </si>
  <si>
    <t>83644</t>
  </si>
  <si>
    <t>Canyon</t>
  </si>
  <si>
    <t>Canyon County Police Department</t>
  </si>
  <si>
    <t>Police responded to a domestic disturbance call and were met by a man carrying a gun. Police shot and killed the man.</t>
  </si>
  <si>
    <t>http://www.kboi2.com/news/local/One-man-dead-after-officer-involved-shooting-near-Middleton-296853661.html</t>
  </si>
  <si>
    <t>Kaylene Stone</t>
  </si>
  <si>
    <t>http://www.abc15.com/news/region-west-valley/peoria/glendale-peoria-pd-investigating-shooting</t>
  </si>
  <si>
    <t>67th Avenue and Peoria</t>
  </si>
  <si>
    <t>Peoria</t>
  </si>
  <si>
    <t>85345</t>
  </si>
  <si>
    <t>Stone was seated in her vehicle when two officers approached her, she displayed a weapon and she refused to comply with officers' commands to drop the weapon and, fearing for their lives, they fired multiple shots, killing her.</t>
  </si>
  <si>
    <t>http://www.azcentral.com/story/news/local/glendale/2015/03/18/glendale-police-officer-involved-shooting-peoria/24972525/</t>
  </si>
  <si>
    <t>Askari Roberts</t>
  </si>
  <si>
    <t>http://www.killedbypolice.net/victims/150238.jpg</t>
  </si>
  <si>
    <t>3189 Morton Bend Road</t>
  </si>
  <si>
    <t>Rome</t>
  </si>
  <si>
    <t>30161</t>
  </si>
  <si>
    <t>Floyd</t>
  </si>
  <si>
    <t>Floyd County Sheriff's Office</t>
  </si>
  <si>
    <t>Roberts who allegedly used meth and cocaine the day before was showing signs of paranoia and thought a gang was coming to kill him. His wife pried his hands away from his son and police arrived and Tasered him two or three times until he became unresponsive and died at the hospital.</t>
  </si>
  <si>
    <t>http://www.northwestgeorgianews.com/rome/gbi-probes-officer-involved-death-of-askari-roberts/article_3574dd54-cd57-11e4-9b46-d3f30165f444.html</t>
  </si>
  <si>
    <t>Roberto Jose Leon</t>
  </si>
  <si>
    <t>http://www.killedbypolice.net/victims/150235.jpg</t>
  </si>
  <si>
    <t>6000 Bridgecross</t>
  </si>
  <si>
    <t>95835</t>
  </si>
  <si>
    <t>California Highway Patrol, Sacramento Sheriff's Office, Sacramento Police Department, Sacramento Sheriff's SWAT</t>
  </si>
  <si>
    <t>A CHP officer attempted to stop a motorcycle. The driver fled and carjacked a Bronco. Officers hit him with several shots, and Leon barricaded himself in his home refusing to surrender. He bled to death from his wounds.</t>
  </si>
  <si>
    <t>http://www.natomasbuzz.com/2015/03/suspect-in-chp-officer-shotting-surrounded-in-natomas/</t>
  </si>
  <si>
    <t>David P. Watford</t>
  </si>
  <si>
    <t>U.S. 65</t>
  </si>
  <si>
    <t>Tallulah</t>
  </si>
  <si>
    <t>71282</t>
  </si>
  <si>
    <t>Louisiana State Troopers</t>
  </si>
  <si>
    <t>A trooper reported that they hit Watford with their vehicle while Watford, a truck driver, was walking on a dark highway.</t>
  </si>
  <si>
    <t>http://www.wtvy.com/home/headlines/Cottonwood-Truck-Driver-Killed-by-Trooper-in-Louisiana-296625241.html</t>
  </si>
  <si>
    <t>Declan Owen</t>
  </si>
  <si>
    <t>http://www.wwaytv3.com/files/imagecache/field_story_summary_image/owen_declan_0.JPG</t>
  </si>
  <si>
    <t>8100 Highway 41</t>
  </si>
  <si>
    <t>Dublin</t>
  </si>
  <si>
    <t>28320</t>
  </si>
  <si>
    <t>Bladen</t>
  </si>
  <si>
    <t>Bladen County Sheriff's Office and the Bladenboro Police Department</t>
  </si>
  <si>
    <t>Officers responded to a report of a man near the high school lying in a ditch with a gun. He caught a ride with a stranger and fled into the woods. officers found Owen lying down with his back on the ground and his head propped up against a tree, he was reportedly facing the road. He allegedly pointed the gun at them and the officers fired, killing the subject.</t>
  </si>
  <si>
    <t>http://www.wect.com/story/28546766/one-dead-after-officer-involved-shooting-in-bladen-county</t>
  </si>
  <si>
    <t>Andrew Charles Shipley</t>
  </si>
  <si>
    <t>360 Argyle Court</t>
  </si>
  <si>
    <t>97501</t>
  </si>
  <si>
    <t>Officers were in a standoff after 2 welfare calls to the house of Shipley who was thought to have weapons and to be in the process of being evicted by his girlfriend. Officers reported that Shipley opened the garage and fired at them, and they returned fire killing him.</t>
  </si>
  <si>
    <t>http://kobi5.com/component/zoo/item/police-armed-standoff-in-medford.html#.VRAssJXn_vI</t>
  </si>
  <si>
    <t>Eugene Frank Smith II</t>
  </si>
  <si>
    <t>http://www.killedbypolice.net/victims/150231.jpg</t>
  </si>
  <si>
    <t>3710 US Highway 190 W</t>
  </si>
  <si>
    <t>Onalaska</t>
  </si>
  <si>
    <t>77360</t>
  </si>
  <si>
    <t>Onalaska Police Department</t>
  </si>
  <si>
    <t>Police responded to a call reporting a man at a gas station with a shotgun. When they arrived, there was a firefight, and the man was killed.</t>
  </si>
  <si>
    <t>http://www.ktre.com/story/28544196/law-enforcement-confirms-officer-involved-shooting-at-gas-station-in-onalaska</t>
  </si>
  <si>
    <t>Alice Brown</t>
  </si>
  <si>
    <t>http://sfist.com/attachments/sfist_eve/alice_brown_collage.jpg</t>
  </si>
  <si>
    <t>Van Ness Ave &amp; Pine St</t>
  </si>
  <si>
    <t>94109</t>
  </si>
  <si>
    <t>Plainclothes officers reported that they suspected the car that Brown was in as being stolen, and when they showed her their badges, she fled hitting a gas station building, and other cars along the chase. Officers claimed that she drove the car at them before they shot her to death.</t>
  </si>
  <si>
    <t>http://www.nbcbayarea.com/news/local/San-Francisco-Police-Investigating-Officer-Involved-Shooting-on-Van-Ness-Avenue-296670781.html?_osource=outbrain_recirc=obinsite</t>
  </si>
  <si>
    <t>Librado Perez-Leon</t>
  </si>
  <si>
    <t>2400 15th Street East</t>
  </si>
  <si>
    <t>Bradenton</t>
  </si>
  <si>
    <t>34208</t>
  </si>
  <si>
    <t>Manatee</t>
  </si>
  <si>
    <t>Manatee County Sheriff's Office</t>
  </si>
  <si>
    <t>Perez-Leon was struck and killed on his bicycle by a suspect in a stolen Cadillac, fleeing from county deputies in a high-speed chase.</t>
  </si>
  <si>
    <t>http://www.bradenton.com/2015/03/16/5694482/bicyclist-injured-during-deputies.html#storylink=omni_popular#wgt=pop</t>
  </si>
  <si>
    <t>Sheldon Haleck</t>
  </si>
  <si>
    <t>http://www.killedbypolice.net/victims/150236.jpg</t>
  </si>
  <si>
    <t>300 South King Street</t>
  </si>
  <si>
    <t>96813</t>
  </si>
  <si>
    <t>Honolulu Police Department</t>
  </si>
  <si>
    <t>Police responded to a call about a man running erratically down the street in downtown Honolulu. He kept running and officers used pepper spray and an electric gun. Finally, the man tripped and fell, allowing officers to control him. He became unresponsive and died at the hospital.</t>
  </si>
  <si>
    <t>http://www.hawaiinewsnow.com/story/28546370/combative-man-dies-following-arrest-near-iolani-palace</t>
  </si>
  <si>
    <t>William Dean Poole</t>
  </si>
  <si>
    <t>130 Wedowee Lane</t>
  </si>
  <si>
    <t>28052</t>
  </si>
  <si>
    <t>http://www.charlotteobserver.com/news/local/crime/article14706887.html</t>
  </si>
  <si>
    <t>Justin Todd Tolkinen</t>
  </si>
  <si>
    <t>http://extras.mnginteractive.com/live/media/site569/2015/0317/20150317__150317_JustinToddTolkinen_200.jpg</t>
  </si>
  <si>
    <t>411 White Bear Avenue</t>
  </si>
  <si>
    <t>St. Paul</t>
  </si>
  <si>
    <t>55106</t>
  </si>
  <si>
    <t>Ramsey</t>
  </si>
  <si>
    <t>Police responded to a call about a man carrying a rifle outside his house. Tolkinen, who has a history of drug use and mental illness refused to come out of his house so the police shit him dead.</t>
  </si>
  <si>
    <t>http://www.twincities.com/crime/ci_27730198/man-killed-by-st-paul-police-identified</t>
  </si>
  <si>
    <t>David Werblow</t>
  </si>
  <si>
    <t>134 Burban Drive</t>
  </si>
  <si>
    <t>Branford</t>
  </si>
  <si>
    <t>06405</t>
  </si>
  <si>
    <t>New Haven</t>
  </si>
  <si>
    <t>Branford Police Department</t>
  </si>
  <si>
    <t>An unarmed David Werblow died after Branford police shot him with a Taser when he refused to get out of a parked car. Police said Werblow was being uncooperative and had previously attempted to stop cars and enter those vehicles as they passed him walking along Burban Drive in Branford. Police said they initially responded to a call of a disturbance at Werblow's residence.</t>
  </si>
  <si>
    <t>http://www.courant.com/breaking-news/hc-david-werblow-branford-police-taser-death-20150316-story.html</t>
  </si>
  <si>
    <t>Troy Ray Boyd</t>
  </si>
  <si>
    <t>http://wlbt.images.worldnow.com/images/7151035_G.jpg</t>
  </si>
  <si>
    <t>McEwien Swamp Road</t>
  </si>
  <si>
    <t>Ruth</t>
  </si>
  <si>
    <t>39662</t>
  </si>
  <si>
    <t>A sheriff and deputy reported that they were called by a witness to a bloody man riding a 4-wheeler with a machete. When the officers tried to stop Ray, they reported that he tried to run the deputy over, and the deputy shot him to death.</t>
  </si>
  <si>
    <t>http://www.wapt.com/news/central-mississippi/deputyinvolved-shooting-under-investigation-in-pike-county/31818664</t>
  </si>
  <si>
    <t>Richard Castilleja</t>
  </si>
  <si>
    <t>https://pbs.twimg.com/media/CARLUoUUUAAxlCF.jpg:large</t>
  </si>
  <si>
    <t>2600 Mossrock</t>
  </si>
  <si>
    <t>78230</t>
  </si>
  <si>
    <t>Officers responded to a call about a bar fight. One of the participants, Castilleja, allegedly ran out and came back to the scene with the intention of committing a drive-by shooting. Officers felt threatened and shot and killed him,</t>
  </si>
  <si>
    <t>http://www.kens5.com/story/news/crime/2015/03/14/officer-involved-shooting-leaves-suspect-dead/24754547/</t>
  </si>
  <si>
    <t>Aaron Siler</t>
  </si>
  <si>
    <t>https://localtvwiti.files.wordpress.com/2015/03/aaron-siler.jpg?w=370&amp;h=204&amp;crop=1</t>
  </si>
  <si>
    <t>22nd Avenue and 56th Street</t>
  </si>
  <si>
    <t>Kenosha</t>
  </si>
  <si>
    <t>53140</t>
  </si>
  <si>
    <t>Kenosha Police Department</t>
  </si>
  <si>
    <t>Officers reported that they followed Siler around 9:30 a.m. in a car as he was wanted for a warrant and on parole and probation. Siler crashed, and ran away. The officer claimed that Siler "armed himself," and the officer shot him to death.</t>
  </si>
  <si>
    <t>http://www.chicagotribune.com/news/local/breaking/chi-kenosha-officer-kills-armed-man-two-weeks-after-shooting-another-20150317-story.html</t>
  </si>
  <si>
    <t>Salome Rodriguez Jr.</t>
  </si>
  <si>
    <t>http://cdn.abclocal.go.com/content/kabc/images/cms/559309_630x354.jpg</t>
  </si>
  <si>
    <t>184 W 3rd St</t>
  </si>
  <si>
    <t>91766</t>
  </si>
  <si>
    <t>Witnesses reported that an officer shot Rodriguez in what was most likely an alcohol-fueled incident at a bar. The suspected assaulting officer is on the run.</t>
  </si>
  <si>
    <t>http://www.latimes.com/local/lanow/la-me-ln-lapd-officer-fired-20150317-story.html</t>
  </si>
  <si>
    <t>James Richard Jimenez</t>
  </si>
  <si>
    <t>http://bloximages.chicago2.vip.townnews.com/napavalleyregister.com/content/tncms/assets/v3/editorial/9/86/986d5135-6e20-50de-a7cd-808562dfe387/5504d66bc6f34.image.jpg</t>
  </si>
  <si>
    <t>Spring St &amp; Hill Ave</t>
  </si>
  <si>
    <t>Napa</t>
  </si>
  <si>
    <t>94558</t>
  </si>
  <si>
    <t>Napa Police Department</t>
  </si>
  <si>
    <t>Officers reported that they went to serve Jimenez with a warrant for drugs and gun possession, and saw him riding by on a motorcycle. They reported that they followed him, he crashed and even though officers ordered him to raise his hands, he reached for a gun, and they shot him to death. A gun and possible methamphetamine was reported found at the scene.</t>
  </si>
  <si>
    <t>http://www.sfgate.com/bayarea/article/Napa-cop-who-killed-suspect-was-cleared-in-6137333.php</t>
  </si>
  <si>
    <t>Andrew Driver</t>
  </si>
  <si>
    <t>9700 Kempster Avenue</t>
  </si>
  <si>
    <t>92335</t>
  </si>
  <si>
    <t>Driver made several calls to Fontana police threatening to kill them with a knife. When officers showed up at his house he was allegedly weilding a knife. Officers shot him and he died at the hospital.</t>
  </si>
  <si>
    <t>http://fontanacanews.com/dnews/?q=article/man-shot-death-police-after-he-allegedly-attacked-fontana-officers</t>
  </si>
  <si>
    <t>Fred E. Liggett Jr.</t>
  </si>
  <si>
    <t>8700 East 97th Terrace</t>
  </si>
  <si>
    <t>64134</t>
  </si>
  <si>
    <t>Marshals serving an arrest warrant encountered the victim and opened fire in "response to the subject's actions."</t>
  </si>
  <si>
    <t>http://www.kansascity.com/news/local/crime/article14450867.html</t>
  </si>
  <si>
    <t>Clifton Daniel Reintzel</t>
  </si>
  <si>
    <t>https://scontent-dfw.xx.fbcdn.net/hphotos-xpa1/v/t1.0-9/11065886_10206337832912845_8133721525149832170_n.jpg?oh=bf4506e572850c11d71b7abb59ae4d9b&amp;oe=5577EA6A</t>
  </si>
  <si>
    <t>1120 Main Street</t>
  </si>
  <si>
    <t>Follansbee</t>
  </si>
  <si>
    <t>26037</t>
  </si>
  <si>
    <t>Brooke</t>
  </si>
  <si>
    <t>Police responded to a call in which a man said he was cutting himself with a knife and they heard a woman screaming in the background. On arrival, Reintzel, a military veteran, allegedly charged officers with the knife. Police opened fire and killed him.</t>
  </si>
  <si>
    <t>http://www.wowktv.com/story/28497921/wva-man-shot-by-police-after-threatening-them-with-knife</t>
  </si>
  <si>
    <t>Jonathan Ryan Paul</t>
  </si>
  <si>
    <t>http://www.killedbypolice.net/victims/150217.jpg</t>
  </si>
  <si>
    <t>300 East Mitchell Street</t>
  </si>
  <si>
    <t>Paul, an inmate, continued to be agitated and non-compliant. He was restrained and placed in an isolation cell at the Arlington City jail where detention officers saw that he had become unresponsive.</t>
  </si>
  <si>
    <t>Bobby Gross</t>
  </si>
  <si>
    <t>700 14th Street NW</t>
  </si>
  <si>
    <t>DC</t>
  </si>
  <si>
    <t>20005</t>
  </si>
  <si>
    <t>District of Columbia</t>
  </si>
  <si>
    <t>DC Metro Transit Police</t>
  </si>
  <si>
    <t>Metro train operator noticed a man inside one of the tunnels and alerted Transit Police. Gross allegedly charged at the female officer with two large sticks, and she opened fire and killed him,</t>
  </si>
  <si>
    <t>http://www.washingtonpost.com/local/crime/investigation-continues-into-deadly-shooting-in-metro-tunnel-in-se-dc/2015/03/13/174b80f4-c973-11e4-aa1a-86135599fb0f_story.html</t>
  </si>
  <si>
    <t>Antonio Perez</t>
  </si>
  <si>
    <t>https://2dbdd5116ffa30a49aa8-c03f075f8191fb4e60e74b907071aee8.ssl.cf1.rackcdn.com/3698033_1426269764.975_app.png</t>
  </si>
  <si>
    <t>2400 Flower Street</t>
  </si>
  <si>
    <t>90007</t>
  </si>
  <si>
    <t>The subject was allegedly driving a stolen car, crashed it and ran, along with his female passenger. Police shot and killed him when it appeared he was reaching into his waistband.</t>
  </si>
  <si>
    <t>http://www.presstelegram.com/general-news/20150313/foot-pursuit-in-unincorporated-walnut-park-ends-in-fatal-deputy-involved-shooting</t>
  </si>
  <si>
    <t>Terry Garnett Jr.</t>
  </si>
  <si>
    <t>https://fbexternal-a.akamaihd.net/safe_image.php?d=AQCM9p_vGeh3bI5d&amp;w=158&amp;h=158&amp;url=http%3A%2F%2Fbloximages.chicago2.vip.townnews.com%2Fcecildaily.com%2Fcontent%2Ftncms%2Fassets%2Fv3%2Feditorial%2Ff%2Fd0%2Ffd02af9e-e231-5514-8fa0-089312da822f%2F550232d4e35fb.image.jpg&amp;cfs=1&amp;upscale=1&amp;sx=0&amp;sy=0&amp;sw=376&amp;sh=376</t>
  </si>
  <si>
    <t>Augustine Herman Hwy &amp; E Lewis Shore Rd</t>
  </si>
  <si>
    <t>Elkton</t>
  </si>
  <si>
    <t>21921</t>
  </si>
  <si>
    <t>Cecil County Sheriff's Office</t>
  </si>
  <si>
    <t>Deputy attempted a traffic stop. Driver of vehicle pulled into side road and then turned vehicle around and started in the direction of the police car. Officer opened fire and killed man.</t>
  </si>
  <si>
    <t>http://baltimore.cbslocal.com/2015/03/11/suspect-killed-after-brief-pursuit/</t>
  </si>
  <si>
    <t>Theodore Johnson</t>
  </si>
  <si>
    <t>http://www.killedbypolice.net/victims/150206.jpg</t>
  </si>
  <si>
    <t>Ottawa Road</t>
  </si>
  <si>
    <t>Johnson shot an officer. Then, when Johnson refused to drop the weapon and began to raise it again. Four officers fired a total of five rounds at Johnson.</t>
  </si>
  <si>
    <t>Benito Osorio</t>
  </si>
  <si>
    <t>http://s3.amazonaws.com/nixle/uploads/pub_media/user22756-1426130787-media1</t>
  </si>
  <si>
    <t>300 South Main Street</t>
  </si>
  <si>
    <t>Santa Ana</t>
  </si>
  <si>
    <t>92701</t>
  </si>
  <si>
    <t>Santa Ana Police Department</t>
  </si>
  <si>
    <t>Police responded to reports of a shooting. Osorio allegedly shot at another man but missed then got into his truck and shot himself under the chin. Police asked him to get out and drop the gun and Osorio got out with a pistol in his hand. Police opened fire and killed him.</t>
  </si>
  <si>
    <t>http://www.latimes.com/local/lanow/la-me-ln-santa-ana-police-shoot-kill-man-20150311-story.html</t>
  </si>
  <si>
    <t>Aaron Valdez</t>
  </si>
  <si>
    <t>10400 Pescadero Avenue</t>
  </si>
  <si>
    <t>South Gate</t>
  </si>
  <si>
    <t>90280</t>
  </si>
  <si>
    <t>South Gate Police Department</t>
  </si>
  <si>
    <t>Officers responded to report of an attempt to steal a car. As they detained a man who wasn't involved Valdez came at them driving a stolen Camry. Police opened fire and killed him.</t>
  </si>
  <si>
    <t>http://abc7.com/554718/</t>
  </si>
  <si>
    <t>Gilbert Fleury</t>
  </si>
  <si>
    <t>https://pbs.twimg.com/media/CAkF3sDUQAAKO-e.jpg:large</t>
  </si>
  <si>
    <t>8600 Cliff's Landing Road</t>
  </si>
  <si>
    <t>Bay Minette</t>
  </si>
  <si>
    <t>36507</t>
  </si>
  <si>
    <t>Baldwin</t>
  </si>
  <si>
    <t>Baldwin County Sheriff's Office</t>
  </si>
  <si>
    <t>Neighbors called police about a man who was reportedly destroying his home. When they arrived the man pointed a shotgun at them and was killed by police.</t>
  </si>
  <si>
    <t>http://www.al.com/news/mobile/index.ssf/2015/03/man_shot_in_confrontation_with.html</t>
  </si>
  <si>
    <t>James Greenwell</t>
  </si>
  <si>
    <t>http://mediaassets.commercialappeal.com/photo/2015/03/11/James%20Greenwell_1426112658902_14872950_ver1.0_640_480.jpg</t>
  </si>
  <si>
    <t>700 Auburndale Street</t>
  </si>
  <si>
    <t>38107</t>
  </si>
  <si>
    <t>Police responded to a call about a mentally ill man who was intoxicated and threatening his father. Police arrived to find the man sitting on his porch with a handgun. Shots were fired and the man died at the scene.</t>
  </si>
  <si>
    <t>http://www.commercialappeal.com/news/local-news/crime/police-respond-to-standoff-in-midtown</t>
  </si>
  <si>
    <t>Ryan Dean Burgess</t>
  </si>
  <si>
    <t>http://www.killedbypolice.net/victims/150215.jpg</t>
  </si>
  <si>
    <t>2200 Lucille Avenue</t>
  </si>
  <si>
    <t>Kingman</t>
  </si>
  <si>
    <t>86401</t>
  </si>
  <si>
    <t>Mojave</t>
  </si>
  <si>
    <t>Mohave County Sheriff’s Office</t>
  </si>
  <si>
    <t>Police responded to a domestic call from a mother who said her son was her son was punching holes in the wall of the residence and was acting in a violent manner. Police arrived and Burgess pointed a BB gun at an officer and refused to out it down. The officer opened fire and killed Burgess.</t>
  </si>
  <si>
    <t>http://www.reviewjournal.com/news/nevada/kingman-police-shoot-kill-man-brandishing-bb-gun</t>
  </si>
  <si>
    <t>Terrance Moxley</t>
  </si>
  <si>
    <t>http://www.gannett-cdn.com/-mm-/cf9d7ad972071133e5ed2f8a66cd827da0746439/c=0-44-200-157&amp;r=x633&amp;c=1200x630/local/-/media/2015/03/11/OHGroup/Mansfield/635616343418688579-moxley.jpg</t>
  </si>
  <si>
    <t>1280 Park Avenue</t>
  </si>
  <si>
    <t>44906</t>
  </si>
  <si>
    <t>Suspect was displaying violent behavior at a community service location. Police tasered him, he broke free and they tasered him again. He went into medical distress and died at the hospital.</t>
  </si>
  <si>
    <t>http://www.19actionnews.com/story/28382544/possible-taser-death-under-investigation-in-mansfield</t>
  </si>
  <si>
    <t>Christopher Mitchell</t>
  </si>
  <si>
    <t>8173 Old State Highway 21</t>
  </si>
  <si>
    <t>Port Wentworth</t>
  </si>
  <si>
    <t>31407</t>
  </si>
  <si>
    <t>Chatham</t>
  </si>
  <si>
    <t>Port Wentworth Police Department</t>
  </si>
  <si>
    <t>Police responded to a call about a stabbing at a mobile home park. They found two men stabbed and a man with a knife who tried to stab a police officer. Police shot and killed the man.</t>
  </si>
  <si>
    <t>http://www.wtvm.com/story/28348584/gbi-called-out-to-investigate-officer-involved-shooting-in-port-wentworth</t>
  </si>
  <si>
    <t>Jamie Croom</t>
  </si>
  <si>
    <t>http://imgick.nola.com/home/nola-media/width960/img/tpphotos/photo/2015/03/11/jamie-croom-mugjpg-4d8ffcf0919cb9b0.jpg</t>
  </si>
  <si>
    <t>10064 Elm Grove Garden Dr</t>
  </si>
  <si>
    <t>East Baton Rouge</t>
  </si>
  <si>
    <t>United States Marshals Service</t>
  </si>
  <si>
    <t>Marshals report that they were attempting to apprehend Croom from his hotel in Baton Rouge, as he was wanted in two murders. They report that he fired at them, killed one of the marshals, and later died himself from the marshals' return gunfire.</t>
  </si>
  <si>
    <t>http://wtaq.com/news/articles/2015/mar/11/fugitive-who-shot-dead-deputy-us-marshal-in-louisiana-dies/</t>
  </si>
  <si>
    <t>William Russell Smith</t>
  </si>
  <si>
    <t>700 Valley Street</t>
  </si>
  <si>
    <t>Hoover</t>
  </si>
  <si>
    <t>35226</t>
  </si>
  <si>
    <t>Hoover Police Department</t>
  </si>
  <si>
    <t>Hoover PD called by a neighbor regarding a domestic incident. They responded around 5:34 pm CST, but were unable to find any evidence of a domestic disturbance. Three vehicles were reported leaving the scene. Those vehicles were found after 6 p.m. near a Piggly Wiggly close by. There, police found three people who had been involved in the incident, including one woman who had a minor cut. Officers then went back to the original house on Valley Street to try to talk to the fourth person involved in the incident. Two officers found Smith, who was armed, and the officers shot the man.</t>
  </si>
  <si>
    <t>http://www.al.com/news/birmingham/index.ssf/2015/03/man_fatally_shot_by_hoover_pol.html#incart_story_package</t>
  </si>
  <si>
    <t>Fern Avenue and Phillips Street</t>
  </si>
  <si>
    <t>91762</t>
  </si>
  <si>
    <t>Man called police and said he had a gun and was suicidal. When finally stopped, he got out of SUV brandishing a samurai sword. Police opened fire and killed the man.</t>
  </si>
  <si>
    <t>http://www.topix.com/forum/city/ontario-ca/TEIEOA1JJ116NH3JP</t>
  </si>
  <si>
    <t>Hue Dang</t>
  </si>
  <si>
    <t>E Kennedy St &amp; Jackson Ave</t>
  </si>
  <si>
    <t>Bergen County Prosecutor's Office Detective</t>
  </si>
  <si>
    <t>Detective was turning onto a street and hit and killed a female pedestrian.</t>
  </si>
  <si>
    <t>http://www.nj.com/bergen/index.ssf/2015/03/detective_fatally_strikes_woman_with_bergen_county.html</t>
  </si>
  <si>
    <t>Cedrick Lamont Bishop</t>
  </si>
  <si>
    <t>http://www.gannett-cdn.com/-mm-/863dc015c4bf456f0c7fe0f1d185c9560c19b26b/c=0-115-300-284&amp;r=x633&amp;c=1200x630/local/-/media/2015/03/10/Brevard/Brevard/635615833103771989-Bishop.jpg</t>
  </si>
  <si>
    <t>Aurora Street</t>
  </si>
  <si>
    <t>32922</t>
  </si>
  <si>
    <t>Brevard County Sheriff's Office</t>
  </si>
  <si>
    <t>Reports of shots fired in a residential district brought deputies to encounter ex-con Bishop. Reportedly Bishop fired into the deputy's vehicle. Return fire killed him.</t>
  </si>
  <si>
    <t>http://www.orlandosentinel.com/news/breaking-news/os-ap-deputy-fatal-shooting-brevard-20150310-story.html</t>
  </si>
  <si>
    <t>Anthony Hill</t>
  </si>
  <si>
    <t>https://heavy.com/news/2015/03/anthony-hill-police-shooting-shot-killed-mental-illness-bipolar-dekalb-atlanta-georgia-officer-unarmed/</t>
  </si>
  <si>
    <t>3028 Chamblee Dunwoody Rd.</t>
  </si>
  <si>
    <t>Chamblee</t>
  </si>
  <si>
    <t>30341</t>
  </si>
  <si>
    <t>Police responded to report of naked man running around apt. complex. When man ran towards cop he was shot twice and killed.</t>
  </si>
  <si>
    <t>http://www.ajc.com/news/news/naked-unarmed-man-killed-by-dekalb-police-identifi/nkR4c/</t>
  </si>
  <si>
    <t>James Brent Damon</t>
  </si>
  <si>
    <t>https://pbs.twimg.com/media/B_2Nh-7UIAEha6R.jpg:large</t>
  </si>
  <si>
    <t>U.S. Highway 40</t>
  </si>
  <si>
    <t>Craig</t>
  </si>
  <si>
    <t>81625</t>
  </si>
  <si>
    <t>Moffat</t>
  </si>
  <si>
    <t>Moffat County Sheriff's Office</t>
  </si>
  <si>
    <t>Officers saw a suspicious car pulled off the highway and upon investigating a man and a woman tried to take them them hostage. Man was killed in the scuffle.</t>
  </si>
  <si>
    <t>http://www.craigdailypress.com/news/2015/mar/10/officer-involved-shooting-near-dinosaur-under-inve/</t>
  </si>
  <si>
    <t>Lester Randolph Brown</t>
  </si>
  <si>
    <t>http://www.killedbypolice.net/victims/150201.jpg</t>
  </si>
  <si>
    <t>Talley Road</t>
  </si>
  <si>
    <t>Penrose</t>
  </si>
  <si>
    <t>28766</t>
  </si>
  <si>
    <t>Transylvania</t>
  </si>
  <si>
    <t>North Carolina Alcohol Law Enforcement, Homeland Security,Transylvania County Sheriff’s Department</t>
  </si>
  <si>
    <t>Police and agents from multiple law enforcement agencies were serving a warrant on Brown for allegedly operating an illegal still. Brown ran upstairs as officers arrived and grabbed a rifle, refusing to put it down. Officers from all agencies opened fire and killed Brown.</t>
  </si>
  <si>
    <t>http://www.wlos.com/news/features/top-stories/stories/one-dead-after-officer-involved-shooting-20034.shtml#.VRe2juEqrIV</t>
  </si>
  <si>
    <t>Monique Jenee Deckard</t>
  </si>
  <si>
    <t>http://images.onset.freedom.com/ocregister/nl0c7r-deckard.monique.jpg</t>
  </si>
  <si>
    <t>900 South Euclid Street</t>
  </si>
  <si>
    <t>92802</t>
  </si>
  <si>
    <t>Police responded to a report of a stabbing at a laundromat. Investigating the alleged crime, the police couldn't find a victim but found the suspect, who neighbors described as "unstable" in her apartment. After refusing to come out, the woman came out with two knives and allegedly charged at officers, who fired on her and killed her.</t>
  </si>
  <si>
    <t>http://www.nbclosangeles.com/news/local/Police-Shoot-Woman-Anaheim-Laundromat-295557591.html</t>
  </si>
  <si>
    <t>Aurelio V. Duarte</t>
  </si>
  <si>
    <t>https://localtvkfor.files.wordpress.com/2015/03/promo250212178.jpg</t>
  </si>
  <si>
    <t>10700 La Tuna Canyon Road</t>
  </si>
  <si>
    <t>73119</t>
  </si>
  <si>
    <t>Officers responded to a report of a disturbance and found a man suffering from a gunshot wound. They found the subject armed with a rifle. He allegedly refused to put it down and police shot and killed the man.</t>
  </si>
  <si>
    <t>http://www.news9.com/story/28291336/fatal-officer-involved-shooting-in-sw-okc</t>
  </si>
  <si>
    <t>Michael L. McKillop</t>
  </si>
  <si>
    <t>http://d1t3gia0in9tdj.cloudfront.net/photo/tributes/t/8/r/76x76/2835608/Michael-Mckillop-1426098807.jpg</t>
  </si>
  <si>
    <t>689 Naamans Road</t>
  </si>
  <si>
    <t>Claymont</t>
  </si>
  <si>
    <t>19703</t>
  </si>
  <si>
    <t>New Castle</t>
  </si>
  <si>
    <t>Delaware State Police Department</t>
  </si>
  <si>
    <t>A state trooper responded to a burglar alarm in a shopping center and saw a man quickly getting into his vehicle and tryingto leave. The officer tried to stop him and the subject allegedly kept driving, dragging the officer with him as well as hitting his police vehicle. Trooper shot the man in the torso and the subject died at the scene.</t>
  </si>
  <si>
    <t>http://www.delawareonline.com/story/news/crime/2015/03/08/man-shot-killed/24605201/</t>
  </si>
  <si>
    <t>Adam O'Neal Reinhart</t>
  </si>
  <si>
    <t>http://phoenixmugs.com/img/Adam-Oneal-Reinhart__2663892.jpg</t>
  </si>
  <si>
    <t>18th Street and Palm Lane</t>
  </si>
  <si>
    <t>Maracopa</t>
  </si>
  <si>
    <t>According to police, witnesses and officers said Reinhart pulled a gun from his waistband and pointed it at the officers. An officer then shot and killed him.</t>
  </si>
  <si>
    <t>http://www.abc15.com/news/region-phoenix-metro/central-phoenix/phoenix-police-identify-man-shot-killed-by-officer-as-29-year-old-adam-oneal-reinhart</t>
  </si>
  <si>
    <t>Naeschylus Vinzant</t>
  </si>
  <si>
    <t>https://cbsdenver.files.wordpress.com/2015/03/z-133-copy-copy-copy.jpg?w=420&amp;h=237</t>
  </si>
  <si>
    <t>East 12th Avenue and Memphis Street</t>
  </si>
  <si>
    <t>Aurora</t>
  </si>
  <si>
    <t>80011</t>
  </si>
  <si>
    <t>Arapahoe</t>
  </si>
  <si>
    <t>Aurora Police Department</t>
  </si>
  <si>
    <t>Officers say the deceased was wanted for several crimes, and during a SWAT team interaction, they shot him to death, and didn't realize he was unarmed.</t>
  </si>
  <si>
    <t>http://denver.cbslocal.com/2015/03/09/aurora-police-say-suspect-killed-in-officer-involved-shooting-was-unarmed-black-man/</t>
  </si>
  <si>
    <t>Bernard Moore</t>
  </si>
  <si>
    <t>http://www.gannett-cdn.com/-mm-/ec9121fad7a278aa9b97bc0e3042f1c96f1e9c9d/r=x233&amp;c=210x230/http/bcdownload.gannett.edgesuite.net/wxia/34310441001/201503/707/34310441001_4106419071001_shirek-apd-investigation311.jpg</t>
  </si>
  <si>
    <t>Metropolitan Parkway SW and Fair Drive SW</t>
  </si>
  <si>
    <t>30315</t>
  </si>
  <si>
    <t>A deputy on routine patrol hit and killed a man crossing the street. Deputies say the man was more than 100 feet from the nearest crosswalk.</t>
  </si>
  <si>
    <t>http://www.wsbtv.com/news/news/local/officer-hits-man-car-southwest-atlanta/nkQQK/</t>
  </si>
  <si>
    <t>Tony Terrell Robinson</t>
  </si>
  <si>
    <t>http://host.madison.com/wsj/news/local/crime_and_courts/in-mourning-shooting-victim-friends-remember-a-gentle-man-loyal/article_74c904c8-a3c2-52be-9122-3666d1f027b6.html</t>
  </si>
  <si>
    <t>1100 Williamson Street</t>
  </si>
  <si>
    <t>53703</t>
  </si>
  <si>
    <t>Madison Police Department</t>
  </si>
  <si>
    <t>Officer broke down the door to an apartment and allegedly was assaulted by Robinson and responded by shooting him.</t>
  </si>
  <si>
    <t>http://www.cnn.com/2015/03/07/us/wisconsin-protests/</t>
  </si>
  <si>
    <t>Andrew Anthony Williams</t>
  </si>
  <si>
    <t>http://jacksonville.com/sites/default/files/imagecache/premium_415_wide_scale/metputnampoliceshoot.jpg</t>
  </si>
  <si>
    <t>Putnam Loop Rd &amp; Dukes Trl</t>
  </si>
  <si>
    <t>Melrose</t>
  </si>
  <si>
    <t>32666</t>
  </si>
  <si>
    <t>During a drug-buying sting operation Williams is said to have resisted, tried to flee in his vehicle, drove into a tree, then aimed his car at deputies. Four deputies fired at him numerous times and killed him.</t>
  </si>
  <si>
    <t>http://www.gainesville.com/article/20150309/ARTICLES/150309637&amp;tc=ix</t>
  </si>
  <si>
    <t>Andy Martinez</t>
  </si>
  <si>
    <t>4100 Nashville Ave</t>
  </si>
  <si>
    <t>79903</t>
  </si>
  <si>
    <t>Officers reported that they stopped a vehicle of which the registration was out of date, and Martinez, who was in the passenger side, exited the vehicle and pointed a gun at officers, and they shot him to death.</t>
  </si>
  <si>
    <t>http://www.elpasotimes.com/latestnews/ci_27308903/el-paso-police-identify-man-shot-and-killed</t>
  </si>
  <si>
    <t>Tony Chance Ross</t>
  </si>
  <si>
    <t>http://www.killedbypolice.net/victims/150194.jpg</t>
  </si>
  <si>
    <t>Whitworth Street</t>
  </si>
  <si>
    <t>Sulphur Springs</t>
  </si>
  <si>
    <t>Hopkins</t>
  </si>
  <si>
    <t>Sulphur Springs Police Department</t>
  </si>
  <si>
    <t>When approached, Ross is said to have balled his fist and charged the officer. The officer tazed Ross but Ross was able to pull the wires out and fled. The officer pursued and a fight insured. Officers said Ross was difficult to contain and they were forced to tazed him more than once. Ross continued to resist even when taken to jail according to Chief Sanders. Ross was placed in the padded cell at Hopkins County jail. Eleven minutes after he was placed in the cell, an officer heard a noise and went to check on Ross. He was face down and unresponsive.</t>
  </si>
  <si>
    <t>Tyrone Ryerson Lawrence</t>
  </si>
  <si>
    <t>http://imgstore.jailbase.com/small/arrested/wi-mcs/2015-01-10/tyrone-ryerson-541913410.pic1.jpg</t>
  </si>
  <si>
    <t>E. Plainfield Ave. and S. Jasper Ave.</t>
  </si>
  <si>
    <t>53207</t>
  </si>
  <si>
    <t>Milwaukee Police Department</t>
  </si>
  <si>
    <t>Officers responded to a disturbance call about a man threatening his wife with a knife at her home. The subject had been issued a restraining order against seeing her. When officers arrived the man refused to drop his knife and, fearing he would stab his wife, shot the man dead.</t>
  </si>
  <si>
    <t>http://www.wisn.com/news/man-killed-in-overnight-confrontation-with-milwaukee-police/31647500</t>
  </si>
  <si>
    <t>Sergio Alexander Navas</t>
  </si>
  <si>
    <t>National Ave. and Pass Ave.</t>
  </si>
  <si>
    <t>Burbank</t>
  </si>
  <si>
    <t>91505</t>
  </si>
  <si>
    <t>A suspected car thief led police on a short chade from North Hollywood to Burbank. Police first claimed that the subject intentionally rammed their cruiser but later admitted it was from an accident. Police fired into the driver's side window, killing the subject at the scene.</t>
  </si>
  <si>
    <t>http://abc7.com/news/car-theft-suspect-killed-in-police-shooting-in-burbank-after-chase/545556/</t>
  </si>
  <si>
    <t>Tyson Damian Hubbard</t>
  </si>
  <si>
    <t>http://bloximages.chicago2.vip.townnews.com/journalstar.com/content/tncms/assets/v3/editorial/e/ae/eae4008a-1f89-5d24-8cb1-ea844af6284d/54f8d4f0e80be.image.jpg</t>
  </si>
  <si>
    <t>27th Street and Fletcher Avenue</t>
  </si>
  <si>
    <t>68504</t>
  </si>
  <si>
    <t>Metro Fugitive Task Force</t>
  </si>
  <si>
    <t>Officers reported that they were attempting to apprehend Hubbard, a fugitive, and that he eluded them and got into his car and tried to flee, but they shot him to death. They reported that he had a gun in the car, but it's not clear whether he pointed it at officers.</t>
  </si>
  <si>
    <t>http://journalstar.com/news/local/911/sheriff-quiet-as-deputies-dig-into-officer-involved-shooting/article_321df805-65b3-54b5-a175-6897d3187204.html</t>
  </si>
  <si>
    <t>Carl Lao</t>
  </si>
  <si>
    <t>South San Joaquin Steet and East Church Street</t>
  </si>
  <si>
    <t>95203</t>
  </si>
  <si>
    <t>Stockton Police Department, San Joaquin Police Department</t>
  </si>
  <si>
    <t>Police responded to reports of an argument and found a man with a gun who opened fire at them.</t>
  </si>
  <si>
    <t>http://www.recordnet.com/article/20150327/NEWS/150329710/101091/A_NEWS?template=printart</t>
  </si>
  <si>
    <t>Derek Cruice</t>
  </si>
  <si>
    <t>https://heavyeditorial.files.wordpress.com/2015/03/derekcruice.jpg?quality=65&amp;strip=all&amp;w=780</t>
  </si>
  <si>
    <t>800 Maybrook Drive</t>
  </si>
  <si>
    <t>Deltona</t>
  </si>
  <si>
    <t>32725</t>
  </si>
  <si>
    <t>Volusia</t>
  </si>
  <si>
    <t>Officers were serving a marijuana warrant, and an officer shot the unarmed Cruice in the face. Police allege he was resisting arrest, but witnesses say otherwise.</t>
  </si>
  <si>
    <t>http://www.clickorlando.com/news/deputyinvolved-shooting-investigated-in-volusia/31604696</t>
  </si>
  <si>
    <t>Fednel Rhinvil</t>
  </si>
  <si>
    <t>http://www.killedbypolice.net/victims/150184.jpg</t>
  </si>
  <si>
    <t>East Road and Olivia Street</t>
  </si>
  <si>
    <t>Salisbury</t>
  </si>
  <si>
    <t>21801</t>
  </si>
  <si>
    <t>Wicomico</t>
  </si>
  <si>
    <t>Deputies were alerted of a threat made to shoot up a nearby house. At the scene officers made contact with two suspects but Rhinvil ignored their requests to stop and kept walking away. A chase ensued, and Rhinvil was grabbed climbing a fence. The subject and deputy struggled, and Rhinvil pulled his gun. The deputy fired and killed the man at the scene.</t>
  </si>
  <si>
    <t>http://www.wmdt.com/news/more-local-news/fatal-deputy-involved-shooting/31582624</t>
  </si>
  <si>
    <t>Matthew Metz</t>
  </si>
  <si>
    <t>http://www.ktar.com/emedia/az/36/3679/367963.jpg?filter=mynw/335wide</t>
  </si>
  <si>
    <t>College Avenue and Curry Road</t>
  </si>
  <si>
    <t>Tempe</t>
  </si>
  <si>
    <t>85281</t>
  </si>
  <si>
    <t>Tempe Police Department</t>
  </si>
  <si>
    <t>Police responded to a domestic violence call, heard screaming in the apartment and made entry. They were confronted by a man with a knife who had just stabbed a woman and stabbed a female officer. They shot and killed the man at the scene.</t>
  </si>
  <si>
    <t>http://www.azcentral.com/story/news/local/tempe/2015/03/03/tempe-police-officers-injured-abrk/24328149/</t>
  </si>
  <si>
    <t>Shaquille Barrow</t>
  </si>
  <si>
    <t>http://www.trbimg.com/img-54f72e4b/turbine/chi-shaquille-barrow-20150304/650/650x366</t>
  </si>
  <si>
    <t>Richards Street</t>
  </si>
  <si>
    <t>Joliet</t>
  </si>
  <si>
    <t>60433</t>
  </si>
  <si>
    <t>Will</t>
  </si>
  <si>
    <t>Joliet Police Department</t>
  </si>
  <si>
    <t>Officers say they responded to a robbery call and when searching the Barrow the officer noticed a gun on his person. He then ran away, reached for the gun, and the officer shot him to death.</t>
  </si>
  <si>
    <t>http://www.chicagotribune.com/suburbs/joliet-romeoville/crime/chi-man-shot-by-police-in-joliet-died-tuesday-20150304-story.html</t>
  </si>
  <si>
    <t>Charly Leundeu "Africa" Keunang</t>
  </si>
  <si>
    <t>http://www.trbimg.com/img-54f8ed1f/turbine/la-me-ln-coroners-official-release-id-of-homeless-man-killed-by-lapd-20150305</t>
  </si>
  <si>
    <t>500 San Pedro Street</t>
  </si>
  <si>
    <t>90013</t>
  </si>
  <si>
    <t>4 - 5 police officers are seen on video surrounding man on the ground and wrestling with him. Whether or not he actually grabbed an officer's gun is unclear, but there are at least five gunshots heard on the video.</t>
  </si>
  <si>
    <t>http://touch.latimes.com/#section/-1/article/p2p-82949388/</t>
  </si>
  <si>
    <t>Darrell "Hubbard" Gatewood</t>
  </si>
  <si>
    <t>http://www.blackchronicle.com/vendor/FlexSlider/images/151.jpg</t>
  </si>
  <si>
    <t>616 SW 59th Street</t>
  </si>
  <si>
    <t>73109</t>
  </si>
  <si>
    <t>Police responded to a disturbance call about a man breaking things and "fighting with the air." When they arrived at the scene, the man started fighting with them. Deputies tasered the man an unknonw number of times and he went into cardiac arrest and was pronounced dead at the hospital.</t>
  </si>
  <si>
    <t>http://www.news9.com/story/28233777/man-dies-after-being-tasered-by-okc-police-during-assault-officer-says</t>
  </si>
  <si>
    <t>Donald Lewis Matkins</t>
  </si>
  <si>
    <t>2244 Mount Pleasant Rd</t>
  </si>
  <si>
    <t>Lucedale</t>
  </si>
  <si>
    <t>39452</t>
  </si>
  <si>
    <t>George</t>
  </si>
  <si>
    <t>George County Sheriff's Office, Jackson County SWAT</t>
  </si>
  <si>
    <t>Police responded to a 3 a.m. call concerning a man who was shooting at mailboxes and into the air and at the house of a neighbor. On police arrival, the subject went into his house and refused to come out. Officers fired tear gas grenades into the home. When he finally emerged, he pointed a gun at police and was shot dead.</t>
  </si>
  <si>
    <t>http://www.msnewsnow.com/story/28231270/officials-suspect-shot-killed-in-george-co-standoff</t>
  </si>
  <si>
    <t>Jeffrey C. Surnow</t>
  </si>
  <si>
    <t>Waikoloa Road</t>
  </si>
  <si>
    <t>Waikoloa Village</t>
  </si>
  <si>
    <t>96738</t>
  </si>
  <si>
    <t>Hawaii</t>
  </si>
  <si>
    <t>Hawaii Police Department</t>
  </si>
  <si>
    <t>Sunlow was having a sunrise bike ride, when an officer hit him with a police vehicle. The officer was arrested on suspicion of negligent homicide, but released pending an investigation.</t>
  </si>
  <si>
    <t>http://patch.com/michigan/bloomfield-mi/local-bicyclist-killed-police-vehicle-hawaii</t>
  </si>
  <si>
    <t>Deven Guilford</t>
  </si>
  <si>
    <t>https://pbs.twimg.com/profile_images/491669839748939777/rRYLHuE7_400x400.jpeg</t>
  </si>
  <si>
    <t>W Grand Ledge Hwy and Cochran Road</t>
  </si>
  <si>
    <t>Grand Ledge</t>
  </si>
  <si>
    <t>48837</t>
  </si>
  <si>
    <t>Eaton</t>
  </si>
  <si>
    <t>Michigan State Police Department</t>
  </si>
  <si>
    <t>A routine traffic stop turned into a struggle between the subject and the officer. The officer shot and killed the subject. The officer was treated for wounds at the hospital.</t>
  </si>
  <si>
    <t>http://wlns.com/2015/03/01/msp-investigates-another-officer-involved-shooting-in-eaton-county/</t>
  </si>
  <si>
    <t>Cornelius J. Parker</t>
  </si>
  <si>
    <t>http://bloximages.newyork1.vip.townnews.com/columbiatribune.com/content/tncms/assets/v3/editorial/8/6d/86de4495-903c-5b03-843a-8e864b9639a5/550073a44c6ea.image.jpg</t>
  </si>
  <si>
    <t>E Broadway &amp; Hwy 63</t>
  </si>
  <si>
    <t>Boone County Sheriff’s Office</t>
  </si>
  <si>
    <t>Officers tried to stop Parker's vehicle at El Chaparral Avenue and Route WW and a chase ensued, O'Sullivan said. Parker tried to turn the vehicle south onto Highway 63 and ran off the road in the snowy conditions, a release said. Parker allegedly got out of the vehicle with a handgun, shots were exchanged and he was fatally shot by a deputy.</t>
  </si>
  <si>
    <t>http://www.columbiatribune.com/news/crime/three-dead-including-alleged-shooter-at-two-scenes/article_a1cb2d92-94f4-5670-92f6-3a2a73a6ea10.html</t>
  </si>
  <si>
    <t>Ian Sherrod</t>
  </si>
  <si>
    <t>https://localtvwghp.files.wordpress.com/2014/12/susect.jpg?w=613</t>
  </si>
  <si>
    <t>2300 Main Street</t>
  </si>
  <si>
    <t>Tarboro</t>
  </si>
  <si>
    <t>27886</t>
  </si>
  <si>
    <t>Edgecombe</t>
  </si>
  <si>
    <t>Tarboro Police Department</t>
  </si>
  <si>
    <t>The subject, a suspect in the murders of three people was located by police in his truck with a gun. He is believed to have suffered with paranoid schizophrenia. After trying repeatedly to get Sherrod to surrender, police say he got out of the truck and pointed the gun at officers, who shot and killed him.</t>
  </si>
  <si>
    <t>http://abc11.com/news/3-dead-in-tarboro-shootings/538892/</t>
  </si>
  <si>
    <t>Thomas Allen Jr.</t>
  </si>
  <si>
    <t>http://bloximages.newyork1.vip.townnews.com/stltoday.com/content/tncms/assets/v3/editorial/f/c0/fc078510-b702-52b0-80b1-dcd296a5822c/54f4969de6350.image.jpg</t>
  </si>
  <si>
    <t>Morton Ave and Chatham Ave</t>
  </si>
  <si>
    <t>Wellston</t>
  </si>
  <si>
    <t>63133</t>
  </si>
  <si>
    <t>St. Louis County</t>
  </si>
  <si>
    <t>Wellston Police Department</t>
  </si>
  <si>
    <t>An officer pulled over a vehicle driven by Thomas Allen for a traffic violation. While questioning Thomas, a passenger got into the car and attempted to drive away. The officer fatally shot Thomas who died in the hospital the next day.</t>
  </si>
  <si>
    <t>http://www.stltoday.com/news/local/suspect-in-wellson-police-shooting-dies-of-wounds/article_7572d365-c0d0-515f-a2d5-bc6ab6a2265d.html</t>
  </si>
  <si>
    <t>Jessica Uribe</t>
  </si>
  <si>
    <t>St. Mary's Road and Grande Avenue</t>
  </si>
  <si>
    <t>85745</t>
  </si>
  <si>
    <t>Police received a report of a suspicious woman around 9 pm near St. Mary's Road and Grande Avenue. When the officer arrived, the woman allegedly charged at him with a knife. The officer shot her and she died hours later in the hospital.</t>
  </si>
  <si>
    <t>http://www.kvoa.com/story/28230565/woman-killed-after-officer-involved-shooting-on-westside</t>
  </si>
  <si>
    <t>Chazsten Noah Freeman</t>
  </si>
  <si>
    <t>http://www.gannett-cdn.com/-mm-/8127cb3b561dacccca43c2ce218248c73d0d3b35/c=54-0-1685-2174&amp;r=537&amp;c=0-0-534-712/local/-/media/Greenville/2015/03/05/B9316488029Z.1_20150305162407_000_G4CA4STTP.1-0.jpg</t>
  </si>
  <si>
    <t>1100 SC-8</t>
  </si>
  <si>
    <t>Pelzer</t>
  </si>
  <si>
    <t>29669</t>
  </si>
  <si>
    <t>After robbing a store Freeman was found at a home by deputies. Freeman fired a gunshot prompting deputies to shoot and killed Freeman.</t>
  </si>
  <si>
    <t>http://www.wyff4.com/news/greenville-county-deputies-involved-in-shooting/31543332</t>
  </si>
  <si>
    <t>Stephanie LeJean Hill</t>
  </si>
  <si>
    <t>http://www.pressdemocrat.com/csp/mediapool/sites/dt.common.streams.StreamServer.cls?STREAMOID=v5xCkj53ZnQ$orVs374zWs$daE2N3K4ZzOUsqbU5sYt8jA7MBdqaZ3B9RvzpDzZgWCsjLu883Ygn4B49Lvm9bPe2QeMKQdVeZmXF$9l$4uCZ8QDXhaHEp3rvzXRJFdy0KqPHLoMevcTLo3h8xh70Y6N_U_CryOsw6FTOdKL_jpQ-&amp;CONTENTTYPE=image/jpeg</t>
  </si>
  <si>
    <t>I-10</t>
  </si>
  <si>
    <t>Ehrenberg</t>
  </si>
  <si>
    <t>85334</t>
  </si>
  <si>
    <t>La Paz</t>
  </si>
  <si>
    <t>Riverside Sheriff's Office</t>
  </si>
  <si>
    <t>Police tried to pull over two suspects wanted in a Sonoma, CA murder of an 84-year-old woman. They led police eastbound from Riverside County across the AZ border. The two were shooting at cars behind them trying to get them to crash into the police in pursuit. Once in AZ, the suspects abandoned the vehicle and the female ran off into the desert. Officers report she raised a weapon and was shot dead at the scene.</t>
  </si>
  <si>
    <t>http://sanfrancisco.cbslocal.com/2015/03/03/suspected-killer-of-elderly-sonoma-county-woman-faces-new-murder-charge-over-death-of-2nd-suspect/</t>
  </si>
  <si>
    <t>Ernesto Javier Canepa Diaz</t>
  </si>
  <si>
    <t>data:image/jpeg;base64,/9j/4AAQSkZJRgABAQAAAQABAAD/2wCEAAkGBxQSEhUUExQVFRUVGBcVFxcVFBcXFBcVGBQXFhUUFBQYHCggGBolHBQUITEhJSkrLi4uFx8zODMsNygtLiwBCgoKDg0OGhAQGywkICQsLCwsLCwsLCwsLCwsLCwsLCwsLCwsLCwsLCwsLCwsLCwsLCwsLCwsLCwsLCw3LCw3LP/AABEIAMIBAwMBIgACEQEDEQH/xAAcAAAABwEBAAAAAAAAAAAAAAAAAgMEBQYHAQj/xABHEAABAwIEAwIKBwYEBQUAAAABAAIDBBEFEiExBkFRImETMlRxgZGTobHRBxUjQsHS8BQWUlOSsmJyovEzNESC4UNjc4OE/8QAGgEAAwEBAQEAAAAAAAAAAAAAAQIDBAAFBv/EACQRAAICAwACAgIDAQAAAAAAAAABAhEDEiExQQQTMlEiI2Fx/9oADAMBAAIRAxEAPwDJTj1V5TUe3k/Mu/XtV5TUe3k/Mo5cBVaQhOfXlQQD+0VA0N/t5Lk62LRfQbXCUZj9S0tf+0TmxzH7aXK8gg2te2l9lEUctiBe3R2t273tY87q6cBcLw1plbPnHg8ha1jrCzmjU3vvv6U7a1bE90MOLuJ5JajPDUzZMjAcskjRnA7Wlx3aqGON1PlNR7eT8y2KH6NqAf8ApOd/mlefddP4eCKFv/SxHzgu+JWV5oFVBmEvx+q8pqPbyfmRocbq3bVFSfNNKfgV6ChwGlZ4tPCP/rb8k6DYmD/02+hoSfev0Pozz9DPiLvFfWnzOnPwUlBh2Lu8UVx88krf7nBbNPj9NH40zAe43+CZ1nGlLGbFzid+yw/Eofc34idp/pm1Pw1jDudQ3/PVkfCRPYeCMXPjVTmf/qmPuCtz/pEp+TJD6Gj8UlJ9I0PKN/rauc8n6Dov2R2F8DV7HBz8QebbjPM7Tpq8Kys4efzqpvQ5w+LlXKj6UACQ2nv3uf8AIIjPpFlcLiKMelxQ2zHaQbJ53BjS4udVVhub2FS9rfQAnUHC8Lfv1Lv81XOfdnsqm7jyoOwjH/afmm83G9UATmYOlmBLWR+x9UaLDhzG7A+l73f3EpaWpbELueGAcy7KFh1bxdWy6Gd4HRtm/wBoSQle+2dznHq4kn3o/VL2wKma3PxtC24je6Uj+EkD+o7+i6zurx13h5nOqHtzPcQ3w77NB+6Bm5apnSi1iFUcUYXzSEaAvd3/AHj3K2NJf9EyRLq/iPX/AJp/tnfNFPFAH/VSe1f81Q/2Y9fcfkufs7lW2S1X7L/BxPncGtqZCTt9pIPiVIsrpv50vtH/ADWbYbERNGSNMw8260WIJo9EkqHsdbL/ADZfaP8AmncdXJ/Nk9o75qHrqxsTb7uOgHM9/mUPPR1UzQ4Zg0k5Wt0v6BqfSi2kKk2Wiqx8Rmz6lzT0Mrr+q6UbiD3gObM9wOxEriPis5q8NmhfqLOBvqA6x31DgQUpLjp8I2TwbGOaLOEbcjHa+MYxo09ctgd7b3Gw2hepa6b+bL7R/wA0gcQm/my+0f8ANN6OsbNGHt5jboeYXXBcKLfWE386X2j/AJofWE386X2j/mm6AXUcOfrCb+dL7R/zQTZBdRxmwKBKKguKh45LEEcuoBHqO60P6K6sslmynxmN566b+i5KzlXT6M57VDhzLD6gRYJovjQGuo1aXFXN3TGXHzff3plj05Ed+9Vp1Upaos4lhqcacTufWomtrMwN7pi+W6K1pOgCLiMhpNbvSz3CSKxHaZt3t6J0MKlP3dO9GkphDq8gn+EdO9LRxCZBbYpOSMAcwVLtc7UtAA9aa1MLibnVGgUQkieQO7I8yQqIrHUKXwegMpDRYaXJJsAOZKDYI+RvCdUWrJ99kri8bY3WY6+XQu5OPUIr7lovy7XyQQ/+EcYzmT+ONIahzU9jOpQmwxQ8o2aKlVUv2j9fvO/uKvlK3ZZvWO+0f/md/cUMbBmXEORN3oftHemF0LquxDUeuq/1ZWPhSokyTPLT4Jjb3/xXAs0c/Gbt3KnrVOCcFc9lKx4BYWGZ3UgyFzG/2kpXNoZY0xfDeFpJWtlf47iHWOzRu0ejRXXBMNdHfNbTbT3pQ1xa57Wt1b/TtpdP8JrmTAkAtcNHNO4P4jvUMjcmaIY1FFe4uwXw0ZDAA47m3rWUY9hBgdY662v8VvmIAZVlXG7RkcXbC5HW/wCCWE2nR2TEmrIXhm7YiOWd1vNpsphyguGa0OGS1iNe46qdW1eDDLyFsgjWXHIiiZcgiFBA4zhdul6OjfK6zBfr0HnU2eGez4/a83Z9HNI5JGlRbK8rL9Hj7VjR1a8e6/4KHq8MfELusR1B/BSHBstq2HTcketpTJqwVRovEz7MaO9VpwKtOPRAlg9yZSQMa27tPOs33Vw2vFbshWVRZfsg+dJnEnX6KQlmisVD1zBa7bWTxy2SnjrwyXOPyOAaCBYW0R6KhfKbkEkp5heBhrI3O3eM1h05K54dTADQWSyzK6Kw+O3HZkLSYATysn54aYBrqrHTsujTx6KcskmVhCKdGW8T4GGahVzDX2fld3rS+J6a7FmWJsMbwRfVVxvZdIfJgoytBsSHv2SMgkDdeyCdL7+pOp69vgY25e2C4lx5g7BMs5eS468tfwVDPYVkpvqQeSe0TrlRVScv4J9hcl7Holl4Gi+ljpmbdyziro5A912O3P3T1WmQM0v3LMZHOJOp3PM9UuHthz8ob5D0K74M2vbRdcD3rrGX0VKJcHv1WWxtlebB3it5kdT0HrWv/Rw55iZJJa72tAsLAMaLNAHLTX0qg8McPOqwZJXuZTxbucSS61yY4yegB15fDUOF3xiJmQZWAANaTq1ttATzIGilkkqLYoPySWI4E18wnF2vyltwSND1Gx25ozYv2ZjpHEEn4DmUvXVYa+PMCY+bhs08i4dDsuCdsxcbjJazTfQjuUW+GjUjIcWkkAdaN0bvFNyNO4i4Kz76SaxuUNHjO9NgDclWHEv2aF5Y17nE3+xiHYve9yQAAbk696z3H4JJXukdYDZrb3ygC1iR+tU8FciWSVRoR4WfZ5vzsB0629w96twVT4fbZ2U21c0jXoD+vSrfZa4+DBPyFXHIsklk1kqERBUlBNc6C44bYVE1jbBtj1SlZVhjSbjTkTofMq5Liz76EADZM6irdIbuPo5BSUUzW50hWrnzm5v6Tz83JOOH5MtVAf8A3G+82/FRpclsPfaWM9HtPqcFSKSZJts2evZeRo7lV+JyRJbWyt8//FH+VV3iuzZG9m9wvPxv+2j1sy/qtFYc+zCkaOe5LUtVAEkDZNsMjHhLLZraPPTpmoYZLnDO5oHuVlpGaBVzh4WY2zS422CtFDO4ntxOYOpIWZY+2ehPKtVFD+lYiVUrWnLu4/dGp9Sc+GAGiiqmoMeYxR538/SqUjNcn0aYowlpBbYFZnxJT8ragrTKSeZ9/DMDdL6H3FRVJhzH1Di4XHfsLpFPVmmUPsjRj0ryUKQm5spjiGg8FVTRtbpmNvNuFDxghp89lrvh5ji4yob1TzdPMEk1cE3dGNf8Lf8AUUfCB2vQll4OXGXymZ2bjm38Fmz37rTaN32V+jT8FlrWgj0KeD2V+R2g+VJzP086UhN7g7hJvBtltc6WHO97WC0ejMblwPRh+GtZbVoANtDZzGhx033KZ0ETow+F3Zc0nKHWGZh1afVp3WVl4Jw11PTNz7uaCW9NALKnfSRiXhHsbE5jHRElzySDa3iCw1HXzBZJLh6EHwkIsU8Hpn0Nrxv8du/iOO4/V1A12KT4hP4GncY4m+O8c+4df16YTAYZ8TnEIkd4NlvCSWAyt6DTc2sPSVem4O+lljihjd4EAuzdnsvB2/iN26km9ye5drb6GeXbwiExvh808bsmaRzWggnUnfMdFA1c7Z2Ns3tBhz2uHabHTf8A3utfETJAQ7f3hUXijBRSymePxNcwHLNo70G5Rg6JSx2ZZJIGu7JLbHQ3+NlaMHxvwjcrvGA9BG11XMbbaQm1r2Itse8IuAyWlHeCPgrpmWUS2Tv1SaDiuJyAa6CR8G46h1h0y3990Eth1ZTCUFwIIljqPG6xB6EH3ogXVwDcQ674j1YPgojjhhbkeNrFPIq4NjgduTE23qCLXuMzLP26LzJ3DNse9DE8uHUzuFznElDD4niVpsd1PVUAGwACSpJQ19/OFqWa/BkfwtX1l/warMTQGszPdsOXnPcrFTGYxkykNP8ACAE1wCFrmNI6BTdZHlYRzKCbo6VKaQ1pxdidU7LjRJQStDQBuErC4dQgkdNvoJYbDVVylqhHNJm2I0841VqnfdvoWecSYg2neXvbmGosOpFguce8OxzqLbKHjuKukqHvv942HuCSmoHjLHbtu7f46+hINBlkLmjmXdyEdXIXF5JJHP5LUkjz3K22NqiGwcOfNO8LjHL1pOa3g3Ozdq+3XvS+Dx6DvSy4horpZ6J/2b+5rvc0rNYhoLdFo+YBs3dG+39JWbRbBJh9jZvQd24I8x/FXH6OsB8PUeHeLsiPZHJ0nXzD42VQyE95Onr0C3HgqhbDAxg5DXvO5J85unyypV+xcMLZZMQqckQA3NgB3rE+M+I4nSOjjZnsSHSX3dzDdNr81qeNwOmdkBsMribb2ta1+SyDCOA6mqpP2qMsLMxblGYvu0gEkAWA1UYR2bf6L5JOPF7NB+i2SOGkYTYOmLnF1tMxOVoJ5aABaBQVGZoDm5X/AHuf9Pcsz4QlihgFLO4Nkbmyl3iyMcb5bHfcd+xCu2D4mywa54OXsi51tbS55nv7kL6MktUNKqKVtUPs3eCcD9oCOy/MbC29rW17+SYcaTFlK5xbvZp9Jtp3WV0lr2W8YesLNOM6uWucYYDaNhu99ri45Ac7I3YVZlmI1OZrW9CbHuunfDlEbmQjuH4lSdTwo2Odkbpc9yQQGlruza5GpuDmOo6KUqqTwVmja2nm6KkZJujJljJKxo4IjwbGxtbUnTQdbnQI7kkagA5CWi5B1934qkvBnj5Emxi2jQR1JJv33cboJ1+8LWdlrWEN0u69yRuduZuuqVsqURBBBVOO3XboqAXHGp0EodDS/wDxBSULS8kbBNuDKWOSiY9xs5jCBr/iKWjeA64WD5H5s+i+BK8aIfGPGI5AqLLtVN8QStJFrXKr8k1tV2JWH5MkjXOB6oOhb1GhUniOI9rIDqdydgPmqd9HVWHNOqtOK0WYhzdHNIN1bxw82k5WSuH0ulrHzu0uk66K1mtsT3ckpDM+wubo5AGqPKEuW1sEYszU3WScf1OeTKNbHVXjF+IQwPY3U7BVCPhqSrdZrg1xu5xcevTqnxR70XLyLKxRAydiFtjbtHoOZTyromxwG33N+89U2lD6GpfGXA5TldbYjdcxTFA95A8QXNv4jbZPKMr4QjKOvfJBOiOjeZ7R7hyUvhZ7QHRIti0zHxn9o9w5AI+Eg+FsdjYoS8AjxlgkYTFNbUljgLdS1VSi4Sq3jsxX/wC9g+JV1mblif3g/BSPDc2gWX7XHwaXjU/JRmcIVkTmukhcGBzS4gscAMwuTZ17LVsLlDGjuCXxOrayFxdtYi3W42VZ4LZL4LPUv1N8jXWacv3c1uZT7ufToxUODzjaomZSSeCZI6WazPs2ucWR/euWjQ2v61kMeIStidTh7xCXZjHchpdaxLh6Bptp3L0LgGINkZcdSD3EGxHuVR+kngkS3qqdv2gH2jGj/iAfeAG7x7x3qmKai6ZLNFy6ZI1o5693JHbpqND15+tAWOx/XmQstfDHbDmpeBbO70OPzUhS8TVEUXg2SWAvY5QSPSVFuVh4R4SfWh7rlrGkNzdXbm1+gt61PJqlbK43NukxfgqmM8vhnvc5zDqTq4m3M9LFWnHqLOwkbt1Hm5hSOF8Jfs7MsbiOZ0Fyep0Uk+gIb2tV57n/ACtG3RONMy5xTWsphINdCNiP1snuLsEUjwdACbeY6hRZxFnX3Fb001Z5jTToj5KKW50B7wbX9C4pBtaw63CCHBrZWUEEERwLi6uIBLpgNUW08e/3hv8A4indRiJcbXI7tlGYCwup2Hk17wfcUpWyWN2jlzQnh2dmjB8qWNV6DzOKjZ396cwvuDncrBg2D0skDqiR4AabG99+4c0Pr0Q0s/2ypCfCFRJA3wwHYvY/NXrDOKY3yEE6WCzPFsUjLfBQ5snfoPQEbA6R723jPabu3nbqOqCx31i/aotKJtEGJsyl7jYXsFEcQY+ACxlyXbWVToYXyDK+XKOYAOb37KwYdgzQfsw4nbO7U+jojrFBc3JkfhuHukeM2pOrjvbuT/G6ctezLcW000+CstBhoib39UjiuGfZPmkOVsbXO7yQNPfZTVynwvKUYQ6YvjxvNIb37R+CipAntTqXHvTWVmy2as8tytiIncNiU7oK5wkDjY29GiaOalqOPVI42MpFqrsXbJBJl0cGmwPVS3DUwc1pGxCq2G0Yke1jr2cSNN9jz9SnMCidTyuiOrRZ7HdQSQQehBHvWLNBJUjZim2+krxHWOzWPiMse47E+4qo8QztncPByB1r5rSFw8azbC9hYN5dVoFRA2cWPS17bX3tdVCT6PQw5oZ3A7dtgII6aWSY5KqZWd+kJ8F4yaWXI5x8HIef3Xn4ArZKOqD2rAcZwmqh0cGkHZzb6/Iq68E8UOLWxy3D26G/MdR1VGvYifplxruE6YyOn8Cwud44LQQ63O3XXfmorFuAqSVmaNngnWuCwnL/AEHRW6hqxI3RM8QmEbLDzDr3BLco9TDonxoxnD+FZJqx1KHWEdjJIBcNYRcED+I30B7+i2bCKOOmibDE0BjBYdSebnHmSdSe9Q0NYyAEmMtc/Vx8GQXHqTbVN63ibKLtjc49Nh70Z5ZSFhiUSzvqmptUzAjRUufiud3/AEw9MnyCr9bxFV5uwxrf+4u/AKdWUtIbfSHRuNS3KN2a66A5iq2MLNtXegfNTVXVSyuzTePtptbuSC14+RSMOT82RkdGwDVpPpcup+6IHX8UERbKqgggmOOIIFcQCXHhJw/Z335SfFg+S5iUwGya8MC8MoHJ7D62uH4J3UR33WlfiiXtkPITzSrpnBgF9N7cro1ULmwTZ3RBqjkw8QUvgdYYZGuHI+5RF+Se0luaMY3w7anZvmFYU2ZjZMrTmAOZpHxU3BhYb3LIuAeL30rhG8kxE6j+H/E1bbTyte0OaQWuFwRzBUJ4tSyzykJMpmjU+9Zz9I3FrHNNLEQQfHffQ21yt67bqQ+kvicRsNNE7tn/AIhH3W/w36rJJhmu5zttlfFir+RGc7GT+frSLxolydD0SfI2TNCILDGDe+wF0GvuSeX62Roho5JPdYfrZTkiiJDB6h37TE1l7ude/RoabkrUKena4ZSAb7+jcqkfR5hYBdVSaZgWsB5Mvq70ke7vV8wyZjxdmpd7gOvTqvOzO5Ho4I1Hozmj8C7fsna/wS8NY1dxxrfBPzbNHjdD/EqLSYs9zA5rb919VOMWyjkkX+oEcrCx4BB/Vws94mwmSNw8Hc2N2ObqR3O7knHjlRI8sAy20PP1Kw0FI51sxJ/XRUVxJumH4SrqoN+1YARzDviAE8xOsmvmzWI2tsO8d/ehVV0VO3tvAPJvM+ga2UPX8SRNZoS93cNPWUas60vI1w/idwmdFUPN76PcdwdQCVYHNB1/2WU10hke553PLoOikcO4jliZk8YDa5NwOiaUOCKfS8zNvum74mjUAKsQ8SvebEAeZKyYi9wtdJrJhc0kExGbM8npomy7ZdyrRFUqMkuuwq4j5UEwKKiUVKZUUtTNHWFQCBCAS+wlo4Pd2KjzRn/U4fipNzQbnoobhCS3hx1jB9UjfmpWYdkkaLXD8URflkWRd/xSEsetkpG/clEaC4p2k0ImIsCdUh579yQGl0pAN7JIqmFvhKRTgNBAF/grDhHHFXTMLI3DKQQA4Xtfm3oqi0+v3JSSYWAB5K2ya6T8D6rrHOc5zyXF1ySd7nfVNWi4N0j4cWN9e9EimOvT/dFvqsCdod08V7/rkUm8N1sdkRtToR3ck0z7qcnFJFUmKGptcc0zrag5bDn8F3LdEI0WaUy0YMsmKcWufTRRwxiMRta0km73FosdB93QLuEcWzRi+S5OjnX0d005KOGDgRMkY7NmAzN5g87KUwugBsS05OXn83RZJ0bY7EpxFjM08BYGBjCN73c49OgUBwzV/cO41Hm5hTOKvEUZIPcByue5VCFxa4OHJLHwGXkvdNAxhLjoDqeaTxfiXKzLBuR4/wAglcJmbNFf9A8wq3jdC+J92+K7XuvzQDRHCV0jj4znc9yUHNPO4Vg4bOWN7rDMXWzWvYW6DdWLDsNa+xkYO0eyHAXsOvn+SpuL9ZnsdI5+jWk+bb0lL07PB3aWjN38lrL8PYBYAAegKl8YYM22dvK1/MTb8UHKwqKRUsTIDg5tteQ3sLam3fdOqWXMLqIlZZL4XLZ1uRTIlNWS9l1cKF05GgyC4ggdRUo9dNypSLBHuF3EN7tz/wCElg5DTm5/AKww1FwjKb9Dwxp9ZWqrDS3Y39FlHq51tHcXVUrocrkIysE40SvCL7Svvzid/c0/gpvEmWZpz5fJVvhx9pvOx4/0k/gp2oeXN3/2WvG/4meXkimN7KPFMACkJRlRM6opUTDOfuVzwh8yBOiIHaWSN0FKxVrtD+vSu5xokAV26XcZYxy5wsitmNrck3uutKDytjxxpC8cqTL0VAKTkWSDNKOyNEDkowpGx0iYweoDDld4p93eppk4j1BGTexPwVZjSmUKMo2VUqR3F64zEW0aNh+JTANKdujC4Ix0RSoGxNcHkmQs+6dT6FJY5VtfeNjbk8+QHzULhFT4J1xpcFt+l+af0cTvCOJsb2sRsRbkklwrjdoPhEhgdmI7J0IA99u5W2ikhBzeFBLz2bnTrlHT/wAKs+DJOgLnH+kI8tJk7W4vr/hd1slT/ZSUOWiUxWRzpQMxyXubHfawt6/WkMbhzROud9bdOYCfQtFg4kbKCx7EQ/sN25lNsKim1ceiRo4+0ntWy50S9NBlHemj0lMUXLI112yoZ9Ql0F3KgjYNWVGGUtKl6Sr2UKGpVmZutrItAjOi7U9QCLFRNfQCV1mH022TNlZcaKQppGtjzZgHX57Ec1PWi7akI02BPhka4HM3tAkDa7CNUJ36Dkj/ALxkdkDfT1pjI8u1WjFJpdM2SMW/4hqkg2sdt0na+nRJsK619lR5L6IsaQHCyJdHe7VJlTciiiC6cUkDpHBrRqUiwK18J0lgZCNToPxQs5qkRFdg74txcdQo+1lpUkQcLHVQVZw8w3yktPuQs5Mp5K5dL1cJY8tO40TdKyiAClYt0mGpzDGd0rGSJWgpr6nYIkws4+c/FSNGbNCY1je2f1yU0+jtcG5RQV1wXAE1goXiKm8Hk112UDGn9JLl1SvwPFF0kYTEclg7kfiko6HwZBccweLknUbbJOTEMsQLLkk2sPelIKtx7DgLH13tuoNGhNkVU65mx3sLg9B5lGVTCxuoVkdhrgb3Ab6z6lD4yy4sEt0GkQUGuqVKJSM0ShC0RfDNNdOLt1yyBCaxKAuoqC4BU4GvGouB12HrQkHV1/11KI+Qnc3XArmagwfbZcJPNdQsgOkcZupTnZRrWqUI99vgimdQkW6oSBGmCQcdEbGoBKC41BIEd0cBe4NHNXiB7Y2ho5Cyp2EmxLu5SBqifMg2HVPyWGSv6JpNiDxzUSakhKibMO9TdlYxg0R2Ky53Zj5imOVSD6ZzmuNtBuUhTU+a/cnbEr0hOCG5TnIumO2h35LsZvukbHSJOnOgSNfo7zgFKwbJLER4p7lP2OxoXLgKKSuXTgFQ5LRvTUFGa5ccTuH1mXQ6t+HerJhjYiQ8HM7lroPMFRWSJ7RV3gzcJHEdSL3V3bvoFTsamBJA5p3W8SvkZksAoDNzJuUuls5TpdFALCyTJRXyomdVSJtiuZDMkcyGZGhbFroJHMgjqCzU/wB36TyWn9jH+VD936TyWn9jH+VBBUMwP3fpPJaf2Mf5UP3fpPJaf2Mf5UEFwQfu/SeS0/sY/wAqMcApfJqf2Mf5UEETjh4fpPJqf2Mf5Vz936TyWn9jH+VcQXBO/u9SeS0/sY/yofu/SeS0/sY/yoIIHCjcBpbf8tB7GP5LpwOm8ng9iz5LqC44AwOm8ng9iz5IzcEpvJ4fZM+S4ggwpjh2EU/g7eAit08Ey3qskIsEpgNKeEeaJnyXEFz8BTOS4JTHengPniZ8lwYHTX/5eD2LPkgglDbFmYPT/wAiH2TPkhNg1ObXghPniZ8kEEvs62IfUVN5NB7FnyXPqGl8mg9jH8kEEx1s6MCpfJoPYs+S79R03k8HsWfJdQRBbAMDpvJ4PZM+S6MFpvJ4fZM+SCC46w31NT/yIfZM+S4cFpvJ4fZM+SCC46zn1JTeTw+yZ8kPqSm8nh9kz5IILjrB9SU3k8PsmfJD6kpvJ4fZM+SCCIDv1JTeTw+yZ8lxBBE6z//Z</t>
  </si>
  <si>
    <t>1000 West 3rd Street</t>
  </si>
  <si>
    <t>92703</t>
  </si>
  <si>
    <t>Officers who were searching for a robbery suspect spotted a man sitting inside a car who matched the description of the suspect. It's not clear what ensued but police shot the man to death. A fake gun was found in the car.</t>
  </si>
  <si>
    <t>http://www.latimes.com/local/lanow/la-me-ln-santa-ana-officer-involved-shooting-20150227-story.html</t>
  </si>
  <si>
    <t>Amilcar Perez-Lopez</t>
  </si>
  <si>
    <t>24th St. and Folsom St.</t>
  </si>
  <si>
    <t>94110</t>
  </si>
  <si>
    <t>Police shot subject they say was carrying a knife and attempting to rob a bicyclist. Witnesses dispute police account and say the bicyclist had actually stolen the subject's cellphone prior to the officers' arrival.</t>
  </si>
  <si>
    <t>http://www.sfgate.com/crime/article/Man-killed-by-S-F-police-didn-t-speak-English-6110102.php#photo-7598730</t>
  </si>
  <si>
    <t>US 49 &amp; Middle Driveway</t>
  </si>
  <si>
    <t>Gulfport</t>
  </si>
  <si>
    <t>39503</t>
  </si>
  <si>
    <t>Harrison</t>
  </si>
  <si>
    <t>Gulfport Police Department</t>
  </si>
  <si>
    <t>Biggs crashed his truck into a power pole. When police arrived at the scene, they asked Biggs to get out of the truck, but he refused to cooperate. When an officer tried to remove him, he reportedly reached for his gun, and police fired and killed him.</t>
  </si>
  <si>
    <t>http://www.fox10tv.com/story/28217368/police-gulfport-officer-shot-victim-after-he-reached-for-a-gun</t>
  </si>
  <si>
    <t>David Cuevas</t>
  </si>
  <si>
    <t>4660 N Socrum Loop Rd</t>
  </si>
  <si>
    <t>Lakeland</t>
  </si>
  <si>
    <t>33809</t>
  </si>
  <si>
    <t>Lakeland Police Department</t>
  </si>
  <si>
    <t>Cuevas' ex-girlfriend alerted police as the man, arrested then released in Pennsylvania on Florida sexual battery charges, sent her a string of threatening texts as he returned to Florida. Police encountered him in a hamburger restaurant parking lot. He was armed, went for the gun in his waistband, and was fatally shot.</t>
  </si>
  <si>
    <t>http://www.orlandosentinel.com/news/breaking-news/os-officer-involved-shooting-scorum-loop-road-lakeland-20150226-story.html</t>
  </si>
  <si>
    <t>Crystal Lee Miley Harry</t>
  </si>
  <si>
    <t>https://encrypted-tbn1.gstatic.com/images?q=tbn:ANd9GcT_Uy149ARRiaD2gsIRANTDOk38jskW6SOSilOCnkeQq1LSWLBptw</t>
  </si>
  <si>
    <t>5101 Hwy 133</t>
  </si>
  <si>
    <t>Sylvester</t>
  </si>
  <si>
    <t>31791</t>
  </si>
  <si>
    <t>Worth</t>
  </si>
  <si>
    <t>Worth County Sheriff's Office</t>
  </si>
  <si>
    <t>Worth County sheriff's deputies tried to pull over Harry and Kelly in their Nissan Sentra, but they refused to stop, Johnson said. "They got into a chase with them and had an accident in the ditch,'' Johnson said. "They overturned the car." Harry, he said, got out of the car brandishing a pistol. He said he couldn't confirm reports that she had a gun in both hands. "She pointed it at the deputies and they fired on her and killed her,'' the coroner said.</t>
  </si>
  <si>
    <t>http://worthit2u.net/worth/2015/02/26/police-chase-ends-in-crash-and-possible-shooting/</t>
  </si>
  <si>
    <t>Glenn C. Lewis</t>
  </si>
  <si>
    <t>http://www.killedbypolice.net/victims/150164.jpg</t>
  </si>
  <si>
    <t>NW 27th St &amp; N Youngs Blvd</t>
  </si>
  <si>
    <t>73107</t>
  </si>
  <si>
    <t>Officers attempted to pull over the subjects vehicle for a traffic stop but the subject didn't stop. He led them on a chase and ended up at the end of a dead-end street. The subject allegedly turned the car around and drove at the officers. They fired upon him and killed him at the scene.</t>
  </si>
  <si>
    <t>http://www.news9.com/story/28195051/okc-police-driver-who-attempted-to-strike-officers-shot-and-killed</t>
  </si>
  <si>
    <t>Russell Edward Sharrer</t>
  </si>
  <si>
    <t>1804 Opportunity Ave</t>
  </si>
  <si>
    <t>Chambersburg</t>
  </si>
  <si>
    <t>17201</t>
  </si>
  <si>
    <t>Pennsylvania State Police Department, Catasauqua Police Department</t>
  </si>
  <si>
    <t>Medical emergency, unknown</t>
  </si>
  <si>
    <t>While on his way from patrol car to booking area, the subject had an altercation with police followed by an unexplainable medical emergency and was sent to the hospital where he later died.</t>
  </si>
  <si>
    <t>http://www.tri-cityherald.com/2015/02/25/3428533_suspect-in-hospital-after-fight.html?rh=1</t>
  </si>
  <si>
    <t>Francis Spivey</t>
  </si>
  <si>
    <t>http://ak-cache.legacy.net/legacy/images/Cobrands/gastongazette/Photos/e7f1e90e-cbd1-43fe-b334-6593e2d4c6ad.jpg</t>
  </si>
  <si>
    <t>5300 Craig Road</t>
  </si>
  <si>
    <t>89115</t>
  </si>
  <si>
    <t>The subject, a military veteran was dressed in military fatigues and armed with a rifle outside an apartment building. He shot into the air and into a neighbor's apartment. A SWAT sharpshooter fired and killed him at the scene.</t>
  </si>
  <si>
    <t>http://www.fox5vegas.com/story/28196978/suspect-dead-in-officer-involved-shooting</t>
  </si>
  <si>
    <t>Alexander Phillip Long</t>
  </si>
  <si>
    <t>http://www.killedbypolice.net/victims/150165.jpg</t>
  </si>
  <si>
    <t>Terre Haute</t>
  </si>
  <si>
    <t>Vigo</t>
  </si>
  <si>
    <t>Alexander had a warrent for his arrest. After a chase, officers broke the side windows of the vehicle and used a Taser, but they say it had apparently no effect on the suspect. Police say the suspect then made an "aggressive threatening move" with his hands inside the car, causing a police officer to shoot him in the right torso area.</t>
  </si>
  <si>
    <t>Joseph Biegert</t>
  </si>
  <si>
    <t>https://encrypted-tbn1.gstatic.com/images?q=tbn:ANd9GcTiIpaRUxqeoxGOXNNUtJKUzGxn1N4LfEn0BZMGZL__xcoFo1Mx7Yv00A</t>
  </si>
  <si>
    <t>1493 Plymouth Ln</t>
  </si>
  <si>
    <t>54303</t>
  </si>
  <si>
    <t>Brown</t>
  </si>
  <si>
    <t>Green Bay Police Department</t>
  </si>
  <si>
    <t>Police responded to a welfare check on a suicidal man. On arrival, the man stabbed a police officer. The officer shot him dead at the scene.</t>
  </si>
  <si>
    <t>http://www.jrn.com/nbc26/news/State-Officials-Investigate-Officer-Involved-Shooting-in-Green-Bay-293969301.html</t>
  </si>
  <si>
    <t>A'Donte Washington</t>
  </si>
  <si>
    <t>Clearview Lane</t>
  </si>
  <si>
    <t>Millbrook</t>
  </si>
  <si>
    <t>36025</t>
  </si>
  <si>
    <t>Elmore</t>
  </si>
  <si>
    <t>Hillbrook Police Department</t>
  </si>
  <si>
    <t>Millbrook PD received a report of a possible house burglary. Responding officers were advised that a suspicious vehicle pulled into the driveway of a residence and that several male subjects went into the backyard, behind the residence. When officers arrived, took one person into custody and set up a perimeter around the residence to await backup. There was movement at the front door of the residence and officers confronted an individual at the door who retreated into the home and fired several shots at the officer. Four suspects fled the residence into the backyard, firing at the officers. The officers returned fire. Three suspects jumped the back fence and fled the area on foot. Washington exited the backyard through a fence towards the front of the residence, brandishing a firearm. He encountered an officer who shot him.</t>
  </si>
  <si>
    <t>http://www.wsfa.com/story/28177937/1-dead-4-in-custody-after-millbrook-house-burglary</t>
  </si>
  <si>
    <t>Robert Kohl</t>
  </si>
  <si>
    <t>175 Bass Pro Blvd.</t>
  </si>
  <si>
    <t>Denham Springs</t>
  </si>
  <si>
    <t>70726</t>
  </si>
  <si>
    <t>Livingston</t>
  </si>
  <si>
    <t>Denham Springs Police Department</t>
  </si>
  <si>
    <t>Kohl's mother called police saying that he was talking about killing himself. Officers said that when they confronted Kohl, he pointed a gun at them, and they shot him to death.</t>
  </si>
  <si>
    <t>http://www.nola.com/crime/baton-rouge/index.ssf/2015/03/bass_pro_shooting_officer_clea.html</t>
  </si>
  <si>
    <t>Jerome Nichols</t>
  </si>
  <si>
    <t>http://imgick.lehighvalleylive.com/home/lvlive-media/width620/img/breaking-news_impact/photo/jerome-nichols--a1928ee805cc6cbc.jpg</t>
  </si>
  <si>
    <t>North Plymouth Street</t>
  </si>
  <si>
    <t>Allentown</t>
  </si>
  <si>
    <t>18109</t>
  </si>
  <si>
    <t>Lehigh</t>
  </si>
  <si>
    <t>Catasauqua Police Department, Pennsylvania State Police</t>
  </si>
  <si>
    <t>Nichols stabbed woman in Whitehall Township and then stabbed Catasauqua police officer before he was shot</t>
  </si>
  <si>
    <t>http://www.lehighvalleylive.com/breaking-news/index.ssf/2015/02/officer_shoots_catasauqua_man.html</t>
  </si>
  <si>
    <t>Wayne Smashey</t>
  </si>
  <si>
    <t>http://www.11alive.com/story/news/local/austell-powder-springs/2015/02/23/powder-springs-officer-involved-shooting/23907679/</t>
  </si>
  <si>
    <t>4800 West McEachern Woods Drive</t>
  </si>
  <si>
    <t>Powder Springs</t>
  </si>
  <si>
    <t>30127</t>
  </si>
  <si>
    <t>Cobb County Sheriff’s Office, Paulding County Sheriff's Office, US Marshals</t>
  </si>
  <si>
    <t>Officers from multi-agencies attempted to arrest a man on a warrant for allegedly robbed a Waffle House at gunpoint. Details have not been released, but officers shot and killed the subject at his home.</t>
  </si>
  <si>
    <t>http://www.ajc.com/news/news/suspect-killed-in-officer-involved-shooting-in-cob/nkHRj/</t>
  </si>
  <si>
    <t>Daniel A. Elrod</t>
  </si>
  <si>
    <t>https://www.google.com/url?sa=i&amp;rct=j&amp;q=&amp;esrc=s&amp;source=images&amp;cd=&amp;cad=rja&amp;uact=8&amp;ved=0CAcQjRw&amp;url=http%3A%2F%2Fwww.wowt.com%2Fhome%2Fheadlines%2F293928901.html&amp;ei=ybYVVYDHCMOgNreIhJgL&amp;bvm=bv.89381419,d.eXY&amp;psig=AFQjCNH7talB-wvFqFwK_YmaxbverobazA&amp;ust=1427572805583692</t>
  </si>
  <si>
    <t>1725 S 13th St</t>
  </si>
  <si>
    <t>68108</t>
  </si>
  <si>
    <t>Elrod just robbed a dollar store. When police arrived he shouted he had a weapon and reached for his waistband. An officer tasered him, but it was uneffective. Elrod was ultimately shot and killed. There was no weapon found.</t>
  </si>
  <si>
    <t>http://www.jrn.com/kmtv/news/Man-dies-after-officer-involved-shooting--293808161.html</t>
  </si>
  <si>
    <t>Calvon A. Reid</t>
  </si>
  <si>
    <t>http://wsvn.images.worldnow.com/images/6901288_G.jpg</t>
  </si>
  <si>
    <t>1701 Andros Isle</t>
  </si>
  <si>
    <t>Coconut Creek</t>
  </si>
  <si>
    <t>33066</t>
  </si>
  <si>
    <t>Coconut Creek Police Department</t>
  </si>
  <si>
    <t>No press release, no public statement, no official confirmation of the number of officers involved or how many times the unarmed Reid was tasered -- local police stonewalled after the incident. They'd been summoned by apartment security. Reid died two days later. The embattled chief of police chose to retire rather than answer questions (such as why 3 of 4 officers weren't certified for Tasers) or address allegations of "enhanced interrogation" in another case.</t>
  </si>
  <si>
    <t>http://www.local10.com/news/coconut-creek-inmate-dies-in-police-custody/31526866</t>
  </si>
  <si>
    <t>Bradford Samuel Leonard</t>
  </si>
  <si>
    <t>970 Castile Rd SE</t>
  </si>
  <si>
    <t>Palm Bay</t>
  </si>
  <si>
    <t>32909</t>
  </si>
  <si>
    <t>Palm Bay Police Department</t>
  </si>
  <si>
    <t>Police were called out on a 5:30 a.m. 911 call and arrived to find Leonard shooting out of his residence windows at them. They returned fire and shot him fatally.</t>
  </si>
  <si>
    <t>http://webcache.googleusercontent.com/search?q=cache:pz9ZEPMioeIJ:www.orlandosentinel.com/news/breaking-news/os-palm-bay-police-shooting-20150222-story.html+&amp;cd=17&amp;hl=en&amp;ct=clnk&amp;gl=us</t>
  </si>
  <si>
    <t>Anthony Giaquinta</t>
  </si>
  <si>
    <t>http://www.gannett-cdn.com/-mm-/9e3bff266982469a700bebacaefc86fdaa29e89c/c=242-0-1678-1080&amp;r=x404&amp;c=534x401/local/-/media/2015/02/23/WXIA/WXIA/635602979112888836-Still0223-00000.jpg</t>
  </si>
  <si>
    <t>281 Lower Pond Ct</t>
  </si>
  <si>
    <t>Clarkesville</t>
  </si>
  <si>
    <t>30523</t>
  </si>
  <si>
    <t>Habersham</t>
  </si>
  <si>
    <t>Habersham County Sheriff's Office</t>
  </si>
  <si>
    <t>Officers reported that they responded to a domestic dispute call from Giaquinta's daughter, and when they arrived at the home they found a sheriff's deputy and his girlfriend, Giaquinta's ex-wife dead. Giaquinta exchanged gunfire with officers, and he was shot to death. Giaquinta had previously worked with the sheriff's office.</t>
  </si>
  <si>
    <t>http://www.11alive.com/story/news/local/gainesville/2015/02/22/deputies-shot-habersham-county/23861713/</t>
  </si>
  <si>
    <t>Jason Moncrief Carter</t>
  </si>
  <si>
    <t>http://extras.mnginteractive.com/live/media/site561/2015/0224/20150224__ADN-L-PoliceShooting-0224~p1.jpg</t>
  </si>
  <si>
    <t>127 NM-37</t>
  </si>
  <si>
    <t>Capitan</t>
  </si>
  <si>
    <t>88316</t>
  </si>
  <si>
    <t>Authorities said that Fowler was on the run for a warrant for sexual contact with a minor, and after a 16-hour standoff with him inside of his RV with a gun and threatening officers, they shot him to death.</t>
  </si>
  <si>
    <t>http://www.alamogordonews.com/alamogordo-news/ci_27588464/texas-fugitive-fatally-shot-near-ruidoso</t>
  </si>
  <si>
    <t>Kent Norman</t>
  </si>
  <si>
    <t>http://www.killedbypolice.net/victims/150152.jpg</t>
  </si>
  <si>
    <t>1800 Heather Circle</t>
  </si>
  <si>
    <t>46229</t>
  </si>
  <si>
    <t>Officers received a 911 call and heard screaming on the other end of the phone but no voice. Arriving at the scene, they allegedly found the subject trying to kill his 74-year-old mother. Police entered the home and killed the subject.</t>
  </si>
  <si>
    <t>Stanley Lamar Grant</t>
  </si>
  <si>
    <t>http://www.killedbypolice.net/victims/150149.jpg</t>
  </si>
  <si>
    <t>2200 Green Springs Highway</t>
  </si>
  <si>
    <t>Birmingham</t>
  </si>
  <si>
    <t>35205</t>
  </si>
  <si>
    <t>Homewood Police Department</t>
  </si>
  <si>
    <t>Police were trying to serve a warrant for drugs when they entered the apartment and were immediately shot at. They returned fire and killed the subject.</t>
  </si>
  <si>
    <t>http://www.al.com/news/birmingham/index.ssf/2015/02/man_shot_and_killed_during_hom.html</t>
  </si>
  <si>
    <t>Terry Price</t>
  </si>
  <si>
    <t>http://www.killedbypolice.net/victims/150154.jpg</t>
  </si>
  <si>
    <t>951 W 36th Street North</t>
  </si>
  <si>
    <t>74127</t>
  </si>
  <si>
    <t>Osage</t>
  </si>
  <si>
    <t>Osage County Sheriff's Office</t>
  </si>
  <si>
    <t>Deputies responded to a call from casino security saying the subject who was banned from the premises was there and needed to be removed. The subject fled the scene and then returned. He ran into the woods where police tasered him. The subject collapsed and died.</t>
  </si>
  <si>
    <t>http://www.fox23.com/news/news/local/man-dies-after-altercation-law-enforcement-osage-c/nkGTc/</t>
  </si>
  <si>
    <t>Alejandro Salazar</t>
  </si>
  <si>
    <t>http://www.click2houston.com/news/deputy-involved-shooting-reported-in-n-harris-county/31386020</t>
  </si>
  <si>
    <t>Ruben Garcia Villalpando</t>
  </si>
  <si>
    <t>http://www.star-telegram.com/news/local/community/northeast-tarrant/xzr2i/picture12354170/ALTERNATES/LANDSCAPE_1140/Rub%C3%A9n%20Garc%C3%ADa%20Villalpando.JPG</t>
  </si>
  <si>
    <t>Highway 121</t>
  </si>
  <si>
    <t>Euless</t>
  </si>
  <si>
    <t>76021</t>
  </si>
  <si>
    <t>Grapevine Police Department</t>
  </si>
  <si>
    <t>http://dfw.cbslocal.com/2015/03/12/witness-to-deadly-grapevine-officer-involved-shooting-comes-forward/</t>
  </si>
  <si>
    <t>Douglas Harris</t>
  </si>
  <si>
    <t>7900 First Avenue South</t>
  </si>
  <si>
    <t>35206</t>
  </si>
  <si>
    <t>Birmingham Police Department</t>
  </si>
  <si>
    <t>Police conducting a February 20 welfare check on the elderly man found him in his room pointing a gun at them. They fired at him and he died a month later.</t>
  </si>
  <si>
    <t>http://www.al.com/news/birmingham/index.ssf/2015/03/elderly_man_shot_by_birmingham_1.html</t>
  </si>
  <si>
    <t>Chance Dale Thompson</t>
  </si>
  <si>
    <t>http://bloximages.newyork1.vip.townnews.com/appeal-democrat.com/content/tncms/assets/v3/editorial/6/f5/6f50ee98-b99b-11e4-8ca5-67bdd8a572d9/54e83421cf2a1.image.jpg?resize=760%2C553</t>
  </si>
  <si>
    <t>Hammonton Smartville Rd and Doolittle Drive</t>
  </si>
  <si>
    <t>95901</t>
  </si>
  <si>
    <t>Yuba County Sheriff's Office</t>
  </si>
  <si>
    <t>Witnesses saw a man on a wall who looked like he was performing karate or dancing. A deputy was telling the man to come down. "The cop grabs him by the back of the pants and pulls him down. As he's coming down, he lands on top of the cop and throws his arm around the cop." "The two start pushing each other and the female cop is standing back with a Taser pointed at him. You hear the Taser go off and taser him. The guy went down on the ground."</t>
  </si>
  <si>
    <t>http://www.appeal-democrat.com/news/video-emerges-in-taser-death/article_6cff9672-b99a-11e4-8f80-df55106151ee.html</t>
  </si>
  <si>
    <t>Michael Steven Ireland</t>
  </si>
  <si>
    <t>http://www.killedbypolice.net/victims/150146.jpg</t>
  </si>
  <si>
    <t>1400 North Marion</t>
  </si>
  <si>
    <t>Springfield</t>
  </si>
  <si>
    <t>65802</t>
  </si>
  <si>
    <t>Christian</t>
  </si>
  <si>
    <t>Springfield Police Department</t>
  </si>
  <si>
    <t>Police were called to a location on Springfield's north side to investigate "suspicious activity." They pursued a suspect on foot. The man was unarmed but police shot, killing the subject.</t>
  </si>
  <si>
    <t>http://www.news-leader.com/story/news/crime/2015/02/18/police-one-dead-in-northwest-springfield-shooting/23604403/</t>
  </si>
  <si>
    <t>Janisha Fonville</t>
  </si>
  <si>
    <t>http://www.charlotteobserver.com/news/local/crime/so5o7t/picture10685642/ALTERNATES/FREE_960/Janisha%20Fonville.jpg</t>
  </si>
  <si>
    <t>2700 Bellefonte Dr</t>
  </si>
  <si>
    <t>Charlotte</t>
  </si>
  <si>
    <t>28206</t>
  </si>
  <si>
    <t>Mecklenburg</t>
  </si>
  <si>
    <t>Charlotte-Mecklenburg Police Department</t>
  </si>
  <si>
    <t>Police say Janisha Fonville, 20, refused to drop a kitchen knife and lunged at officers before Officer Anthony Holzhauer pulled his service pistol and shot her twice – in the hand and in the shoulder.</t>
  </si>
  <si>
    <t>http://www.charlotteobserver.com/2015/02/19/5524914/cmpd-officer-fatally-shot-woman.html#.VOXprE33-ix</t>
  </si>
  <si>
    <t>Pedro "Pete" Juan Saldivar</t>
  </si>
  <si>
    <t>http://www.killedbypolice.net/victims/150145.jpg</t>
  </si>
  <si>
    <t>U.S. Highway 90 East and Charles Drive</t>
  </si>
  <si>
    <t>Del Rio</t>
  </si>
  <si>
    <t>78840</t>
  </si>
  <si>
    <t>Val Verde</t>
  </si>
  <si>
    <t>Del Rio Police Department</t>
  </si>
  <si>
    <t>Saldivar, an 18-wheeler driver, reportedly caused a disturbance in a nearby location, threatening individuals with a machete, before attempting to run over several officers with his rig. Officers opened fire and killed the subject.</t>
  </si>
  <si>
    <t>http://www.kens5.com/story/news/crime/2015/02/17/mayor-machete-wielding-man-shot-killed-by-police-in-del-rio/23586269/</t>
  </si>
  <si>
    <t>Doug Sparks</t>
  </si>
  <si>
    <t>55 Forest Ave</t>
  </si>
  <si>
    <t>Tewksbury</t>
  </si>
  <si>
    <t>01876</t>
  </si>
  <si>
    <t>Tewksbury Police Department</t>
  </si>
  <si>
    <t>Tewksbury Police Department received 911 calls about the possible stabbing of two individuals at the Salter School, 515 Woburn St. Officers responding to the call saw a man matching the description of the stabbing suspect in the area of 55 Forest Ave. Ryan said when officers approached the suspect, they saw the Sparks holding a handgun. Sparks refused to comply with the officers’ orders and shots were fired by the officers. He was transported to Saints Memorial Hospital in Lowell where he was pronounced dead.</t>
  </si>
  <si>
    <t>http://www.bostonglobe.com/metro/2015/02/17/fatal-shooting-tewksbury-under-investigation-middlesex-ryan-office/qSuLp469vrqFvZsnrRquMP/story.html?hootPostID=e62cc4f7c631ae271ca9ad883aef5db8</t>
  </si>
  <si>
    <t>Matthew Lundy</t>
  </si>
  <si>
    <t>http://www.obitsforlife.com/uploaded-images/converted/494323-54ed112f7fc10-shrink-x180.jpg</t>
  </si>
  <si>
    <t>3800 Canfield Road</t>
  </si>
  <si>
    <t>Eaton Rapids Township</t>
  </si>
  <si>
    <t>48827</t>
  </si>
  <si>
    <t>Eaton County Sheriff's Office</t>
  </si>
  <si>
    <t>Lundy was armed when police approached him while responding to a call involving a vehicle in the ditch on Canfield Road in Eaton Rapids Township, a statement from the Michigan State Police said.</t>
  </si>
  <si>
    <t>http://www.mlive.com/news/jackson/index.ssf/2015/02/man_killed_in_police_involved.html</t>
  </si>
  <si>
    <t>Betty Diane Sexton</t>
  </si>
  <si>
    <t>http://i.dailymail.co.uk/i/pix/2015/02/20/25DD76BA00000578-2961378-image-m-11_1424433245329.jpg</t>
  </si>
  <si>
    <t>2325 Union Road</t>
  </si>
  <si>
    <t>28054</t>
  </si>
  <si>
    <t>Gastonia Police Department</t>
  </si>
  <si>
    <t>It's reported that Sexton called the police to help he remove unwanted house-guests, but was shot in the chest to death by one of the officers. Family said that Sexton had the gun to protect herself against the unwanted guests, and that she was trying to put it down when the police arrived.</t>
  </si>
  <si>
    <t>http://www.dailymail.co.uk/news/article-2961378/North-Carolina-Mother-shot-dead-Gastonia-police-called-help-getting-rid-unwanted-guests.html</t>
  </si>
  <si>
    <t>Daniel Lawrence Caldwell</t>
  </si>
  <si>
    <t>I-10 &amp; Cortaro Road</t>
  </si>
  <si>
    <t>Marana</t>
  </si>
  <si>
    <t>85743</t>
  </si>
  <si>
    <t>Marana Police Department</t>
  </si>
  <si>
    <t>Marana Police Officer Cesar Nelson was sitting in his vehicle in the parking lot of Cracker Barrel Restaurant, when he saw Caldwell walking up behind him, holding a firearm, police said. Officer Nelson left his vehicle and saw Caldwell raise the gun in his direction, before shooting Caldwell.</t>
  </si>
  <si>
    <t>http://www.kvoa.com/story/28117600/marana-police-shooting-near-cortaro-and-i-10</t>
  </si>
  <si>
    <t>Michael K. Casper</t>
  </si>
  <si>
    <t>http://www.killedbypolice.net/victims/150139.jpg</t>
  </si>
  <si>
    <t>Malad St &amp; Gourley St</t>
  </si>
  <si>
    <t>Boise</t>
  </si>
  <si>
    <t>83705</t>
  </si>
  <si>
    <t>Ada</t>
  </si>
  <si>
    <t>Boise Police Department</t>
  </si>
  <si>
    <t>Casper was fatally shot by Officer Jason Green of the Boise Police Department after Casper pointed a gun at another officer, according to a description of events sent out Monday by the police department. Police were responding to an early morning report of a man using a crowbar to break windows at the home at Malad and Gourley streets on the Boise Bench.</t>
  </si>
  <si>
    <t>http://www.idahostatesman.com/2015/02/16/3647534/1-dead-after-officer-involved.html</t>
  </si>
  <si>
    <t>Lavall Hall</t>
  </si>
  <si>
    <t>http://wsvn.images.worldnow.com/images/6730963_G.jpg</t>
  </si>
  <si>
    <t>19157 NW Third Ave.</t>
  </si>
  <si>
    <t>Miami Gardens</t>
  </si>
  <si>
    <t>33169</t>
  </si>
  <si>
    <t>Miami Gardens Police Department</t>
  </si>
  <si>
    <t>Hall's mother placed a 911 call to report that her schizophrenic son had awoken in a violent rage. Multiple officers responded at about 5am, were confronted with Hall using a broomstick as a weapon against them. Well aware of his mental illness, they promptly shot him to death. The family has since filed a $10M wrongful death suit.</t>
  </si>
  <si>
    <t>http://miami.cbslocal.com/2015/03/02/family-files-suit-in-deadly-miami-gardens-police-shooting/</t>
  </si>
  <si>
    <t>Bruce Lee Steward</t>
  </si>
  <si>
    <t>http://d3trabu2dfbdfb.cloudfront.net/4/0/4080219_o.jpeg</t>
  </si>
  <si>
    <t>29000 S Wall St</t>
  </si>
  <si>
    <t>Colton</t>
  </si>
  <si>
    <t>97017</t>
  </si>
  <si>
    <t>Clackamas</t>
  </si>
  <si>
    <t>Clackamas County Sheriff's Office</t>
  </si>
  <si>
    <t>Steward called 911 just after 10:30 Sunday morning to report that someone had been stabbed and the suspect at the scene was armed with a gun, said Sgt. Nathan Thompson.Deputies responding to the area, in the 29000 block South Wall Street, did not find a stabbing victim. But they encountered Steward and he was armed with a hatchet.Thompson said Steward refused the deputies' commands to drop the hatchet and he charged at them.</t>
  </si>
  <si>
    <t>http://www.kgw.com/story/news/2015/02/15/colton-officer-involved-shooting/23459905/</t>
  </si>
  <si>
    <t>Howard Brent Means Jr.</t>
  </si>
  <si>
    <t>http://shoalsnews.net/wp-content/uploads/2015/02/Howard-Brent-Means-Jr.jpg</t>
  </si>
  <si>
    <t>1110 Battleground Dr</t>
  </si>
  <si>
    <t>Iuka</t>
  </si>
  <si>
    <t>38852</t>
  </si>
  <si>
    <t>Tishomingo</t>
  </si>
  <si>
    <t>Iuka Police department</t>
  </si>
  <si>
    <t>According to Mississippi Highway Patrol spokesman Warren Strain, Means was shot and killed after he ran into the store and exchanged gunfire with officers.</t>
  </si>
  <si>
    <t>http://djournal.com/news/man-shot-dead-police-iuka-walmart/</t>
  </si>
  <si>
    <t>Cody Evans</t>
  </si>
  <si>
    <t>http://www.good4utah.com/media/lib/5/2/7/7/2771a20d-defb-4129-b63e-450be1b71c44/Story.jpg</t>
  </si>
  <si>
    <t>1800 West and 600 South</t>
  </si>
  <si>
    <t>Provo</t>
  </si>
  <si>
    <t>84601</t>
  </si>
  <si>
    <t>Provo Police Department</t>
  </si>
  <si>
    <t>Cody Evans, 24, of Springville, was shot and killed by police after he pointed an AR-15 style airsoft gun at officers.</t>
  </si>
  <si>
    <t>http://www.sltrib.com/home/2183362-155/provo-police-handling-an-officer-involved-shooting</t>
  </si>
  <si>
    <t>Roy Joy Day</t>
  </si>
  <si>
    <t>Gale Street and East Drive</t>
  </si>
  <si>
    <t>Laredo</t>
  </si>
  <si>
    <t>78041</t>
  </si>
  <si>
    <t>Webb</t>
  </si>
  <si>
    <t>Laredo Police Department</t>
  </si>
  <si>
    <t>Police say they pulled Day over for accelerating too quickly. When he got out of the vehicle, police say he was acting nervously, and went to frisk him. That's when they say he started shooting. They returned fire and killed him.</t>
  </si>
  <si>
    <t>http://www.kgns.tv/news/local/headlines/Police-Answer-Questions-On-Fatal-Officer-Involved-Shooting--292033591.html</t>
  </si>
  <si>
    <t>Jason C. Hendrix</t>
  </si>
  <si>
    <t>http://i.dailymail.co.uk/i/pix/2015/02/16/25B7B86A00000578-2955180-Authorities_suspect_that_Jason_Hendrix_pictured_may_have_killed_-m-3_1424065524879.jpg</t>
  </si>
  <si>
    <t>1399 Hyde Park Rd</t>
  </si>
  <si>
    <t>21221</t>
  </si>
  <si>
    <t>The 16-year-old, identified by police as Jason C. Hendrix of Corbin, Ky., was killed Saturday morning by Baltimore County police officers, who shot him after they say he opened fire on them at Route 702 and Hyde Park Road. Hendrix was suspected of killing his father, mother and sister.</t>
  </si>
  <si>
    <t>http://www.baltimoresun.com/news/maryland/bs-md-officer-shot-0214-20150214-story.html</t>
  </si>
  <si>
    <t>Andres D. Lara-Rodriguez</t>
  </si>
  <si>
    <t>1100 Ruby Avenue</t>
  </si>
  <si>
    <t>66103</t>
  </si>
  <si>
    <t>Officers allege that Lara-Rodriguez carjacked someone at gunpoint and led police on a chase. Upon crashing Lara-Rodriguez attempted to point a gun at officers, and they shot him to death.</t>
  </si>
  <si>
    <t>http://www.kansascity.com/news/local/crime/article10022345.html</t>
  </si>
  <si>
    <t>Daniel Mejia</t>
  </si>
  <si>
    <t>https://fbexternal-a.akamaihd.net/safe_image.php?d=AQDXRh3clqzZ6fr6&amp;w=470&amp;h=246&amp;url=https%3A%2F%2Fscontent-atl.xx.fbcdn.net%2Fhphotos-xaf1%2Fv%2Ft1.0-9%2F10527393_990745760953561_4874249687349994817_n.jpg%3Foh%3De60b86cbfc3b65e2303f75711939ef27%26oe%3D5558785D&amp;cfs=1&amp;upscale=1&amp;sx=0&amp;sy=97&amp;sw=640&amp;sh=335</t>
  </si>
  <si>
    <t>200 S McNab Pkwy</t>
  </si>
  <si>
    <t>San Manuel</t>
  </si>
  <si>
    <t>85631</t>
  </si>
  <si>
    <t>Meiji moved toward a deputy with a knife after refusing to drop the weapon. The deputy shot and killed Meija.</t>
  </si>
  <si>
    <t>http://www.azcentral.com/story/news/local/arizona/2015/02/15/pinal-county-sheriffs-deputy-involved-shooting/23466847/</t>
  </si>
  <si>
    <t>Matthew D. Belk</t>
  </si>
  <si>
    <t>2500 Terry Road</t>
  </si>
  <si>
    <t>Atwood</t>
  </si>
  <si>
    <t>38220</t>
  </si>
  <si>
    <t>Carroll County Sheriff's Office</t>
  </si>
  <si>
    <t>Officers responded to a call about a domestic disturbance. Once on the scene they pursued the subject who drew a gun. Officers fired and killed the man.</t>
  </si>
  <si>
    <t>http://www.jacksonsun.com/story/news/local/2015/02/14/officer-involved-shooting-carroll-county/23419113/</t>
  </si>
  <si>
    <t>Richard Carlin</t>
  </si>
  <si>
    <t>http://www.homefacts.com/offender-detail/AZ041981/Richard-F-Carlin.html</t>
  </si>
  <si>
    <t>414 Rehr St.</t>
  </si>
  <si>
    <t>Reading</t>
  </si>
  <si>
    <t>Berks</t>
  </si>
  <si>
    <t>Shot by state police officer who was assisting in warrant being served for arrest on multiple charges including aggravated assault with a deadly weapon</t>
  </si>
  <si>
    <t>Jonathan Larry Harden</t>
  </si>
  <si>
    <t>http://images.onset.freedom.com/pressenterprise/gallery/njrvvc-sbpursuitshootingmug.jpg</t>
  </si>
  <si>
    <t>Mojave Fwy</t>
  </si>
  <si>
    <t>92407</t>
  </si>
  <si>
    <t>San Bernardino Police Department</t>
  </si>
  <si>
    <t>Police were chasing the subject in a stolen car on the freeway. The subject crashed into several motorists and attempted to ram the officers with his car. Five officers shot 18 rounds into the car killing the subject at the scene.</t>
  </si>
  <si>
    <t>http://www.sbsun.com/general-news/20150213/suspect-shot-killed-during-pursuit-on-215-freeway-in-san-bernardino</t>
  </si>
  <si>
    <t>Phillip Watkins</t>
  </si>
  <si>
    <t>http://www.killedbypolice.net/victims/150126.jpg</t>
  </si>
  <si>
    <t>1300 Sherman Street</t>
  </si>
  <si>
    <t>95110</t>
  </si>
  <si>
    <t>Police responded to a 911 call about a man entering a home with a knife. When they arrived, the subject allegedly charged them and was shot dead.</t>
  </si>
  <si>
    <t>http://www.ktvu.com/story/28087930/san-jose-police-investigating-officer-involved-shooting</t>
  </si>
  <si>
    <t>Fletcher Ray Stewart</t>
  </si>
  <si>
    <t>Booger Hollow Road</t>
  </si>
  <si>
    <t>Dadeville</t>
  </si>
  <si>
    <t>Tallapoosa</t>
  </si>
  <si>
    <t>Tallapoosa County Sheriff's Office</t>
  </si>
  <si>
    <t>The sheriff's department received a call around noon Wednesday that deceased was walking on Booger Hollow Road in Dadeville waving a pistol. The deceased lived on that street, according to officials. When a deputy made contact, Stewart allegedly ran into a wooded area and brandished his weapon - a BB gun --at law enforcement. The shooting was captured on a body camera the deputy was wearing, which has been turned over to the Alabama State Bureau of Investigation.</t>
  </si>
  <si>
    <t>http://www.wsfa.com/story/28086836/dadeville-man-shot-and-killed-by-tallapoosa-county-deputy</t>
  </si>
  <si>
    <t>Jonathan Paul Pierce</t>
  </si>
  <si>
    <t>http://www.newsherald.com/polopoly_fs/1.438844.1424128922!/fileImage/httpImage/image.jpg_gen/derivatives/landscape_445/jonathan-paul-pierce.jpg</t>
  </si>
  <si>
    <t>410 Williams Ave</t>
  </si>
  <si>
    <t>Port St. Joe</t>
  </si>
  <si>
    <t>32456</t>
  </si>
  <si>
    <t>Gulf</t>
  </si>
  <si>
    <t>Port St. Joe Police Department</t>
  </si>
  <si>
    <t>Pending investigation, all that is known is that the subject was arrested and transported to jail and was involved in an "officer related shooting."</t>
  </si>
  <si>
    <t>Anthony Bess</t>
  </si>
  <si>
    <t>http://www.localmemphis.com/media/lib/10/a/2/7/a273292d-0b04-4e4e-a836-a9cf3e8fcb99/Story.jpg</t>
  </si>
  <si>
    <t>4500 Aldridge Drive</t>
  </si>
  <si>
    <t>38109</t>
  </si>
  <si>
    <t>Officers said that they were attempting to serve an assault warrant and that gunfire was exchanged at the home, killing Bess.</t>
  </si>
  <si>
    <t>http://www.wmcactionnews5.com/story/28076932/police-investigate-reports-of-shooting-in-whitehaven</t>
  </si>
  <si>
    <t>Antonio Zambrano-Montes</t>
  </si>
  <si>
    <t>https://heavyeditorial.files.wordpress.com/2015/02/antonio-zambrano-montes.jpg?quality=65&amp;strip=all&amp;w=780&amp;h=440</t>
  </si>
  <si>
    <t>1107 W. Lewis St</t>
  </si>
  <si>
    <t>Pasco</t>
  </si>
  <si>
    <t>99301</t>
  </si>
  <si>
    <t>Pasco Police Department</t>
  </si>
  <si>
    <t>Zambrano-Montes was throwing rocks at cars about 5 p.m. Tuesday near Fiesta Foods when police were called. He hit two officers with rocks and refused to listen to commands, Police Chief Bob Metzger said. Police gave him orders to surrender and unsuccessfully tried using a Taser. The officers chased him across the intersection of 10th Avenue and Lewis Street and eventually shot him in front of a business on Lewis Street.</t>
  </si>
  <si>
    <t>http://www.tri-cityherald.com/2015/02/11/3405116/man-shot-by-pasco-police-identified.html</t>
  </si>
  <si>
    <t>Brian P. Fritze</t>
  </si>
  <si>
    <t>http://www.gjsentinel.com/images/photos/imgkit_sized/FRITZE_Brian_600x400.jpg</t>
  </si>
  <si>
    <t>I-70 &amp; US-6</t>
  </si>
  <si>
    <t>Glenwood Springs</t>
  </si>
  <si>
    <t>81601</t>
  </si>
  <si>
    <t>Garfield</t>
  </si>
  <si>
    <t>Garfield County Sheriff's Office</t>
  </si>
  <si>
    <t>Suspect in domestic violence incident was shot multiple times after a high-speed chase. After stopping and exiting the vehicle, the suspect held a gun to his head, and then headed with the gun toward the highway, after which he was shot multiple times by one or more sheriff's deputies.</t>
  </si>
  <si>
    <t>http://www.gjsentinel.com/news/articles/man-shot--8232near-i708232-had-long-8232rap-sheet</t>
  </si>
  <si>
    <t>Kenneth Kreyssig</t>
  </si>
  <si>
    <t>http://i0.wp.com/static.bangordailynews.com/wp-content/uploads/2014/01/10022121_H12111985-250x250.jpg?quality=90&amp;w=635</t>
  </si>
  <si>
    <t>645 Smyrna Center Road</t>
  </si>
  <si>
    <t>Smyrna Mills</t>
  </si>
  <si>
    <t>ME</t>
  </si>
  <si>
    <t>04780</t>
  </si>
  <si>
    <t>Aroostook</t>
  </si>
  <si>
    <t>Maine State Police Department</t>
  </si>
  <si>
    <t>The subject's family called 911 to report that he was suicidal and armed with a gun. When officers made contact, the man refused to put the gun down and was killed at the scene by police.</t>
  </si>
  <si>
    <t>http://www.mainenewssimply.com/content/bangor-daily-news/authorities-release-transcript-911-call-fatal-police-shooting-smyrna-man</t>
  </si>
  <si>
    <t>Desmond Luster Sr.</t>
  </si>
  <si>
    <t>data:image/jpeg;base64,/9j/4AAQSkZJRgABAQAAAQABAAD/2wCEAAkGBxQQEhUUEhQQFBUVGBUVFhUWFBIUFBQVFRUXFhYUFRQYHCggGBolHBQUITEhJSkrLi4uFx8zODMsNygtLisBCgoKDg0OGhAQFyscFxwsLCwsLCwsLCwrLCwsLCwsLCwsLCssLCwrLCs3NywrKyssLCsrKysrKysrKysrKysrK//AABEIAJ0AiwMBIgACEQEDEQH/xAAcAAABBQEBAQAAAAAAAAAAAAAHAgMEBQYBAAj/xABKEAABAwEDBwUIEAQHAAAAAAABAAIDEQQFIQYHEjFBYXETIlGRsSM1VHOBlKG0FBclMjM0QlJicrLB0dPj8BUkguFTY5Kis8LS/8QAGQEAAwEBAQAAAAAAAAAAAAAAAQIDBAAF/8QAHBEAAgMBAQEBAAAAAAAAAAAAAAECETEhA0ES/9oADAMBAAIRAxEAPwAoxJZSIksrEaDlUkpRSKoBPFcBXnLi4444pCUVWXzfMVkYXSHg0e+cR0D711HIsCaJJKG1vywtMp7nSJh2DE9ahR31awa8s87sKI/hh6wqlJWLuXLF1Q20gdAkA7QtkyQEVFCDqOvXtSNUE8UlxSkgoHCHpspx6b0lyOAvfvxibxj/ALSMOa/vZBxn9YlQev74xN4x/wBooxZr+9kHGb1iVehHDE1bL6JOJuJOFYzUsEPSUpySgE8QkheK80LjipylvptjiL3YuODGfOOzyIVz2p87zJKauPU3cFZ5cXibRbC0Hmx80Y7flFUoNMBQq0VSBpKjFVLZHuUBpkGILelWdktFW1cMQp+lmvypjE8NFq8irfpNMLji3FvDaFmrbaWDWmLBePJStew1xFeBOKVJtCeqSCpVIquRSBzQRqIB6wupSQhyacU65NFccBu/B/MTeMf2oxZsR7mwcZvWJUHL9+MS+Mf2ox5se9sHGb1iVehHDG9LqE4Dh9ydKj2V1Wt4DsCfWI0o4SkkrpKSuCeokuOB3ApYKo8rLYY7O4NNHv5o6d646gVyAulkc7WXu7UiSzk6sE68446zrUqzp5yop5wt0RWWc0INT0buKmXeSK11b1IncGNx2r1njDhgW4b1GU2zVDyor55qkmgoFGmeKYCh7VYmzipBxCjGyjSB11IHpGCpGXCPrB2FG6xSGOuvQb2J6q9G2jQOgAehcSMiccU2UspBQOA1fnxiXxj/ALRRizYd7IOM3rEqDt9/Dy+Mf2lGLNf3sg4zesSrcnwxvS0u81Yw7gpZUO6jWJn1Qpjlma6aI4JckEpRTbzglGOF9FlssIy8MI+TWo4q+tEuiCs/a5zQncVSMLE/dMwM7ucUqCehTNpfzjvxTIci42UhN2WNqnEmvFQuTLcWkt3bEmOMayT14Ka4N0ea/wAiH5SKuTZ27HU0i47NpUqws5SaNvS9vaqZjiFoMjouUtLT8wEpXGjn6coIxSEopFVMmccmnFOOKZeh9O+Advo93l8Y/tKMWa/vZBxm9YlQcvn4eXxj+0oyZr+9kHGb1iVb0rSMb0nXOe5M4KxKq7iPcW+XtVnVZmumiOCXFMyuTryolplDRVxDR0k06qoUFsr7yfgqwWMzBzR0GnGmCbtd68q8ss7JJ3DXoCrQd7tS0Nx3ZMyI8toaZdpBrfkDoLtqrdIko2wSW6zFji1wIIrUKGcEar6yXitrMRoygYPG07whTfV0SWWTQlaW11O2HyorCl0RIG1S57PRRxVq5JKSloZSG3nFELIW7OTiMrvfSatzVg7JZXSODQCSTSlMcUXrJHoMa3VQAehLOXw5WxxIclFJIURhBTbk4Uy5CuheAcvj4eXxj/tFGTNePcyDjP6xKgzeprNL4x/2kZ81/eyDjP6xKvQWGJ6PXA/uXAn91SLzyos0GDnhzvms53pGCtbuuVrGaLquxqdiGOX91ex7QXNHMfqOyo2KKVstdIlXll/ITSFjGdDnYnyDYsnb72lnPdZHu6RXDqGCivSCqqKJNs2mbW/RZ5+ScaRy0G5rxq7UYCxfNsTyDUYEEEcRtR2yHvr2ZZmuNNNnNeN+wlS9Y10eDNBEyhUW/wC5IrZEY5BwdtaVManwuiCT6AfKLJqWxvLXYtPvX4UIru2qtsV2SSvDGAucdQA7dyPF+XfHPE5sowpr1EGmsKBk/dtns7DyIBOpzj74nf0LpPvB0+FJdGS7LHFU0dO4UrrayvQpGLBzwB9KuB/ur90JdVx8irZIBK2SF2ot17nVxHlUZ6VjhDckVQ9s2U09jkdDL3RrHFpB98ACcVs7sviK0isbwSNbTg4cRtQcGgKXSY8ppyccU0Uo7wDl5N7rJ9d/2kZ82A9zIOM3rEqDt4/CyfXf2oyZsu9sHGb1iRbU6RjemtjFNqzecC52zWR7wOdHzhwrUhakNSbTCJGOYdTgR1hJHR5Hza9NOCn3jZjHI5h1tJb1EqCWrQsJsSFt82N8chaeTceZNzafSHvViU9Zpixwc3AtIIPQRiEs48DE+lQEthVRk1eotdnjlBrUUd9Ya1aLPjHeGVy2vgQmJhJ0HEl1Kc7R+TwXLtZ7HLXAVjlAeSDUAnUsXnLZKbUQWksja0tp0ONCeO5bLN/aWz2CNpFdCsbuLUaSd2Mr/JpJn4CmNdqhTWZ5c0hwAFKtprG3elWaEsOiHVaKkV2bKV8qZ/hz/ZImbJRuiWvYcQ7oI6FKa6MmB7OPZuSt0tB77Rf1j8QszHO5pBa4tcMajWtvncZS2jfE0+khYRy0RVrpFvpuMn8s60ZadZoOUoKf1DYtiJA6hBBBGB3IKAok5uJTNZ5WEkuhILdpLHDV1qfp50rRWE/hhbf8I/67+1GXNl3tg4zesSIOXk2kklcOe77RRjzZD3Ng4zesSKq6iT02tF6m1dXHnBBILAZl5Z9C2zDpdpdazJC2+dOKlsJ+cxp40qsQ5WiI0NleauOXEWCwi5qb75OR1ncebLizc8VwHGvoRZC+abHaHRua9ho5pDhxGIX0Fk3fLbZZ2SgipwcOhwwIWf0iOmJvqxsd3RzQ4jA1+btBVJYGssLo42YRyOIdtppHB3Xgtg9tRQ7cFjL6smkHs2sZX/yVk9E1JSLwlao1WGkQNgHWf2E4wKmyUtjp4dN1a6WjXp0QP7q6CrdiAZzturbjujj/AOxosI5a/OhLW8JaY0a0cN3pWQctMMJPRIRBzPms84/yan/UUPwiZmVslX2iToa2Pr5x7UZ4GOkfObcQYfZLBRpwk6AdhWtzZyD+GwUI1zf88itr9u8TxyRuFQ9pafKCAVWZvbK6CwRxPB0mPtDdWwWmWnoopwY80bYLhXl4o4KDDO1ZcYZB9Jh9B/FDNyLGdY9xZ9f7kKHqsBJDZSarpKQnFFgrY5uspvYk2hITyUpAPQ06g7gsYuV/f3JJRsZM+n2u1bQdqrLzsYNXUxLaFYLN1lsAG2a0u3RyHV0Bj/RRE6QaQI6QcfvWT1820UjKikyTh0LM0bSXn/cfwVyD+P76kzYbPycbW9Fe2qzecDKNtjgcwHusgLWjEFoIxK6MQtggyptvLWqaStdKR1OAwHYqcpx7k3RakqJnQ1HTNfZBFd8bqUMhe+u01NBXyAIIQRFxDRUlxDRxdgO1fRt0WbkoIox8hjW06KAJZsMUOTCv71JywWYBgw2uPlLiT6SVxw9CkQNOiMentUorpSWDy4Vxjd6UWqjEBvnXk7nEOl59ACFrkbcsslvZwYBLyei4n4PTrUDZpBZQ5qz4WPN/1U8HQkgbuKQ4okHNQfCx5v8AqrntTnwwebn81PaFBtVeqiT7U58MHm36q97U58MHm36qFo7oOA5bLJbL+ey0Y8iWIbHV02D6LqY+VWvtTHwwebfqrwzTu8MHm36qRpMZHL+zmTnCCNsLSMHu5z8doFKBD622x8ry+RznuOsuJJ9OpE235tpJgzTtjToDRH8vsqT/AIqhnNK7wwebH85cqCwaLyJXtSO8MHmx/OXfald4YPNj+cjYDO5vLt5e2R1ALY6yO/p1elHcDpWVyKyMFg0zyokc+lTyehQDYOcVruR3qc+jpkeQKTDq6+1IMO9OMZQKcUFs/9k=</t>
  </si>
  <si>
    <t>7100 Bonnie View Rd</t>
  </si>
  <si>
    <t>75241</t>
  </si>
  <si>
    <t>Gerdle Moise</t>
  </si>
  <si>
    <t>1500 S.W. 12 Ave</t>
  </si>
  <si>
    <t>33069</t>
  </si>
  <si>
    <t>Broward County Sheriff's Office</t>
  </si>
  <si>
    <t>Deputies stopped Moise and another man on their bicycles near midnight. The other man was cooperative, but Moise bolted on foot. Deputies attempted to Taser him, with no success, but then Moise shed his clothes while running through a church parking lot and tried to get away in a drainage canal. He was drowned by 12:15.</t>
  </si>
  <si>
    <t>http://www.sheriff.org/posts/post.cfm?id=9184A280-B3C8-AD25-8CBB-926D3BBAE779</t>
  </si>
  <si>
    <t>Dean Joseph Bucheit</t>
  </si>
  <si>
    <t>13600 Culver Blvd</t>
  </si>
  <si>
    <t>Marina Del Rey</t>
  </si>
  <si>
    <t>90292</t>
  </si>
  <si>
    <t>Bucheit was hit and killed by an officer driving their vehicle. The officer was on the way home early morning during foggy conditions.</t>
  </si>
  <si>
    <t>http://www.latimes.com/local/lanow/la-me-ln-lapd-bomb-squad-vehicle-kills-pedestrian-20150209-story.html</t>
  </si>
  <si>
    <t>Larry Hostetter</t>
  </si>
  <si>
    <t>http://cbsnews2.cbsistatic.com/hub/i/r/2015/02/09/244b550c-7399-447f-b8c3-986fb9565c62/thumbnail/620x350/4cff51321c4c4ab8796040af140cb798/larry-bryan-hostetter.jpg</t>
  </si>
  <si>
    <t>200 Jordan Drive</t>
  </si>
  <si>
    <t>Nocona</t>
  </si>
  <si>
    <t>76255</t>
  </si>
  <si>
    <t>Montague</t>
  </si>
  <si>
    <t>Nocona Police Department</t>
  </si>
  <si>
    <t>An officer reportedly responded to a domestic disturbance call and shot an off-duty deputy living there to death.</t>
  </si>
  <si>
    <t>Vincent Cordaro</t>
  </si>
  <si>
    <t>https://cbsnewyork.files.wordpress.com/2015/02/vincent-cordaro.jpg?w=620&amp;h=349&amp;crop=1</t>
  </si>
  <si>
    <t>67 N. Little Tor Road</t>
  </si>
  <si>
    <t>New City</t>
  </si>
  <si>
    <t>10956</t>
  </si>
  <si>
    <t>Rockland</t>
  </si>
  <si>
    <t>Clarkstown Police Department</t>
  </si>
  <si>
    <t>Officers received a call from the subject's family saying they felt threatened and he was armed and possibly drunk or high. On arrival, the subject fired at the officers who returned fire and killed the man.</t>
  </si>
  <si>
    <t>Natasha McKenna</t>
  </si>
  <si>
    <t>http://www.killedbypolice.net/victims/150114.jpg</t>
  </si>
  <si>
    <t>10520 Judicial Dr</t>
  </si>
  <si>
    <t>Fairfax</t>
  </si>
  <si>
    <t>Fairfax County Sheriff's Office</t>
  </si>
  <si>
    <t>A stun gun was used on McKenna on Tuesday after she refused to comply with deputies’ commands and physically resisted them as they prepared her for transport to Alexandria to face charges there, the sheriff’s office said.</t>
  </si>
  <si>
    <t>John Martin Whittaker</t>
  </si>
  <si>
    <t>http://d14rj7v0r2qnrv.cloudfront.net/wp-content/uploads/2015/02/10210721/john-martin-whittaker-fb.jpg</t>
  </si>
  <si>
    <t>E 15th Ave &amp; Medfra St</t>
  </si>
  <si>
    <t>Anchorage</t>
  </si>
  <si>
    <t>99501</t>
  </si>
  <si>
    <t>Anchorage Police Department</t>
  </si>
  <si>
    <t>Whittaker was shot and killed Sunday after allegedly leading police on a pursuit through the streets of the city and exchanging gunfire with officers in the Anchorage neighborhood of Fairview Sunday morning.</t>
  </si>
  <si>
    <t>http://www.adn.com/article/20150210/anchorage-police-id-suspect-sunday-car-chase-and-shooting</t>
  </si>
  <si>
    <t>Joseph Paffen</t>
  </si>
  <si>
    <t>4501 Hoffner Avenue</t>
  </si>
  <si>
    <t>Orange County Sheriff's Office</t>
  </si>
  <si>
    <t>Paffen opened fire on officers, they responded and shot him.</t>
  </si>
  <si>
    <t>Sawyer Flache</t>
  </si>
  <si>
    <t>http://www.gannett-cdn.com/-mm-/6da36d601f576df6d13ff9afc6c8e8eae96153bf/c=13-0-371-477&amp;r=537&amp;c=0-0-534-712/local/-/media/2015/02/08/KVUE/KVUE/635590217831825997-gbf.jpg</t>
  </si>
  <si>
    <t>Silvermine Drive and Highway 71</t>
  </si>
  <si>
    <t>78735</t>
  </si>
  <si>
    <t>Apparently he shot at a police helicopter and then the cops shot back.</t>
  </si>
  <si>
    <t>http://www.kvue.com/story/news/2015/02/08/breaking-austin-police-shoot-man-who-fired-at-officers-in-helicopter/23074647/</t>
  </si>
  <si>
    <t>James Howard Allen</t>
  </si>
  <si>
    <t>2701 Mary Avenue</t>
  </si>
  <si>
    <t>Anson</t>
  </si>
  <si>
    <t>The family of the deceased asked police to check on elderly hard-of-hearing man after heart surgery, officers kicked in door, deceased had gun, police shot after he didn't obey to drop gun.</t>
  </si>
  <si>
    <t>Alan James</t>
  </si>
  <si>
    <t>http://www.killedbypolice.net/victims/150111.jpg</t>
  </si>
  <si>
    <t xml:space="preserve">Himes Street SE and Jefferson Avenue SE </t>
  </si>
  <si>
    <t>Wyoming</t>
  </si>
  <si>
    <t>Wyoming Police Department</t>
  </si>
  <si>
    <t xml:space="preserve">James was living in the home with his second wife at the time of the incident. When officers arrived at the scene, they were able to get a her out of the house.After James allegedly opened fire, police returned fire and James was struck in the chest with a bullet. </t>
  </si>
  <si>
    <t>Herbert Hill</t>
  </si>
  <si>
    <t>data:image/jpeg;base64,/9j/4AAQSkZJRgABAQAAAQABAAD/2wCEAAkGBxQSEhQUExQVFBUXFxQUFBcXGBUaGBQUFRQWFhQUFRQYHCggGBolHBQUITEhJSkrLi4uFx8zODMsNygtLiwBCgoKDg0OGhAQGiwcHBwsLCwsLCwsLCwsLCwsLCwsLCwsLCwsLCwsLCw3LCssLCw3LDcsLCssLCw3LCssNywsLP/AABEIAKgBLAMBIgACEQEDEQH/xAAbAAACAwEBAQAAAAAAAAAAAAAAAQIEBQYDB//EADgQAAIBAgQEBAMHAwQDAAAAAAABAgMRBAUhMRJBUfAGYXGBEyKRFDJSobHB8ULR4QcjgpJDYnL/xAAZAQADAQEBAAAAAAAAAAAAAAAAAQIDBAX/xAAiEQEBAAICAwACAwEAAAAAAAAAAQIRAyESMUEEURMycSL/2gAMAwEAAhEDEQA/ANlEhIaM2KS77QxDQQBAO3egD0NBMAuPvvQWgQ0P6r6fsCQeg8K+JUFdtL9DjM+zl1ZcMXaK6bPzNXxdD5eJytbRJW19Tj6cbu9xz12rTRyzC3u2r9DYgilg46GhSRzcmXbs4MFrDUzRoUijhzRpIy+vSl1HrClc0MLhypTiaVBLqaYyJyt0tQoaFXEYbyL9CS6CrcHdzaxhvthV6VjNro6DFRVtDBxKOfPHtvjVGoipicNGW6uW6xBxFjdVPJjMp25XF4RxlojwtqbuZ4bW+vsY9enZ6fU7MbuPJ5MdXTrvB2a8d6Um21rHVtnUSXep8tynESo1IzTs76+nM+pQlxJNWs0uae4VlpBLyIsnIi0URW71Q++YmIR6NCsO4gnRE0DXdgAYOPr+X72JX8/zRFW6r0HfvQmbpqaABoWiNP1GIaKkI7C07uFgQb0Z98x99oTC4tA17ErCQ0HYcd41xXzRjqrq7VjmsLG771Njxxf46vouFWMzL0F9NI2sKtEaFMoUEX6RzZO7iXaBepxKWETNOjAyyruwm4lTZo0H5HnRoJlikuHkXj7OzpbpRdhVE+hcw1mWZ00l1N525Le3LYinu0zIxN77m/ma1aS/sYOITM82uCpJEGycjwqSMtLvp44t6M53EQ1s7W5G/XkYeY23SOvjvTzfyJ2oJrbZ/sd34JxPFTlDnFr3RwMpKW2h1ngSaU5x5tJq3M005a7VoiTauQFpKMu9f8CHciOdA17A1fvQjYl3sIEg72AACVu7fuMiu9EFghqiGu9BIdxbSa7/AIAWhIIYsOwCsMjSGmKwWGIa9vYkl3dEV32iUe9CdHtwvjylapCWlrW9NTIyvc1PG8ZfFTa02RlZW9X6BfS8W7hINmxh4RtucxGtN6LQU6MvxP0uY3jl+urDks9R21GpBFpVlfc+dRryi9blmnnU1/kjLhvxvh+VPsfRsPiLFlYhM4zBZzxLfUuU8wuZdx2TOZTbrqeJtsxVMytvI5apmJzWaZpOUtJM0x3emWeeOL6HUzanzehmVsxot6SXmfP6mMqPZnmpVHvJW8/8Gk4v3XNl+Td9R3U6tN3tJfUoYjqrNeRz0KNR68UfWNrntKdWOu4fxyF/PlfcX5T3MnHU9zQwtfjWu/Mp5hZPUrG9seXubYNXR6bHU+Bad6l1NR0tZ7tc7HNYulrprc6TwBH/AHnpe0d7bGznr6DN96nnfvQ9JLu55NB8RsriAQEf0C4NhcRi4L1AdggpDQBcP8JVsCEhgAiSQkCDQSQfUAAF3sh/kNAu9xg4kokUiXpvy9RfDc944wblRi0tU3e3JW5nIZQr8XoWsRxSnOcZSU7tS1evk1zPPLo24tLak73Gvjpew8dbGrRWG2m036t/kjDlProufoWMNms4J/BpxSWt7GVxrowzk9tivluFkm4uUPNxml/2asYWLwHC9HdfqXY+O8a4/Dfw5QenCk7vy8ypUqtys4OlJ68PJ+hfobmSlSdn0NfDKT2Rn18O97WOu8OYRPhvzIz014pWFjKUkjHktTu/EuGWqWmhycsBJJySbS3DBXJi8aVBf1Oy5nWZBg6DWmGdd9ZcKT9OLVnJRn8ySXFLkuS9QxuNxlCaXH8N7pw/ZlsLZHVZu6KdpYR0rdLfsZMowt8jvH9DNw+LxdROpKbqpbubu372IQxKk7/dfNE6VOSWNCjFJlfNI6Fiih5jF8GgY5dp5J/y5etodv4DwDjFzf8AVaybW3UwMhyGeKqNLSCfzSeyRr5zmFPDz+HQSk42TkuvqaZZfGWPF5TdunayR5yR45divi0ac3o5RT9+Z7t96FfHPZ287+oMd/ULd2Y4CYJDuIXYA9AB9/yBi/kAhoWtJVEiSEBVCQAhk9gIYrjKADvvUQwBolFkV3YaFYbg83pOniattr3+upCnrqupe8XQtXv1jF/S6/Yz8A7pGddM70lVoLmWcBWhD+1tC5HDKSCWTw5qT/5OxHnK2nHZ2WFzDDUpcXweKXJRWt/c0nUhiE+PCqmt03Uk5366WSM+nRjT+6kvTf6mphk+G7HctKnHus3MIpuKS2SXrY6Xw3TScb8jnZ6y01OpyPBz0eiM8st10YYdV5+IKacm0Z2CguGpD8SXvZ7XNbOaE/UyKTs7ixuqvPHeOlTE4GMPmo0oO29Nyle/VMrV87ov5a2HqRt1cWvZtGzmGGcl8SH3uduZlfaeP5aiT9Un+pt5SuS8d2qYrNYSio00ox6fLf8AI8suwKlrb0NmhlVDf4cV7F6OHilokvQyy5NdNsOBkSw3CVMRG8WvI1MZIy6r3DD9p5pJNHHNHGjGnBW0V0t2+rMytlz0b57kcfgZxcZXdntY08Imo3abs1uVu76TJvHt1WUw4aNNL8K8mWe+YqMUoxWuiXTp6j771Oh5tvZXYr+d/T+AYuICAJ+oBcAbff8AAu+9A/P6iQA7jQrABaVkADDQA7isMNEaALgPZgAuAgaQ0QJoYc94spfNTl1i4/R3Oeoyt5HY+IqSdG73g1JfocfVmm217mboxvTTwWIL3zy52MTCy1N/Bq5z5TTv4ruJ0MIk+r8yxi3aNlq+i5nrTieGLzaFCd5paK4vdbXWMGXYCaackk3y6HaZMlBq585xPjOM5fI0i5hfFLtqGrLspnhZ47d9mfC231OSzPCSTbirrd26GNi/F0o66e574T/UOm/lnZ+2g/G+9CZ4f122cvleJ4YvL+J7XXXRNehLLMfCo24bf3L1aQ50dx2wvhSh1a9Vcl9odtdC7iXoZOImZ5TfS96jxxFW7M+vM95vcqTe5rxxxcuW2zlkY1KSU2r6KK56buxazKhGnSUb3lUlFJaXSvvYr5LjqdGg3FJ1ZqzcteFdIolluCU63xHduKu7vS/kh4zWQz5NcbobbeR5vvVk2Qb1OiPNILkUMYSuDEu/4ABQABcCAIGO3qLQVh3I3HcYO4yKYxAxXGACBAAd7jB2Gn7e9yNvYkpd3av7oKHnjMOqkJQel1o/PkcJi8FUpTcakXHo+Ul1TPoKZzvjLan01WxNXjfjDw71N3Bz0OfpSNPC1TDLF38WWnQ4edzC8RxcpKyTsaOHq6HhVpq92xY9Vvyascq8v4v/ABJedz0jl00tFp0ubNSvHi4UrHtl8L8T30dvXobduPU2xFlEnrKPF5EZYFragr+RvYfESV+TXLl6l6hmkG/nilyuhW1eMx9Ve8MYNQoK6tJ6suYiSR4xxUbfKyvXxBjt3Y4yQsRVMuuz1q4gqzkTMfqc8ulepoVKr0ZaqyKlXZm2EcXLV7KozmopUZy0WrTUV5ts6vCYfgjZ6t6vp7CwMpfDgpXVopWuerka+Ejky5LlNHfvQjJ+bQkxTfqNmQ799simSTDZpA2JMBkdwEhiAJJsiFwCqgTFcLgSQ0RQxhK4IiO/eoGYCuP6fmACJIiNBQncxPF0L0ovpJfmbUSpm1DjpTSV215fuKnHC05lylUKKRYpsix045aatLFWW548bqSt9W9EkUMRdpWPN1JJWjCUr9A8TudtdFhXSjtFVH1l932XM2aOdxSUatODXLgtH6nJ0Msxc18tNJf+0kiVfIsdFfNQbXJpqwTHbbG6np1dfN1PRU6XD03l6cRkV1SlpH/bl+F7e0inh/CuYyV1SjFdZzSPLF5BjYL5ownb8M07Dsot38Wo1nSdnL+T2jieJX5nPyVRrhnCatza2fqW8vk7O5GWH1GHJZdLlSZ4ymObPKREi8syep4z1aXVr9SbZ65PS460dLpPiZrjGHJl07KirJLyXMbkDYmaOUXAjYGIbD71/Qkjz75Ek33YN7CdxoiA4NHcaZEdxeyMEK4WAKiYXIgPRJJkkyA7ho07krnmhjCa77uBEYbCSJEEMQTYP2I3JXDRuGzSioVppbX05HjTR1OfZWqkXNW4kvVv+xzEOnTcVjXGvThLOFqcOx4xkeyafkLS5lpq4bGt87PruaMM0qrS911OTqVmtmQePqr+oXjY6cfyZrVdbPOJ/wBTl9dPoVqmbSexzTzKq92voShXb5hqqy/K3NRq4mvx/edyq4pEIyJcQrP25/PZyPGauerPGpLoEx7Tll08asjf8JUvknPTWVvPQ5yfT6nYeHaXDQjpvd6epcZZVoSINkpM82UyNiYpCbJoCY4y8yFhp/yMPRMkmQTBMY2ncaZEaEErh3y/uRuD72A1K40CkCH2k0DEMNFtJAhAGjSGmQGh2BO40yCY7iNNSJr3/P8AY8k+9iUWFN7QZxfiVcGJbStdRb878zX8Q5/9majFXqNX1/pRy9fFzrNzqfefTpyRK5HtCsmT4inT0e10e6fQNK29/h3D7L5kVUJKbBpLHrDAp8z2WW25ngsS1sTjjCbKfli91hSLjYj9pbIVMRbzCS/RllPhzna5UnUvsRnK7JRRXpl7KMTtMosqNPbY5CCNnLvEVWilCVOnXp8ozXzR/wDmaCFlNxvSZC/ep6ZbjMFimoxnVw1V6cDfFG//ACvf2LOZZHXoJydqsFvKKtKK6yj09C9bZM9sCKnfVO/QZNgDfeo0yId93Q9EmO5FDTAbTQXI3C/ehE2adx3Iki9UKQwAEhAgAvQA7iAJDh3BMAFTO4cWqSTcnskrt+iQALRtnCeHaslepamvwrWXvyRfjlkaadlr57gA8p0jyu3x/wAWxf22rfytfpY8KD0ADL46I9LE4SsIBwV6qaHcYDTCchqQAA2cZD4WABTnYcSUYgBO16eqR6QjcAErSGIwSnuvRrRrzTR1H+nniHE08RHB4ibrU5qXwKkvvxcVxOEnzVkwAvjvei5MJ47dhm/hiFRuVKXwZve0U4SfWUOvmrHMY/BVcO7VopLlOP3H7v7r8mAGtjiwytunhF32Gu/8ABFWGhgBINMaAAM7Dt5AA07f/9k=</t>
  </si>
  <si>
    <t>1000 SW 62nd St</t>
  </si>
  <si>
    <t>73139</t>
  </si>
  <si>
    <t>Reports say they tried to take him into custody, but he refused. Hill then flashed a firearm at the five officers and proceeded to shoot. That’s when the officers returned fire, killing the suspect.</t>
  </si>
  <si>
    <t>http://kfor.com/2015/02/06/breaking-officer-involved-shooting-in-okc/</t>
  </si>
  <si>
    <t>John Sawyer</t>
  </si>
  <si>
    <t>1200 Calimesa Blvd.</t>
  </si>
  <si>
    <t>Calimesa</t>
  </si>
  <si>
    <t>92320</t>
  </si>
  <si>
    <t>Riverside County Sheriff's Office</t>
  </si>
  <si>
    <t>Deputies made contact with two men who they thought were engaged in narcotics activity. One man removed a handgun from his pocket and was killed by deputies.</t>
  </si>
  <si>
    <t>http://www.newsmirror.net/news/article_4ac58666-ae23-11e4-a6b8-bb786bd2cf62.html</t>
  </si>
  <si>
    <t>Markell Atkins</t>
  </si>
  <si>
    <t>http://www.killedbypolice.net/victims/150104.jpg</t>
  </si>
  <si>
    <t>3800 Vernon Avenue</t>
  </si>
  <si>
    <t>38122</t>
  </si>
  <si>
    <t>Marshals were serving a warrant on the subject in the death of a 1-year-old. The subject allegedly met them outside with a knife and was shot dead.</t>
  </si>
  <si>
    <t>http://www.wmcactionnews5.com/story/28023546/fugitive-shot-by-law-enforcement-near-nutbush</t>
  </si>
  <si>
    <t>Jimmy Ray Robinson Jr.</t>
  </si>
  <si>
    <t>http://bloximages.chicago2.vip.townnews.com/wacotrib.com/content/tncms/assets/v3/editorial/d/bc/dbc5b9d9-a7ad-5bf9-a0b7-a0039454f45d/54d53a2c72d79.image.jpg?resize=300%2C400</t>
  </si>
  <si>
    <t>I-35</t>
  </si>
  <si>
    <t>Lorena</t>
  </si>
  <si>
    <t>76655</t>
  </si>
  <si>
    <t>Police believe Robinson was responsible for at least five local store robberies that occurred within a week of Wednesday’s chase. The chase ended with Robinson being shot and killed.</t>
  </si>
  <si>
    <t>http://www.killedbypolice.net/victims/150102.jpg</t>
  </si>
  <si>
    <t>E. Baseline Road and 48th Street</t>
  </si>
  <si>
    <t>A suspect allegedly pulled out a gun, pointed it at officers and that's when four officers, one from Tempe, one from Chandler and two from Mesa, opened fire. Witnesses reported hearing at least six shots. It is unclear at this time if Muna actually fired his weapon. Hernandez was hurt in the crossfire and died.</t>
  </si>
  <si>
    <t>http://www.abc15.com/news/region-phoenix-metro/south-phoenix/tempe-police-shoot-2-suspects-near-48th-street-and-baseline-condition-of-suspects-unknown</t>
  </si>
  <si>
    <t>Izzy Colon</t>
  </si>
  <si>
    <t>4304 Pershing Pointe Pl</t>
  </si>
  <si>
    <t>32822</t>
  </si>
  <si>
    <t>Two undercover narcotics detectives were working in an apartment complex when they noticed two nearby men openly firing handguns. After a brief confrontation one of the men, Colon, was fatally shot, and the other taken into custody.</t>
  </si>
  <si>
    <t>http://www.orlandosentinel.com/news/breaking-news/os-police-shooting-orlando-pershing-20150205-story.html</t>
  </si>
  <si>
    <t>Salvador Muna</t>
  </si>
  <si>
    <t>http://www.gannett-cdn.com/-mm-/8334042135d7f679c06190b7cdf533ced74a407e/c=15-0-465-600&amp;r=537&amp;c=0-0-534-712/local/-/media/2015/02/04/Phoenix/Phoenix/635586889030311552-muna.jpg</t>
  </si>
  <si>
    <t>85042</t>
  </si>
  <si>
    <t>Trying to apprehend Muna, the subject escaped in a vehicle with a friend. Police pinned his car making it unable for him to escape. He brandished a weapon and was shot dead by at least three different officers.</t>
  </si>
  <si>
    <t>Kevin D. Garrett</t>
  </si>
  <si>
    <t>2800 East 79th Street</t>
  </si>
  <si>
    <t>An unmarked police car hit and killed a man crossing a street without proper streetlights.</t>
  </si>
  <si>
    <t>http://www.chicagotribune.com/news/local/breaking/chi-man-fatally-hit-by-car-on-south-side-20150204-story.html</t>
  </si>
  <si>
    <t>Jeremy Lett</t>
  </si>
  <si>
    <t>2424 W Tharpe Street</t>
  </si>
  <si>
    <t>An officer responding to a burglary call at an apartment complex encountered Lett, and the two entered into a physical confrontation. The officer tried the Taser, but in the rain he only shocked himself. Lett had the officer pinned to the ground when the officer fired and fatally wounded him.</t>
  </si>
  <si>
    <t>http://www.wctv.tv/home/headlines/Crime-Scene-Unfolding-in-Tallahassee-290858461.html</t>
  </si>
  <si>
    <t>Paul Alfred Eugene Johnson</t>
  </si>
  <si>
    <t>http://media.nbclosangeles.com/images/1215*675/paul-johnson-bank-robbery.jpg</t>
  </si>
  <si>
    <t>Euclid Ave and Pine Ave</t>
  </si>
  <si>
    <t>Chino</t>
  </si>
  <si>
    <t>91708</t>
  </si>
  <si>
    <t>Corona Police Department</t>
  </si>
  <si>
    <t>Gunshot, Vehicle</t>
  </si>
  <si>
    <t>Police were pursuing a suspect in a bank robbery in Corona, CA when he carjacked a van and led them on a chase to Chino. The man lost control of the van and crashed into a light pole. Police opened fire and killed the subject.</t>
  </si>
  <si>
    <t>Dewayne Deshawn Ward Jr.</t>
  </si>
  <si>
    <t>http://ww4.hdnux.com/photos/34/47/64/7503163/3/920x920.jpg</t>
  </si>
  <si>
    <t>1000 Claudia Ct</t>
  </si>
  <si>
    <t>94509</t>
  </si>
  <si>
    <t>Contra Costa</t>
  </si>
  <si>
    <t>Contra Costa Sheriff's Office</t>
  </si>
  <si>
    <t>Ward was being served a restraining order. When deputies arrived Ward charged at them with a knife. A deputy responded by shooting and killing Ward.</t>
  </si>
  <si>
    <t>http://www.contracostatimes.com/breaking-news/ci_27451514/antioch-one-person-killed-officer-involved-shooting</t>
  </si>
  <si>
    <t>Yuvette Henderson</t>
  </si>
  <si>
    <t>http://www.killedbypolice.net/victims/150096.jpg</t>
  </si>
  <si>
    <t>3400 Hollis Street</t>
  </si>
  <si>
    <t>Emeryville</t>
  </si>
  <si>
    <t>94608</t>
  </si>
  <si>
    <t>Emeryville Police Department</t>
  </si>
  <si>
    <t>Police chased a woman armed with a gun who was allegedly stealing from a store for about four blocks. They saw her with a gun and immediately opened fire, killing her at the scene.</t>
  </si>
  <si>
    <t>http://www.ktvu.com/story/28015839/woman-shot-in-emeryville-officer-involved-shooting</t>
  </si>
  <si>
    <t>Ledarius D. Williams</t>
  </si>
  <si>
    <t>http://www.nydailynews.com/news/world/man-killed-st-louis-survived-2009-police-shooting-article-1.2102871#</t>
  </si>
  <si>
    <t>4100 Minnesota Avenue</t>
  </si>
  <si>
    <t>63118</t>
  </si>
  <si>
    <t>St. Louis Metropolitan Police Department</t>
  </si>
  <si>
    <t>Officers on patrol in the Dutchtown section of St. Louis saw a man run away from them. They chased him into the bushes and struggled with him to get his gun away. Officers fired and killed the man.</t>
  </si>
  <si>
    <t>Wilber Castillo-Gongora</t>
  </si>
  <si>
    <t>U.S. 287</t>
  </si>
  <si>
    <t>Electra</t>
  </si>
  <si>
    <t>76360</t>
  </si>
  <si>
    <t>Wichita County Sheriff's Office</t>
  </si>
  <si>
    <t>The subject called police to report that he was out of gas. He was said to be behaving erratically, running in the lanes of the highway. When he refused to come back from the other side of the highway, deputies tasered him at least twice. The man became unresponsive and died in the hospital several days later.</t>
  </si>
  <si>
    <t>http://www.texomashomepage.com/story/d/story/update-man-tased-by-deputies-on-287-has-died/12327/-Cbzo4k8DE6GANb1my21Yw</t>
  </si>
  <si>
    <t>Anthony Purvis</t>
  </si>
  <si>
    <t>1404 North June Ave</t>
  </si>
  <si>
    <t>31533</t>
  </si>
  <si>
    <t>Coffee</t>
  </si>
  <si>
    <t>Douglas Police Department</t>
  </si>
  <si>
    <t>Officers said they responded to a call from a woman who'd been shot in the hand, and when they arrived they found Purvis sitting on a front porch with a gun to his chin. When Purvis pointed the gun at an officer, the officer shot him to death.</t>
  </si>
  <si>
    <t>http://www.walb.com/story/28014993/man-woman-injured-in-douglas-officer-involved-shooting</t>
  </si>
  <si>
    <t>David Kassick</t>
  </si>
  <si>
    <t>https://mgtvwhtm.files.wordpress.com/2015/02/b88n8qgieaevoxh.jpg</t>
  </si>
  <si>
    <t>36 Grandview Road</t>
  </si>
  <si>
    <t>Hummelstown</t>
  </si>
  <si>
    <t>17036</t>
  </si>
  <si>
    <t>Dauphin</t>
  </si>
  <si>
    <t>Hummelstown Police Department</t>
  </si>
  <si>
    <t>An officer reported that she attempted to stop Kassick for expired stickers, at which point he fled in his vehicle to where he was staying. Upon fleeing the vehicle, the officer used her stun gun, and thought that Kassick was reaching for his waist, and shot him to death in his back while he was lying on the ground. The DA noted that the camera footage seemed as though Kassick was reaching to pull the stun-gun probe from his back. Drugs were found near Kassick and in his system.</t>
  </si>
  <si>
    <t>http://news.yahoo.com/pa-officer-charged-fatal-shooting-unarmed-motorist-165424205.html</t>
  </si>
  <si>
    <t>Jacob M. Haglund</t>
  </si>
  <si>
    <t>http://www.killedbypolice.net/victims/150141.jpg</t>
  </si>
  <si>
    <t>1600 3rd St</t>
  </si>
  <si>
    <t>Bay City</t>
  </si>
  <si>
    <t>48708</t>
  </si>
  <si>
    <t>Bay City Police Department</t>
  </si>
  <si>
    <t>While the other officer spoke with the homeowner, Murphy tracked the suspect's footprints through freshly fallen snow, encountering him in the 1600 block Fourth Street at 1:36 a.m., police said. The suspect responded to Murphy's orders by pulling a gun and opening fire on him, striking him once in the left thigh, police said.Murphy returned fire, police said.</t>
  </si>
  <si>
    <t>http://www.mlive.com/news/bay-city/index.ssf/2015/02/police_bay_county_teen_who_eng.html</t>
  </si>
  <si>
    <t>Francis Murphy Rose III</t>
  </si>
  <si>
    <t>http://cdn.abclocal.go.com/content/kabc/images/cms/504652_1280x720.jpg</t>
  </si>
  <si>
    <t>9000 Buena Vista St</t>
  </si>
  <si>
    <t>Apple Valley</t>
  </si>
  <si>
    <t>92308</t>
  </si>
  <si>
    <t>Victor Valley Sheriff's Office</t>
  </si>
  <si>
    <t>Deputies responded to the location and Rose allegedly began firing at the deputies in their patrol cars and in the helicopter. Those on the ground returned fire and Rose was struck, authorities said.</t>
  </si>
  <si>
    <t>http://abc7.com/news/suspect-killed-in-apple-valley-deputy-involved-shooting/502080/</t>
  </si>
  <si>
    <t>Victor Reyes</t>
  </si>
  <si>
    <t>Little York and Fry Road</t>
  </si>
  <si>
    <t>Katy</t>
  </si>
  <si>
    <t>77448</t>
  </si>
  <si>
    <t>The subject was seen by a deputy shooting at another vehicle. The deputy pursued the subject until the man crashed into a field. He got out of his vehicle with a gun and refused to drop it so the deputy fired and killed the man.</t>
  </si>
  <si>
    <t>http://www.chron.com/news/houston-texas/article/Man-killed-by-deputy-served-time-for-drug-charge-6055318.php</t>
  </si>
  <si>
    <t>Edward Donnell Bright Sr.</t>
  </si>
  <si>
    <t>http://www.wbaltv.com/image/view/-/31036368/medRes/2/-/maxh/630/maxw/1200/-/t9kwl2z/-/img-Police-Knife-wielding-man-shot-by-officers-dies.jpg</t>
  </si>
  <si>
    <t>9856 Liberty Rd</t>
  </si>
  <si>
    <t>Randallstown</t>
  </si>
  <si>
    <t>21133</t>
  </si>
  <si>
    <t>Bright had a knife and refused officer's orders to drop his weapon. Officers then tasered him, but he was still approaching the officers. Bright was subsequently shot and killed.</t>
  </si>
  <si>
    <t>http://www.wbaltv.com/news/baltimore-county-officers-shoot-kill-knifewielding-man-police-say/31024372</t>
  </si>
  <si>
    <t>John Barry Marshall</t>
  </si>
  <si>
    <t>http://krtv.images.worldnow.com/images/6616127_G.jpg</t>
  </si>
  <si>
    <t>2800 10th Ave N</t>
  </si>
  <si>
    <t>Billings</t>
  </si>
  <si>
    <t>59101</t>
  </si>
  <si>
    <t>Yellowstone</t>
  </si>
  <si>
    <t>Yellowstone County sheriff's Office, United States Marshal, Billings Police Department</t>
  </si>
  <si>
    <t>Officers were trying to arrest Marshall for violating the terms of his release on the burglary charge when he ran away, tripped and a shot fired from his gun into the window of the Billings Clinic hospital Friday, authorities said. Three city police officers, two deputy U.S. marshals and a Yellowstone County sheriff's deputy then fired multiple shots at Marshall.</t>
  </si>
  <si>
    <t>http://www.kulr8.com/story/27988700/developing-shooting-reported-at-billings-clinic</t>
  </si>
  <si>
    <t>Ralph Willis</t>
  </si>
  <si>
    <t>http://bloximages.chicago2.vip.townnews.com/stwnewspress.com/content/tncms/assets/v3/editorial/6/10/610ceb42-a8df-11e4-9d2f-237a3de4110e/54cc2101ded9a.image.jpg</t>
  </si>
  <si>
    <t>N. Perkins Road and E. Virginia Avenue</t>
  </si>
  <si>
    <t>Stillwater</t>
  </si>
  <si>
    <t>74075</t>
  </si>
  <si>
    <t>Stillwater Police Department</t>
  </si>
  <si>
    <t>Authorities responded to a fire at an apartment, where Ralph Willis lived. He was identified as a person of interest and when he was spotted later at a Walmart, he began running after officers approached him. According to authorities, Willis made an aggressive move toward officers two blocks from the Walmart, and officers shot him in response.</t>
  </si>
  <si>
    <t>Wendell King</t>
  </si>
  <si>
    <t>http://www.star-telegram.com/news/local/crime/vcaufj/picture8830676/ALTERNATES/FREE_960/King1.JPG</t>
  </si>
  <si>
    <t>4800 Hildring Drive</t>
  </si>
  <si>
    <t>76109</t>
  </si>
  <si>
    <t>The Star-Telegram reported that officers went to King’s home to conduct a welfare check. King’s mother told dispatchers that her son was locked inside his bedroom, not making any noise, and that she feared he might have a medical emergency. But as officers went to check, police say King opened fire, striking Sgt. S. Drake in the lower abdomen, and prompting officers to return fire, killing him.</t>
  </si>
  <si>
    <t>http://www.star-telegram.com/news/local/crime/article8830685.html</t>
  </si>
  <si>
    <t>Larry Kobuk</t>
  </si>
  <si>
    <t>http://www.killedbypolice.net/victims/150085.jpg</t>
  </si>
  <si>
    <t>1300 E 4th Ave</t>
  </si>
  <si>
    <t>Alaska Department of Corrections</t>
  </si>
  <si>
    <t>Correctional personnel reported that Kobuk “became non-compliant to correctional officers’ verbal commands” during intake and subsequently had to be restrained according to the trooper dispatch. After physically restraining Kobuk, officers checked on Kobuk as they prepared to leave the cell and found him unresponsive.</t>
  </si>
  <si>
    <t>Traylor Stadium</t>
  </si>
  <si>
    <t>Rosenberg</t>
  </si>
  <si>
    <t>Rosenberg Police Department</t>
  </si>
  <si>
    <t>http://www.click2houston.com/news/rosenberg-police-shoot-kill-suspect-wanted-in-deadly-shooting/30960552</t>
  </si>
  <si>
    <t>Alan Lance Alverson</t>
  </si>
  <si>
    <t>Sunset</t>
  </si>
  <si>
    <t>Alan was killed in a shoot-out with law officers Wednesday afternoon, following a pursuit that ended with his death.</t>
  </si>
  <si>
    <t>http://www.wfaa.com/story/news/crime/2015/01/28/suspect-shot-in-rural-wise-county/22487953/</t>
  </si>
  <si>
    <t>Jermonte Fletcher</t>
  </si>
  <si>
    <t>https://localtvwjw.files.wordpress.com/2015/01/jermonte-fletcher.jpg</t>
  </si>
  <si>
    <t>200 Buffalo Court</t>
  </si>
  <si>
    <t>43207</t>
  </si>
  <si>
    <t>Ohio State Highway Patrol and Columbus Police Department</t>
  </si>
  <si>
    <t>Police located Jermonte Fletcher, who was a member of gang being investigated by authorities. They located him at a residence and told him to surrender. Fletcher shot at officers, so they fired back.</t>
  </si>
  <si>
    <t>http://www.nbc4i.com/story/27949788/2-injured-after-officer-involved-shooting</t>
  </si>
  <si>
    <t>Nicholas Tewa</t>
  </si>
  <si>
    <t>http://media2.abc15.com/photo/2015/01/28/KNXV%20Nicholas%20Tewa_1422480483218_12855454_ver1.0_900_675.jpg</t>
  </si>
  <si>
    <t>4130 North Black Canyon Highway</t>
  </si>
  <si>
    <t>85017</t>
  </si>
  <si>
    <t>Phoenix police say they got a tip a man wanted in connection with at least six armed robbery attempts was staying at Motel 6. When they tried to arrest Tewa; he attempted to leave in a stolen vehicle. Officers ordered him to display his hands and leave the vehicle. Police said Tewa refused to comply and began ramming the occupied police vehicle with the stolen vehicle. Authorities say two officers shot at Tewa "to end the violent encounter."</t>
  </si>
  <si>
    <t>http://www.abc15.com/news/region-phoenix-metro/central-phoenix/police-investigating-officer-involved-shooting-at-motel-6-in-west-phoenix</t>
  </si>
  <si>
    <t>Matautu Nuu</t>
  </si>
  <si>
    <t>N El Dorado St &amp; Martinique Ct</t>
  </si>
  <si>
    <t>95210</t>
  </si>
  <si>
    <t>Officers asked Nuu repeatedly to put down a hammer, but Nuu yelled back at the officers to shoot him, according to police. When Nuu refused to put down his weapon, a 3-year-old police dog was sent to take Nuu into custody. Nuu then hit Nitro with the hammer, which cut him on his snout, officials said. As officers went near Nuu to rescue Nitro, Nuu then came at them with the claw hammer, so two police officers shot and killed him.</t>
  </si>
  <si>
    <t>http://www.kcra.com/news/local-news/news-stockton/police-man-killed-after-attacking-k9-officer-with-hammer/30961686</t>
  </si>
  <si>
    <t>Tiffany D. Terry</t>
  </si>
  <si>
    <t>http://www.killedbypolice.net/victims/150088.jpg</t>
  </si>
  <si>
    <t>1702 S. 50th Street</t>
  </si>
  <si>
    <t>68106</t>
  </si>
  <si>
    <t>Police responded to a report about a mother attacking her children. When they showed up, the subject threw a knife at an officer and was shot dead.</t>
  </si>
  <si>
    <t>http://www.omaha.com/news/crime/omaha-police-woman-shot-after-she-threw-knife-at-officer/article_dc2efa28-a762-11e4-9226-6392f1080cab.html</t>
  </si>
  <si>
    <t>Alvin Haynes</t>
  </si>
  <si>
    <t>1 Moreland Dr</t>
  </si>
  <si>
    <t>San Bruno</t>
  </si>
  <si>
    <t>San Mateo</t>
  </si>
  <si>
    <t>San Francisco Sheriff’s Department</t>
  </si>
  <si>
    <t>Alvin, an inmate, died after deputies attempted to search him at San Francisco County Jail No. 5 in San Bruno. He had an envelope in his hand that the deputies were trying to examine and "a confrontation ensued".</t>
  </si>
  <si>
    <t>http://www.sfgate.com/bayarea/article/Inmate-dies-in-S-F-County-Jail-confrontation-6041938.php</t>
  </si>
  <si>
    <t>Jessica Hernandez</t>
  </si>
  <si>
    <t>http://i.dailymail.co.uk/i/pix/2015/01/27/2520A6BC00000578-2927449-image-m-19_1422401287646.jpg</t>
  </si>
  <si>
    <t>E. 25th Ave. and Newport St.</t>
  </si>
  <si>
    <t>Park Hill</t>
  </si>
  <si>
    <t>Witnesses say police shot victim in a car from the side-corroborated by forensics; police say they shot in self-defense.</t>
  </si>
  <si>
    <t>http://www.democracynow.org/2015/2/13/denver_police_killing_of_lgbt_teen</t>
  </si>
  <si>
    <t>David Garcia</t>
  </si>
  <si>
    <t>1134 E Street</t>
  </si>
  <si>
    <t>Wasco</t>
  </si>
  <si>
    <t>93280</t>
  </si>
  <si>
    <t>Deputies responded to call from suspect who was making threats to harm himself.  They forced themselves in and were met by Garcia wielding a knife.  Suspect was shot.</t>
  </si>
  <si>
    <t>http://www.bakersfieldnow.com/news/local/Shots-fired-by-deputy-in-Wasco-encounter-ruled-justified-291464201.html</t>
  </si>
  <si>
    <t>Joshua Omar Garcia</t>
  </si>
  <si>
    <t>http://www.everythinglubbock.com/media/lib/197/3/3/d/33d162c6-2467-4a39-9e4d-23f0fc95f096/Headline.jpg</t>
  </si>
  <si>
    <t>US Hwy 380</t>
  </si>
  <si>
    <t>Tahoka</t>
  </si>
  <si>
    <t>79373</t>
  </si>
  <si>
    <t>Lynn County Sheriff’s Office</t>
  </si>
  <si>
    <t>The subject was arrested after leading officers on a chase. Once arrested, he slipped the handcuffs to the front and tried to drive off in a deputy's cruiser. He was shot and killed at the scene.</t>
  </si>
  <si>
    <t>http://www.everythinglubbock.com/story/d/story/lynn-co-chase-ends-in-crash-officer-involved-shoot/19449/g8Lzux4P5E64-schXceQtQ</t>
  </si>
  <si>
    <t>Chris Ingram</t>
  </si>
  <si>
    <t>4500 US-191</t>
  </si>
  <si>
    <t>Morenci</t>
  </si>
  <si>
    <t>85540</t>
  </si>
  <si>
    <t>Greenlee</t>
  </si>
  <si>
    <t>Greenlee County Sheriff's Office and Clifton Police Department</t>
  </si>
  <si>
    <t>Authorities said the two officers responded to a domestic violence call at around in the town of Morenci, which is northwest of Clifton. The suspect had left the scene and a traffic stop was made on U.S. Highway 191. Gunfire was exchanged, and the two officers were struck, authorities said. The suspect, Chris Ingram, 29, was also shot and died from his wounds later in the emergency room at the Gila Health Clinic in Morenci.</t>
  </si>
  <si>
    <t>http://tucson.com/news/blogs/police-beat/officers-wounded-suspect-killed-in-morenci-shooting/article_fdde1ef4-a64c-11e4-8f01-073c51a39565.html</t>
  </si>
  <si>
    <t>Rhiannon L. Steele</t>
  </si>
  <si>
    <t>Howell Prairie Rd NE</t>
  </si>
  <si>
    <t>97381</t>
  </si>
  <si>
    <t>Mt. Angel Police Department</t>
  </si>
  <si>
    <t>Police chased a 17-year-old suspect, with his mother (Steele) and another person in the pickup, for about three miles from downtown Mt. Angel on rural roads west of town. This followed an attempted traffic stop that the suspect drove away from. The truck crashed into a ditch, killing Steele and seriously injuring the other passenger.</t>
  </si>
  <si>
    <t>http://keizertimes.com/2015/02/11/crash-kills-keizer-mom/</t>
  </si>
  <si>
    <t>Raymond Kmetz</t>
  </si>
  <si>
    <t>https://encrypted-tbn3.gstatic.com/images?q=tbn:ANd9GcRodS18giNfsIlDDXvHJ1QVMC56dAEVNVhv-eJuWkhSRhkhzdkIXBinLWJqnhpjiGcjs9gwKNWn</t>
  </si>
  <si>
    <t>4401 Xylon Avenue North</t>
  </si>
  <si>
    <t>New Hope</t>
  </si>
  <si>
    <t>55427</t>
  </si>
  <si>
    <t>New Hope Police Department</t>
  </si>
  <si>
    <t>Two officers were being sworn in at a city council meeting when Kmetz shot at the officers, injuring them. Other officers returned fire, killing Kmetz.</t>
  </si>
  <si>
    <t>http://www.ksfy.com/home/headlines/Documents-Minn-shooting-suspect-had-history-of-violence-289983461.html</t>
  </si>
  <si>
    <t>Orlando Jude Lopez</t>
  </si>
  <si>
    <t>http://www.krdo.com/image/view/-/30926046/highRes/3/-/maxh/640/maxw/640/-/dohryx/-/orlando-jude-lopez-jpg.jpg</t>
  </si>
  <si>
    <t>2000 Troy Ave.</t>
  </si>
  <si>
    <t>Pueblo</t>
  </si>
  <si>
    <t>81001</t>
  </si>
  <si>
    <t>Pueblo Police Department</t>
  </si>
  <si>
    <t>Lopez and a second man, Roberto Felix Rodriguez-Garcia, 22, were being pursued by police as suspects in a home invasion. Police caught up to Lopez where there was an exchange of gunfire between he and police officers.</t>
  </si>
  <si>
    <t>Pending Investigation</t>
  </si>
  <si>
    <t>http://www.chieftain.com/news/pueblo/3281920-120/officers-police-incident-lopez</t>
  </si>
  <si>
    <t>William Campbell</t>
  </si>
  <si>
    <t>300 New Brooklyn Road</t>
  </si>
  <si>
    <t>Winslow</t>
  </si>
  <si>
    <t>08081</t>
  </si>
  <si>
    <t>South Jersey Police Department</t>
  </si>
  <si>
    <t>An officer responded to a domestic disturbance after a report of a woman being held at gunpoint by a relative. When the officer arrived at the home, a woman approached his vehicle and tried to get inside while screaming about a man armed with a gun. The officer saw William Campbell approaching his vehicle while pointing his gun at him. The officer shot Campbell.</t>
  </si>
  <si>
    <t>http://www.nbcphiladelphia.com/news/breaking/Winslow-Township-Police-Response-289717891.html</t>
  </si>
  <si>
    <t>Darin Hutchins</t>
  </si>
  <si>
    <t>http://www.killedbypolice.net/victims/150070.jpg</t>
  </si>
  <si>
    <t>1900 McHenry St</t>
  </si>
  <si>
    <t>21223</t>
  </si>
  <si>
    <t>Baltimore City</t>
  </si>
  <si>
    <t>Authorities said a person flagged down an officer on routine patrol and that a man was threatening to stab people at a house celebrating a toddler's birthday. According to police, when the officer located the man, identified Tuesday as 26-year-old Darin Hutchins, he refused to drop the knife and obey commands. The officer shot him once in the chest.</t>
  </si>
  <si>
    <t>http://www.wbaltv.com/news/baltimore-police-involved-in-officerinvolved-shooting/30905860</t>
  </si>
  <si>
    <t>Daryl Myler</t>
  </si>
  <si>
    <t>164 E Main St</t>
  </si>
  <si>
    <t>Rexburg</t>
  </si>
  <si>
    <t>83440</t>
  </si>
  <si>
    <t>Rexburg Police Department</t>
  </si>
  <si>
    <t>Shortly after robbing a Walgreens, Myler was shot and killed by officers.</t>
  </si>
  <si>
    <t>http://www.kpvi.com/mostpopular/story/Witnesses-Recount-Rexburg-Shootout/Waf5XkxxPEmdh5RS2rra7w.cspx</t>
  </si>
  <si>
    <t>Jose Antonio Espinoza Ruiz</t>
  </si>
  <si>
    <t>15th Street and Avenue A</t>
  </si>
  <si>
    <t>Levelland</t>
  </si>
  <si>
    <t>79336</t>
  </si>
  <si>
    <t>Hockley</t>
  </si>
  <si>
    <t>Levelland Police Department</t>
  </si>
  <si>
    <t>Officers responded to a domestic disturbance call where they allegedly found the subject with a knife, threatening his wife. Officers discharged their weapons and killed the man at the scene.</t>
  </si>
  <si>
    <t>http://www.everythinglubbock.com/story/d/story/levelland-police-release-name-after-deadly-officer/13185/r_D6-mz1GE2tY0Frp8HpVg</t>
  </si>
  <si>
    <t>Demaris Turner</t>
  </si>
  <si>
    <t>1980 NW 46 Avenue</t>
  </si>
  <si>
    <t>Lauderhill</t>
  </si>
  <si>
    <t>33313</t>
  </si>
  <si>
    <t>Lauderhill Police Department</t>
  </si>
  <si>
    <t>Local police investigating a stolen car found Turner in a Hyundai Genesis. Turner is said to have rammed "the marked K-9 vehicle with the officer and his K-9 partner inside," and he was fatally shot.</t>
  </si>
  <si>
    <t>http://www.sheriff.org/posts/post.cfm?id=01726FAD-ED67-AADA-421B-3ED8348F9DB7</t>
  </si>
  <si>
    <t>Robert Francis Mesch</t>
  </si>
  <si>
    <t>http://www.killedbypolice.net/victims/150064.jpg</t>
  </si>
  <si>
    <t>Slaughter Lane and Congress Avenue</t>
  </si>
  <si>
    <t>78745</t>
  </si>
  <si>
    <t>Police got the report of a despondent possibly suicidal man from his wife in Austin, who they located and proceeded to chase for some blocks. The truck came to a stop after spike strips were used and the man was shot and killed by officers in what appears to be "suicide by cop."</t>
  </si>
  <si>
    <t>Tiano Meton</t>
  </si>
  <si>
    <t>Interstate 10</t>
  </si>
  <si>
    <t>Sierra Blanca</t>
  </si>
  <si>
    <t>79851</t>
  </si>
  <si>
    <t>Hudspeth</t>
  </si>
  <si>
    <t>U.S. Border Patrol</t>
  </si>
  <si>
    <t>Meton drove through a West Texas checkpoint without stopping and drove 30 more miles before he stopped. "Four agents approached the vehicle and one of them yelled 'gun,'" the AP reported. Two of the agents fired their weapons at the vehicle. A pistol-shaped pellet gun was recovered from Meton's vehicle.</t>
  </si>
  <si>
    <t>http://www.elpasotimes.com/news/ci_27431545/fbi-releases-name-man-shot-and-killed-by</t>
  </si>
  <si>
    <t>Kristiana Coignard</t>
  </si>
  <si>
    <t>http://www.killedbypolice.net/victims/150063.jpg</t>
  </si>
  <si>
    <t>302 W. Cotton Street</t>
  </si>
  <si>
    <t>75601</t>
  </si>
  <si>
    <t>The teen girl entered the police station presumably to get help. Officers believed she was armed with a gun. She allegedly had a knife and was tasered to no effect. Officers shot and killed her.</t>
  </si>
  <si>
    <t>https://www.wsws.org/en/articles/2015/01/30/polie-j30.html</t>
  </si>
  <si>
    <t>Isaac Holmes</t>
  </si>
  <si>
    <t>http://bloximages.newyork1.vip.townnews.com/stltoday.com/content/tncms/assets/v3/editorial/7/71/771dac67-b4b2-5713-95c1-91997c6fd078/54c16e7195906.image.jpg</t>
  </si>
  <si>
    <t>Marcus Avenue and Cottage Avenue</t>
  </si>
  <si>
    <t>63113</t>
  </si>
  <si>
    <t>Police attempted to make a traffic stop, but the car fled. They located at an intersection and followed it. The car drove down an alley and hit a wall. Holmes got out of the car and pulled out a gun. Officers told him to drop the weapon and when he didn't, they shot him.</t>
  </si>
  <si>
    <t>http://www.latimes.com/nation/la-na-st-louis-police-shooting-20150122-story.html?track=rss&amp;utm_source=feedburner&amp;utm_medium=feed&amp;utm_campaign=Feed%3A+latimes%2Fnews%2Fnationworld%2Fnation+%28L.A.+Times+-+National+News%29</t>
  </si>
  <si>
    <t>Miguel Anguel de Santos-Rodriguez</t>
  </si>
  <si>
    <t>http://bloximages.newyork1.vip.townnews.com/themonitor.com/content/tncms/assets/v3/editorial/2/85/2858d322-b23c-11e4-848b-8f6b364e9b7a/54dbd5d4b9b8a.image.jpg?resize=580%2C760</t>
  </si>
  <si>
    <t>Chapeño Road</t>
  </si>
  <si>
    <t>Roma</t>
  </si>
  <si>
    <t>78584</t>
  </si>
  <si>
    <t>Starr</t>
  </si>
  <si>
    <t>A border patrol agent investigating drug-smuggling allegedly came under fire from the subject and returned fire, killing the man.</t>
  </si>
  <si>
    <t>http://www.valleycentral.com/news/story.aspx?id=1162650#.VSdDUpPZHIU</t>
  </si>
  <si>
    <t>A shootout occurred between a Border Patrol Agent and a suspected smuggler.</t>
  </si>
  <si>
    <t>https://www.facebook.com/KilledByPolice/posts/978838298810974</t>
  </si>
  <si>
    <t>Andrew J. Toto</t>
  </si>
  <si>
    <t>Scobie Pond Road and Julian Road</t>
  </si>
  <si>
    <t>Derry</t>
  </si>
  <si>
    <t>03038</t>
  </si>
  <si>
    <t>Rockingham</t>
  </si>
  <si>
    <t>Derry Police Department</t>
  </si>
  <si>
    <t>An officer responded to a residence after Toto’s wife called 9-1-1 to report her husband as “depressed” and “suicidal.” She reported that he left their home with a shotgun. The officer started toward the residence but found Toto by his truck before arriving there. Toto shot at the officer from about 150 feet away. The officer shot back, killing him.</t>
  </si>
  <si>
    <t>http://nutfieldnews.net/2015/01/police-officer-involved-fatal-derry-shooting/</t>
  </si>
  <si>
    <t>John Ballard Gorman</t>
  </si>
  <si>
    <t>http://www.goheroes.us/uploads/3/1/9/3/31932445/932769.jpg?1421875251</t>
  </si>
  <si>
    <t>3468 Casino Way</t>
  </si>
  <si>
    <t>Robinsonville</t>
  </si>
  <si>
    <t>38664</t>
  </si>
  <si>
    <t>Tunica</t>
  </si>
  <si>
    <t>Mississippi Gaming Commission</t>
  </si>
  <si>
    <t>Gorman was shot during at the Mississippi Gaming Commission office during a training exercise when another agent’s gun discharged accidentally. The agent involved in the shooting has been suspended with pay during the investigation into the shooting. Gorman had been with the MGC for 22 years and had been promoted to Director of Investigations the day before he was killed.</t>
  </si>
  <si>
    <t>http://wreg.com/2015/01/21/mississippi-gaming-officer-shot-in-tunica/</t>
  </si>
  <si>
    <t>Todd Allen Hodge</t>
  </si>
  <si>
    <t>http://3.bp.blogspot.com/-IiJiw1cLpJY/VMKzBgbaFCI/AAAAAAAABV8/eK3YWUbZ4Bk/s400/chu15-0121-HodgeTodd.jpg</t>
  </si>
  <si>
    <t>40200 Clark Dr.</t>
  </si>
  <si>
    <t>Riverside County Sheriff’s Department</t>
  </si>
  <si>
    <t>Todd Hodge was under a house. San Jacinto Police k-9 Handler, Deputy Mark Wallace and his dog, Sultan responded. Sultan was unleashed to the crawl space. Hodge shot Sultan in the neck. Sultan retreated, and was taken to the veterinarian where he died of his injuries. A lengthy stand off began. Later in the evening S.W.A.T. fired tear gas and flash grenades forcing Hodge from under the house. When the subject appeared he was carrying a handgun, at which time officers shot and killed him</t>
  </si>
  <si>
    <t>http://ktla.com/2015/01/23/hemet-man-idd-as-person-who-allegedly-shot-killed-police-k-9-sultan/</t>
  </si>
  <si>
    <t>Paul Campbell</t>
  </si>
  <si>
    <t>https://theologyandcriminaljustice.files.wordpress.com/2015/01/campbell-paul.jpg</t>
  </si>
  <si>
    <t>69 Prospect Hill Drive</t>
  </si>
  <si>
    <t>Weymouth</t>
  </si>
  <si>
    <t>02191</t>
  </si>
  <si>
    <t>Weymouth Police Department</t>
  </si>
  <si>
    <t>Police arrived at a residence and found a woman dead. They encountered her son holding knives and shot him.</t>
  </si>
  <si>
    <t>http://www.necn.com/news/new-england/2-Injured-in-Domestic-Violence-Altercation-289007141.html</t>
  </si>
  <si>
    <t>Carter Ray Castle</t>
  </si>
  <si>
    <t>http://wlex.images.worldnow.com/images/6480680_G.jpg</t>
  </si>
  <si>
    <t>Kentucky 7</t>
  </si>
  <si>
    <t>Gunlock</t>
  </si>
  <si>
    <t>41632</t>
  </si>
  <si>
    <t>Magoffin</t>
  </si>
  <si>
    <t>Kentucky State Police, Magoffin County Sheriff's Office</t>
  </si>
  <si>
    <t>Officers attempted to serve an arrest warrant on Castle. When they arrived at his home, they found him waiting outside where he revealed a gun. officers attempted to negotiate with him and used taser but they didn't work. Castle turned toward the officers with his gun in hand. An officer shot Castle.</t>
  </si>
  <si>
    <t>http://www.lex18.com/story/27884078/magoffin-co-man-dies-after-police-standoff</t>
  </si>
  <si>
    <t>Johnathon Guillory</t>
  </si>
  <si>
    <t>http://www.inmaricopa.com/uploads/media/54befbac0ac79.gif</t>
  </si>
  <si>
    <t>AZ-347 &amp; Cobblestone Farms Dr</t>
  </si>
  <si>
    <t>85138</t>
  </si>
  <si>
    <t>Maricopa Police Department</t>
  </si>
  <si>
    <t>Police went to the Guillory's home after receiving several hang-up 911 calls. They found 32-year-old Johnathon Guillory walking down the street with a weapon. After some sort of confrontation, authorities say two officers felt threatened and shot and killed Guillory.</t>
  </si>
  <si>
    <t>http://www.abc15.com/news/region-central-southern-az/other/suspect-killed-in-police-shooting-in-maricopa-</t>
  </si>
  <si>
    <t>Daniel Brumley</t>
  </si>
  <si>
    <t>http://ak-cache.legacy.net/legacy/images/cobrands/dfw/photos/photo_170707_102243_0_1421699311brumleydaniel_20150120.jpgx?w=130&amp;h=180&amp;option=1&amp;v=0x000000002f30d619</t>
  </si>
  <si>
    <t>1700 NE 36th St</t>
  </si>
  <si>
    <t>76106</t>
  </si>
  <si>
    <t>Brumley stabbed an officer in the leg. The officer then shot and killed Brumley.</t>
  </si>
  <si>
    <t>http://www.star-telegram.com/news/local/crime/article7169225.html</t>
  </si>
  <si>
    <t>Terence Walker</t>
  </si>
  <si>
    <t>http://muskogeenow.com/story_images/1421550186.jpg</t>
  </si>
  <si>
    <t>1800 North 24th Street</t>
  </si>
  <si>
    <t>74401</t>
  </si>
  <si>
    <t>Muskogee Police Department</t>
  </si>
  <si>
    <t>Police responded to domestic disturbance involving a man and woman. The woman was trying to enter a church to attend a wedding but the man, Terence Walker, was outside with a gun and asked the woman to exit the building. When a police officer arrived, Walker reportedly began running from him. While running, an item fell from him and he reached to pick it up, then turned toward the officer. A witness reported that Walker tried to hand them the weapon but they refused to carry it. The officer saw the weapon and shot Walker.</t>
  </si>
  <si>
    <t>http://www.tulsaworld.com/news/crimewatch/muskogee-police-investigating-fatal-officer-involved-shooting-saturday/article_2bf1e887-361b-5fff-b6ee-ff59aedcb466.html</t>
  </si>
  <si>
    <t>Pablo Meza</t>
  </si>
  <si>
    <t>http://www.google.com/url?sa=i&amp;rct=j&amp;q=&amp;esrc=s&amp;source=images&amp;cd=&amp;cad=rja&amp;uact=8&amp;ved=0CAcQjRw&amp;url=http%3A%2F%2Fabc7.com%2Fnews%2Fdowntown-los-angeles-officer-involved-shooting-suspect-identified%2F481010%2F&amp;ei=lBn9VO6lDYLaoASs-4D4Cw&amp;bvm=bv.87611401,d.cGU&amp;psig=AFQjCNHxvopNAZCl_6qQs56WsEWIOuJz_w&amp;ust=1425959697824725</t>
  </si>
  <si>
    <t>E 6th St &amp; Mateo St</t>
  </si>
  <si>
    <t>90021</t>
  </si>
  <si>
    <t>A shirtless man was shooting a gun in the air and waving the gun around in the middle of the street and tried to carjack a car. Police arrived on the scene and ordered him to put the gun down. Meza pointed the gun at police instead and officers shot him.</t>
  </si>
  <si>
    <t>http://www.nbclosangeles.com/news/local/Shooting-Downtown-LA-Saturday-288941271.html</t>
  </si>
  <si>
    <t>Sinthanouxay Khottavongsa</t>
  </si>
  <si>
    <t>http://www.killedbypolice.net/victims/150065.jpg</t>
  </si>
  <si>
    <t>5806 Xerxes Ave N</t>
  </si>
  <si>
    <t>Brooklyn Center</t>
  </si>
  <si>
    <t>55430</t>
  </si>
  <si>
    <t>Hennepin County Sheriff's Office</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</si>
  <si>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</si>
  <si>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</si>
  <si>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Rodney Walker</t>
  </si>
  <si>
    <t>http://bloximages.newyork1.vip.townnews.com/tulsaworld.com/content/tncms/assets/v3/editorial/5/ba/5baa9b34-1bc8-5e35-a2d8-7b4c9888262f/54bb20114e970.image.jpg</t>
  </si>
  <si>
    <t>1000 South Denver Avenue</t>
  </si>
  <si>
    <t>74119</t>
  </si>
  <si>
    <t>Department of Veterans Affairs</t>
  </si>
  <si>
    <t>Witnesses say they saw a domestic disturbance occur blocks from a concert, in which Walker was abusing a woman. An officer witnessed the altercation and tried to intervene. When he approached Walker, the officer said he saw Walker reach for a gun so he shot Walker.</t>
  </si>
  <si>
    <t>12810 Gulf Freeway</t>
  </si>
  <si>
    <t>An off-duty police officer shot and killed a man early Friday morning after he pointed a gun at the officer outside a bar along Interstate 45 in southeast Houston, officials said.</t>
  </si>
  <si>
    <t>http://www.chron.com/houston/article/HPD-shoots-kills-armed-man-outside-SE-Houston-bar-6019879.php</t>
  </si>
  <si>
    <t>Zaki Shinwary</t>
  </si>
  <si>
    <t>Lake Arrowhead Avenue and Great Salt Lake Drive</t>
  </si>
  <si>
    <t>94555</t>
  </si>
  <si>
    <t>Shinwary was reported threatening kids on street with knife.  Officers arrived.  One tasered him; another shot and killed him.</t>
  </si>
  <si>
    <t>http://www.sfgate.com/crime/article/Fremont-police-involved-in-shooting-6021295.php</t>
  </si>
  <si>
    <t>County Road 2718</t>
  </si>
  <si>
    <t>Mabank</t>
  </si>
  <si>
    <t>Van Dandt</t>
  </si>
  <si>
    <t>One suspect was shot dead at the scene after a police chase involving wanted persons that went from Kaufman County to Van Zandt County.</t>
  </si>
  <si>
    <t>http://www.wfaa.com/story/news/crime/2015/01/16/one-shot-3-in-custody-after-kaufman-co-police-chase/21880631/</t>
  </si>
  <si>
    <t>Christina Prestianni</t>
  </si>
  <si>
    <t>300 Hillside Avenue</t>
  </si>
  <si>
    <t>Nutley</t>
  </si>
  <si>
    <t>07110</t>
  </si>
  <si>
    <t>New Jersey State Corrections Department</t>
  </si>
  <si>
    <t>Authorities said they believe Minichini, a corrections officer, shot his live-in girlfriend, and then himself in an apparent murder-suicide.</t>
  </si>
  <si>
    <t>http://www.nj.com/essex/index.ssf/2015/01/corrections_officer_shot_girlfriend_in_apparent_mu.html</t>
  </si>
  <si>
    <t>Kavonda Earl Payton</t>
  </si>
  <si>
    <t>http://images.westword.com/imager/b/original/6280801/2f00/kavonda.earl.payton.facebook.1.565x300.jpg</t>
  </si>
  <si>
    <t>East Sixth Avenue and North Tower Road</t>
  </si>
  <si>
    <t>Payton was involved in an armed robbery. Officers caught up with him and after a short chase Payton left his vehicle with a gun. He ignored officer's orders and was shot and killed.</t>
  </si>
  <si>
    <t>http://www.9news.com/story/news/crime/2015/01/21/man-killed-by-officer-after-chase-identified/22138879/</t>
  </si>
  <si>
    <t>Mario A. Jordan</t>
  </si>
  <si>
    <t>http://media.hamptonroads.com/cache/files/images/1747361.jpg</t>
  </si>
  <si>
    <t>1100 Sir Gawaine Drive</t>
  </si>
  <si>
    <t>Chesapeake</t>
  </si>
  <si>
    <t>23323</t>
  </si>
  <si>
    <t>Chesapeake Police Department</t>
  </si>
  <si>
    <t>Police were called about a suicidal man. When they arrived, the man pointed a rifle at them and allegedly fired. The man was killed at the scene.</t>
  </si>
  <si>
    <t>http://hamptonroads.com/2015/01/man-dies-after-exchange-gunfire-chesapeake-police</t>
  </si>
  <si>
    <t>Donte Sowell</t>
  </si>
  <si>
    <t>http://www.gannett-cdn.com/-mm-/8334042135d7f679c06190b7cdf533ced74a407e/c=15-0-465-600&amp;r=537&amp;c=0-0-534-712/local/-/media/2015/01/16/Indianapolis/Indianapolis/635569969569895596-shoot-suspect.jpg</t>
  </si>
  <si>
    <t>East 38th Street and North Mitthoeffer Road</t>
  </si>
  <si>
    <t>46235</t>
  </si>
  <si>
    <t>Officers made a traffic stop at a gas station. One of the passengers of the car, Donte Sowell got out of the car and ran running toward an apartment complex. An officer chased after the man. When Sowell got to the apartment complex, he turned around and shot at the officer, and the officer returned fire.</t>
  </si>
  <si>
    <t>http://www.theindychannel.com/news/local-news/impd-officer-injured-in-shooting-on-citys-east-side</t>
  </si>
  <si>
    <t>DeWayne Carr</t>
  </si>
  <si>
    <t>http://www.gannett-cdn.com/-mm-/2776121618994ee398c11d3346eae8f929d4ce7c/c=45-0-359-418&amp;r=537&amp;c=0-0-534-712/local/-/media/2015/01/20/Phoenix/Phoenix/635573772136401069-Dewayne-Carr.jpg</t>
  </si>
  <si>
    <t>Chaparral Road and Hayden Road</t>
  </si>
  <si>
    <t>85250</t>
  </si>
  <si>
    <t>Scottsdale Police Department</t>
  </si>
  <si>
    <t>Carr appears to have been driving a car that the police attempted to box in. He rammed the police cars and was shot.</t>
  </si>
  <si>
    <t>http://www.azcentral.com/story/news/12-news/2015/01/20/12-news-shooting-scottsdale-police-ramming/22077173/</t>
  </si>
  <si>
    <t>Jose Ceja</t>
  </si>
  <si>
    <t>2000 Sousa Court</t>
  </si>
  <si>
    <t>Fairfield</t>
  </si>
  <si>
    <t>94533</t>
  </si>
  <si>
    <t>Fairfield Police Department</t>
  </si>
  <si>
    <t>The subject was allegedly drunk and threatening, in his home armed with a knife. He allegedly charged officers when they arrived and was killed at the scene.</t>
  </si>
  <si>
    <t>http://www.dailyrepublic.com/news/crimecourts/police-disturbance-call-leads-to-officer-involved-shooting/</t>
  </si>
  <si>
    <t>Quincy Reed Reindl</t>
  </si>
  <si>
    <t>5800 West 99th Street</t>
  </si>
  <si>
    <t>Bloomington</t>
  </si>
  <si>
    <t>55437</t>
  </si>
  <si>
    <t>Bloomington Police Department</t>
  </si>
  <si>
    <t>Police responded to a call of a suicidal man. When they arrived, they found Reindl outside his residence with a gun. They shot him.</t>
  </si>
  <si>
    <t>http://minnesota.cbslocal.com/2015/01/18/man-killed-in-bloomington-officer-involved-shooting-idd/</t>
  </si>
  <si>
    <t>Nathan Ryan Massey</t>
  </si>
  <si>
    <t>http://www.owensandbrumley.com/sitemaker/memsol_data/2099/1503373/1503373_profile_pic.jpg</t>
  </si>
  <si>
    <t>Becky Sue St</t>
  </si>
  <si>
    <t>Ville Platte</t>
  </si>
  <si>
    <t>70586</t>
  </si>
  <si>
    <t>Evangeline</t>
  </si>
  <si>
    <t>Louisiana State Police Department</t>
  </si>
  <si>
    <t>State Police said it began after 9 a.m. in a trailer park on Becky Sue Road in rural Evangeline Parish when a Massey threatened his girlfriend and neighbors said they heard gunshots. After several hours, a trooper fatally shot Massey when the victim busted a window, screaming that he was going to kill her, Master Trooper Brooks David said.</t>
  </si>
  <si>
    <t>Howard "Robert" Robbins</t>
  </si>
  <si>
    <t>data:image/jpeg;base64,/9j/4AAQSkZJRgABAQAAAQABAAD/2wCEAAkGBxQSEhIPEBIPDxAQFA8QEBQPEBAQDxAPFBQWFhUUFBQYHCggGBolHBQUITEhJSkuLi4uFx8zODMsNygtLisBCgoKDg0OGhAQGiwkHBwsLCwsLCwsLCwsLCwsLCwsLCwsLCwsLCwsLCwsLCwsLCwsLCwsLCwsLCwsLCwsKywsLP/AABEIARMAtwMBIgACEQEDEQH/xAAbAAACAgMBAAAAAAAAAAAAAAAEBQADAQIGB//EAEEQAAICAQIDBgQEAwUFCQAAAAECAAMRBCEFEjEGEyJBUWEyQnGBFJGhsSNy8DNSYsHRU2ODkvEHFhclNIKTsuH/xAAaAQACAwEBAAAAAAAAAAAAAAAAAwECBAUG/8QAJBEAAwACAgICAgMBAAAAAAAAAAECAxESIQQxIkFRYRMycQX/2gAMAwEAAhEDEQA/APcZJJIASSSSAEmJJgmAGZjM0LTQvAC0tMc0oNk0NsjZOgnnk54IbpjvobDQbzTIaCLdN1shsNBOZnMpDzcNJIN5magzMAMySSQAkkkkAJJJJACSSSQAkxIZoxgBkmVs81d4PZbIJ0WPZKHug9t0Dt1Eq2WSDmvlLaiLn1MofVSroupGh1Mx+JiY6qY/FSORPEepqYRXfOer1ULq1MnkRxHyWy5HierUQuq6SmVcjNWm4MErslyNL7KNF8zNAZsJJBmSSSAEkkkgBJiSYJgBhjKXabO0FtskEpGLbIDffJqLos1F8o2XSN79RALdTKbr4DZfFuhsyFvqINZqIM10payL5DeIS18nfxdZdN+VvQwVBoYJqIZRqYj5yJdRdJ2V0dNRqIfTdOZqvMZaXUSVRDk6Km2GV2RJRdD6bY1MVUjRGloMDqeEq0YmLaLRMzUGZklTMkkkAMGVsZsxlNjQJK7WgGosl97xbqbItsvKB9TbFGouhOpsirUWRTodMlV1kGZ5LGjvs5wvnYWONgdgfOUXyei9NQtlXD+z72DmbKA7jbcxpT2UTYsXP1wBOlrUAATeNUyvoyvLb+xK3Bqxt3aEfyKZsdGnQqB9gI1b/MSMgPX9ZfaKdnMcS4IGHgPKd/lBzOY1ejatsEMfflOJ2HaXjA0ncZrLpfZ3RYMFFZ23Ix6E/lOS4l2ia0laqtgcAgNbzfQqMSlSma8MZGtpdFddsP090Qae58kWKynqMjpGVVkQ+nobo6LT3Rlp7Zz+ltjTTvLzQupHtNkNqaKNO8YUtHpiKQepm4lCNLQZdC2byTEkkgrcwa1pe5gd5lWyyQJqHirVWQ7UGKtU0TTHzIDqbIvsMLtgtgmeqNEyY0Gl7x8eQGT7Cdzo0CqoUdB5zkOE2hXYlggKkZJA6+U6eriSdAS52+HxRuN/Ey+R/fQ2QywGK11+eiMMf3iJo/FW6Ko/fEvy0K4jYib4nPW8a7vHfHkB+cAcg/m9Ibp9RzjmrsFi+qMrD9JKpMGtBWs0iOOV1DD38j6j0PvOA1fY27nK02NVSpYITaSGQ4ILID8QJZfoonbsGPUt+cqOnPq//MZI3HmrH6OIt7PNQVbvQwKBLMJu2OjdeuYONjidjq+HFvmP6mc7ruF2KS2zD/CDmUyS36GRm2/kV0WRnpr4kzjr1hWm1EQmOaOl0duY1pecvpNRvHWluj5YikO6mhCGL6XhlbRyYhoIEkwsxLlCiwwO8wu2BXRVMbKF+oMWagRnqBALVma6NcSLXSVPXD2rlNyeE/QzNVGmZFem06uz848OV/8A2dQuqC15XAUA4GNpzGjr3AyCS2ceYGfON9Tbisjpk4x/hyM/5zbK1BzK+WQotsUqbbS4BJ5Qm30/aC1c+QGyuegOCceU11Ol7160NjJWqs55ersCPAPTOYbpKfPoRsFJzgffzlFs6X8cta0V2V52bf28se8W6zshSG73TNbpb+uam8BPup2jjT15Y5PT184bcmFLDBPtL6K48aRxmq4txfSjKtVqq1B3asE8o9cYMV/+LusXZ9LpSf5rVnQ8WuJPL++cfecZxLSvbZ3a11OeuVUrge8vNMXl8efpBl3/AGuaxtlp0ifax/3IlnEO0vFgOZwFQ4INNSMuCMjzJH3nOcV4G9NtdHLz22gMqoCcDPnPQNBTYKkW45tC4Yj2heRTOxSw7ricro+0lzH+KwcH1UD9p03D7udecdM4+8w1QJ8Sqfqol9bFdgAB6AYEzu5oasdIYaVo70lkQUPG2kaWli6k6PSvGFRifSNGtLTRLM1IMUyTVDMxgspsgd0Msgtgme2aIQvvWCMkY2LBmWZLZshAdle0Hvq8J+kYkSu1NjED0c9wZFBZm65OPzhF9neOM9B+0S22HnbBPUgY9MxppNvfP6Tou/ikYsOL5OmbKpBZSviHwnyK+RmtSlB4j13yTk+37xjfVzoCrcjruDjPTyPtFb1HGWIZifoB9JCWzXWTighLiemwznPrDa7sgg9P3ETI+Dg4AG2/nDabgOp6+XnLNlMdddlGvoBBwMA5ifQKqWcu2Wzn+UCOOIWkDlUF3fIVR6/6RVXwO4c1pteq1/DlOXwqOignP9GR+x38srpjSkAWjYfxF5QepwMkfTzhOo03pFPB67XcIQcpjndtj+Q69Os6myqY/IrtIFxb2vs5zuPUdJr3UaGnfrtKbE3ilYOCmmuNNMILUm8PoWaIoRcjHSRpRFumWMqJrhmK0GJJIkkchDK3g9ghLyhxM9j4YLYIO6wpxKmWZKNMsFYRHxri3IxoGQ5XI8Jxj6zobU2gepoDjDoGHuNx9JbFiVdsplzuXo4tU3z6n/rGGmsyNtsdIdquD9TXv58px+QMXlOTY5BPl9Ze9r2NxZJpdMZ0XbY/rPnNbV2/1gFeo/rpDNJb3gx0843F2ic61Owf8HnJP2mypy5ON/KMlp6gH6zZdID9T99oziZpyaEutNndWNRy99y8ql84G+4B8vrOR03EeIDwOp5+YjxMjIRjIxjfM9Fv0IwRvt09/eAV0536YO32ltEc09tm3ZJHKPZZjmJA29uv7x44lfDawK8L65/OFOMzmZu7ZrxPUoXWJBmpjJ02lBSJ9GlPaBa64ZQJUqQqhI6GKtBunEYUwGgQ+qbMbMORBSSSJJNKMzMOJS4l7CVMIiy8sGcTTll7CaYmWkPVC3i15qQMq85LKuM46+8T29pErsWjUK1DtjBYq9e/TLj4fvGfanHcYYEhnRfD8Weox9wIlp7Phhz6oCxjklc/wwMefqfczX4yXHsy529j0FTuPPfI6EQTX6NHG4GfI+Y+84p+LJpXCaLnspLlTXYSUJB3Gm25iQcj06dJ1mi4il2eQnKnDKwK2IfRlO4j6ja/QmbafXsRavStUcndd8ekpp1bKdvQ7eU6uyoMCCMg9ZyfFtGamyASnkfQ+hmaocdr0dPD5KtcL9jTR8RyDjc9TGuk1inqft/nOI4dRbdctWnUM/x3FmColYOxPr1nSjs/euCFBboDzZCiX5rW2IyRxrSG9lw/OAa64LyqNj1OPea6fhmo35kBI6EN1/OHaHgR5+8uOT6L0zCsspC1LC9DVhd/PpCCkuasDAHQTWc6nttm2XpArrKCsNKSp6ovQ+aKOSX1LMIsvSMgiqLahDKoNWIXWJsxmTIy9JmRJJqRlZGlbS1oPcYmy0lbdcSSs2bj1lPfdf6xMlUPUtlWuwcBsEBgwHuJynbPivKp0yh8Fe8uas+IV52qXHzv0Hn1jfiGt7vmcjmxgKBuWY7ACc5wPQG+/vnbnrqfncg7WarGMD/Cg2+sd4r5IX5U8dBXZzgQRe/sUd5YF5EOcaevqK1B8+mT1JES9peKKHI0/hur5Qb0wcNn+yCj+0YjyPTM6DtdxhqUFdRXvrQxJbpVQo/iWn6AjHrEvZTgYULqnQoV5xp1JJK1t1dh/fYkn22nQT2YfQx4Xx5gqrq0bTsQDzvtW5+vkfPEbampbF+V1P0I/Scr2m7SgE6erlLF+6tZ1JCkj4Kx89nt02gnAuD6ilWetzp2J8NTEWIRj589CfQQaT7LJ6H3C+Gtp9Sb6j4W8LrvkLkfmNp3On1CuAykEHPnvt1nifajjVz2LWPC1LKuazhTawHxH38gJ1vYT8SljLeB3RBYFtrVsOPl/unf9Jmy4Nrf4NEZXvs9EY43lYeYtORKSfP0nObNUztG1jysSu5t9pFOIvfY5TpFmJgibzGJIbNFEtRJriWoIySKZbWIRWJUgl6Ca8ZmtlqzMiyTSjOyEwS4wljtA7vOIyDcaBLT5wc2b7y2wwG843mDIdDHOyu+tWOGAK+585vpEStQlYUIOgXEV8W0jXJ3acnMSD/E5iu38pBnPHs1qkPMvcf8G/UUv9ssV/OavD/qzJ5q1S/wzZwuzUapu+51DN3tgOSgorbFdCnphvib6Rv2o4iKqhSjhL7gVTp/DT57SPIKMmILeLavSuFv7zuiQANR3dhJ2+C6rYf+8ftNa/8AzHVEOoNeAlhxysulG5p9y79SNsDrOhrpI5wR2V4UMDUOecuP4QYZ5EJ+PJ+Z8cxPvBuMcSa9xRpmypYoOVjzXMPjII+GtfmYfSOO1znT1qtRWpHBDH/Z0ovi5B5tjAHvAOGUrpau/wBQqU2MpCAbijTD4UGPmOct6mXWqI7XRZw/s8lCm2x1ZwC5ZhhK/M8uf/sd4Fo+J3ai5Fr7xEHMxBLoOUbB7mXdRuSF89jKdZrLdY4oqXKMOetCcbbAW3+ib7J1Oekf2UVaGsc/PYLMiwjxW3XOMAfoAPIASzXXYL30djprcqFJBZQobHrjrLlOxnFdkuK3WcxtUku/d5ARVXu9sdd8AjfznXMcfScHPDi2jrYWrno1b9pgWTUnzEr5ojZqS2H12Zm8CqsxtDAdpeXsVU6ZmWpKZakfAughIQkHrMISa4M1lqySCSaEJZW8DtMLaB6iJtDsYDYYBqWhl8W6gzDkk342Aa7Wmoc6hSemHJA394qXtmwOG06uPWrUVk/8pwY5qYc3ixjfr0zM6ng+muH8SmmzPqoP6iafE6kyeb3RRR2i09g5HYVs3yXgp7YHMMHr5RWOGNXa2p0aV2d2RmgeEtt4hW4OFyD0IIJHlNuK9kkK93Q5rHlXb/H0/wBAjfCPpiCcL1T8NPdalB3L5YWacs1aEbHKHxAdOmcTd19eznmlOku1eoN96OndtW7LaCa6yu4oqU+fQs3QkbTftHpX1Wurpr8KVVMz2HDLWzHYqvm+BsfKM+0PaDkqS6go4sxykt4ennjc/QbxHwHjHdGx7ua3U3Fe7TArZlwckg/Ag9TLTv1+AZ1Wmpo0VIyVQfM74721/UnqzGctebeI6lQ/Np6aw3MqNl1HlkjYMwP1A+sxRp79e4sZwErcnnZc1VKDgrpx8z4H9odsjbrCk4lRpVeuhQLLOZqkJ2Cj4rbnPQE5OT12l0QF6zUrprdPUgCoGzgdFrwF6D1OPyM6pLgwDA5Bnn3BtHZqH/E3FmHys3hWxt8ci+VYBOM7nOZ1PBtSCvKPlJB38x1nN/6GPpUdHwbW3I3LTQvKjZNGeck6ykLrt3hdVkWV2ec01Gs5eUjzO4z8vr7y8i7hDsGXVmAaW7mUNgjIzg9RL9JZ1DY5gdwPIHpNWMy2tDGuEpBqoUk2wjHZasxMiSPQgqcQTUCGuILcJSkMlirUCK9TG+pWKtSJkuTXjoVaijn8PhHn4l5x+UTa3s9b1qFZPUdw76Z/sckfpHWosK+IY+5wPzgv/eHk+KouP906MfyOJfx9r0L8rs5z8VrNLlrBqAgI/wDVMttZx5LbXgr9WEO1/Ga9XXWly3aWw2J3bIwYdcE13KCv29oy1vaKi1CnLZWx25b6+XOdsDOxgvaTs7Wmmsu05bTvWnefwslGYb/2ZPLn7Tc312c77BKuHjRahLr3qNBVgbSnI3N4SpsA2L7HxADzm/4ZLrbNVayrpSwfcAC6pVwrWsfkz0Tz6wK7jz6iuvTimyy4ivDUMpRwB4iT8vUZBENr7Mam1eV2rTmIxzs1/Io8hVgVjHvmHok34p2lqNf4fTWqz2AoO6Rn5F6BKgNixyN+g85d2c7Kcqrdqgy8pJFDMrqx8nvb52HkNgNvSMKdNpNAoL9292AHfwc5I39cIPYbRRrNZqdbZyVCwUAbgMatO/8ANeBzn6KPvLIhhHGu0aIGroKWMMra4I7vTDoC2Op9FG8r7Nc9SKHVh3nMwFn9oB5c3ucZ+8M4T2TSrx3lb2B5q1ChKaT7KPiP+JsmD8T4sjXrTX4ipJZxg15wfAD5t0JivInljaHePXHImPOeYLwcWSc04Oj0OwlXg2r5LV+YlD1T4lP+kyHiy+koWdbDnIyOhP1jccbYnJWkMtHxRgVyPFjkHkNj6es6DR28zEnbBGfceU5rRV95lzgYxsBuY94OhLY8ts/abZxow3kZ0lMKSDUt5QtRNEoz2zcSTIkjBRowg9qwoylxIaJTFmoSKdSke3pFmpriakfFCK1cHfH3mjaGq3Z0RvsM/pCtXTFFuiJPhxn+Z0P5iUhaZfJ8kV8Q7I0lH7trkJVvCLGNZODgcp6TlaeIW1adabGZEtIUrdmxSCwBau/91aPtSNVXujagD0QDULj6MMxXqtSr6FaX5ix1HKQqc1nKGDEBOvTM1y+jBS7GVFWo/Evfo9PpyhRau+ssKB8cvMQqg824xn2jk8K1Fqcuo1LKDsy6VFqBHpznLfliKqu1K1VrVVQtQQcqjU2iokD0QAsTF44hrtS2KzqlT/dafuav/lsGfuBJ0Rs6LR8B0ukzYQq43Nmoc2N65y/SV6rtdQEZ6ObUhfnQYoB97ThR+cU2dlrbcG166jsSWazV2Z/4nhU/QQ5eC6alQ15FvLvzahgF+yZ5R+UnoBNdxLVa9SqKOQnHLQStHKf9ped2+iD7y/TcMWixAGD3kcnhHLWq4J5UTpj36nMs13aUY7vS1liPCvIu2eg5VUb/AKRG9tlRN1jN3+Qo5sAr9vLzk+00C6aZ2NbHoeo2M3UwHSX8256nBx6EiGKfOcSo1R3ovcplGusZSCPhH7zF9HNg5643Pr6TFthbYgjyhulDEAbEDfoJpxxozZL3szw2vB/0nR8Or3yYv0tEfaOrE1pGNsM0y4xDlg1KQpZfQts2EkgmZJBiaMJZNSIAC2pANRXGjrBrq5RoumINTTFdyYnSX0xXqdPFOR80J/x4T4sgeuM/tOf4fwKvUX2WXBmXJICOyZz0zjfpOh1em/obRV+CsyQjOoPXlbkH3I3lorQvJG+0O6tPptKuQtdQHmd29epyYt1XayrlJr57B68vIv5tgn7CYq7NB8GyzGNyUHjP1dsmMxXpdP0FQfyJAa0/fcxm0Z2jm6tZrdQf4KhKznBVFBx7vZ/ksu0XZEls6lzYzfKrE5Hux6fbEL1naNi3JWgQeTWEjP0RQWP5Re+k1V7b9+qeZLHS0H6qCbD+kuRoccV1dOhpKIFFjAqiqCzM+MDPn+c5XhvALCwv1Q3O4Unct5EgbAe3WONBwyuqzvbDSOTpyrgFvbmJZj7y3X6prjyIrKu3mQ7D1/wj67w2pBTtlNbAv4dwu3tnzjSmuUVaPlGAfF7dB7D2hmlBGzTDc7rZ0sd8Z0YsrH38xCtJpJammB3jHS0R0T0Iuts201Ea0VyvT1Q2tI5IS2bostAmFE2EkqZkkkgBJiZkgBoRKnWXzQiAAVtcBvojZ0lFlco0XTOf1Gmi+2gjpOmtogdumlGhio5yxHO2SP0H+sro4WBnmJGfiFfgB+p6n848fSyptPK7aJ0mCaSiukHkRUz1IG5+p85TrtazDlTIz5keUOOmk/CyvJluEiSnhuWDscY6Hq/2PRftDq6FQcqDA6+pJ94cNPN00sttsrpIBGlzCadKYxp08MTTyZRFUC6bTxhTTN6qYUiRqQpsxWkvUSKs3xLFSTMkkAJJJJACSSSQAkwZmSAGhErZZdMEQAGauUPTDis1KSuiyYsfTyo6eNDXNTVI4llQr/DzH4eMzVMd1I4k8hcNPLF08PWqbiuTxI5AiUQhK5cEm4WToq2VqktCzIEzLFSTMkkAJJJJACSSSQAkkkkAJJJJACTEkkAJMGSSAGJgiYkkEkxMYmZIATEyBJJADYTMkkkgkzJJACSSSQAkkkkAJJJJAD//2Q==</t>
  </si>
  <si>
    <t>50 Stanford St</t>
  </si>
  <si>
    <t>Crab Orchard</t>
  </si>
  <si>
    <t>40419</t>
  </si>
  <si>
    <t>Stanford Police Department</t>
  </si>
  <si>
    <t>Robbins, 69, of Crab Orchard, was walking along KY150 around 9:30 p.m. when a Standford city police cruiser hit him.Troopers said Robbins was wearing dark clothes.</t>
  </si>
  <si>
    <t>http://www.lex18.com/story/27867821/pedestrian-dies-after-police-cruiser-hits-him-in-lincoln-county</t>
  </si>
  <si>
    <t>Marcus Ryan Golden</t>
  </si>
  <si>
    <t>http://extras.mnginteractive.com/live/media/site569/2015/0115/20150115__150115_MarcusRyanGolden_mug_200.jpg</t>
  </si>
  <si>
    <t>261 E. University Ave.</t>
  </si>
  <si>
    <t>55130</t>
  </si>
  <si>
    <t>St. Paul Police Department</t>
  </si>
  <si>
    <t>Police responded to a call at 2:15 a.m. because Golden was allegedly making death threats via text message from a parking lot. Undetermined number of shots fired and gun was found at the scene.</t>
  </si>
  <si>
    <t>http://www.twincities.com/crime/ci_27317397/st-paul-police-investigating-officer-involved-shooting-near</t>
  </si>
  <si>
    <t>Talbot Schroeder</t>
  </si>
  <si>
    <t>40 Cedar Grove Place</t>
  </si>
  <si>
    <t>Old Bridge</t>
  </si>
  <si>
    <t>08857</t>
  </si>
  <si>
    <t>Old Bridge Police Department</t>
  </si>
  <si>
    <t>Police were called to a domestic disturbance at a residence. The Schroeder had cut a family member with the knife and was threatening another family member when officers came into the house. The officers told the man to put down his weapon multiple times. When he didn't, an officer shot him.</t>
  </si>
  <si>
    <t>http://www.nj.com/middlesex/index.ssf/2015/01/never_a_hint_of_trouble_in_old_bridge_home_where_p.html</t>
  </si>
  <si>
    <t>Robert Edwards</t>
  </si>
  <si>
    <t>http://www.killedbypolice.net/victims/150037.jpg</t>
  </si>
  <si>
    <t>500 Sycamore Street</t>
  </si>
  <si>
    <t>Lake Jackson</t>
  </si>
  <si>
    <t>77566</t>
  </si>
  <si>
    <t>Brazoria</t>
  </si>
  <si>
    <t>Lake Jackson Police Department</t>
  </si>
  <si>
    <t>The subject's roommate alerted police that the subject had a gun and had pointed it at him. Police responded and found the subject in his room where he raised the gun at them and they fired and killed him.</t>
  </si>
  <si>
    <t>http://abc13.com/news/man-dead-in-lake-jackson-officer-involved-shooting/474795/</t>
  </si>
  <si>
    <t>Michael T. Goebel</t>
  </si>
  <si>
    <t>https://localtvktvi.files.wordpress.com/2015/01/promo245633054.jpg</t>
  </si>
  <si>
    <t>600 Spring Drive</t>
  </si>
  <si>
    <t>Robertsville</t>
  </si>
  <si>
    <t>63072</t>
  </si>
  <si>
    <t>Louis County Police Department, Jefferson County Police Department, Franklin County Police Department</t>
  </si>
  <si>
    <t>An alleged car thief drove through a garage door and at police officers who shot him dead.</t>
  </si>
  <si>
    <t>http://www.stltoday.com/news/local/crime-and-courts/police-shoot-two-men-one-fatally-during-auto-theft-investigation/article_3ce2cd79-c210-550f-9145-beec26b1fa76.html</t>
  </si>
  <si>
    <t>Louis F. Becker</t>
  </si>
  <si>
    <t>http://bloximages.chicago2.vip.townnews.com/registerstar.com/content/tncms/assets/v3/editorial/f/02/f025e0a0-9dc1-11e4-aa27-3fce899b616a/54b97ac3db8c0.image.jpg</t>
  </si>
  <si>
    <t>Route 23 and Cairo Junction Road</t>
  </si>
  <si>
    <t>Catskill</t>
  </si>
  <si>
    <t>12414</t>
  </si>
  <si>
    <t>Greene</t>
  </si>
  <si>
    <t>New York State Police Department</t>
  </si>
  <si>
    <t>Becker was turning onto a road when he was struck by a police SUV. He died of his wounds at the hospital.</t>
  </si>
  <si>
    <t>http://www.syracuse.com/news/index.ssf/2015/01/upstate_ny_pickup_truck_driver_87_dies_in_collision_with_state_troopers_patrol_s.html</t>
  </si>
  <si>
    <t>Jeffrey R. Nielson</t>
  </si>
  <si>
    <t>http://www.good4utah.com/media/lib/5/1/e/9/1e9a1065-1729-4d01-968e-85be0925a946/Story.jpg</t>
  </si>
  <si>
    <t>120 Honey Berry Ct</t>
  </si>
  <si>
    <t>Draper</t>
  </si>
  <si>
    <t>84020</t>
  </si>
  <si>
    <t>West Valley City Police Department</t>
  </si>
  <si>
    <t>A West Valley police officer on his way to work who asked for back up from Draper police on a possible narcotics arrest shot and killed the suspect when he brandished a knife during the struggle to arrest him.</t>
  </si>
  <si>
    <t>http://www.sltrib.com/news/2057654-155/police-investigating-shooting-in-draper</t>
  </si>
  <si>
    <t>John Edward Okeefe</t>
  </si>
  <si>
    <t>http://main.abqjournal.netdna-cdn.com/wp-content/uploads/2015/01/image3-319x400.jpg</t>
  </si>
  <si>
    <t>2028 San Mateo Blvd NE</t>
  </si>
  <si>
    <t>87110</t>
  </si>
  <si>
    <t>Albuquerque Police Department</t>
  </si>
  <si>
    <t>Police were called at 4:45 p.m. to the 2000 block of San Mateo NE on a report of two suspicious men, with possibly stolen property, on the north side of a business. Responding officers arrived and spotted the two. One was quickly arrested, and Okeefe took off running, according to APD’s report of the events. During the foot chase, he fired at police, who took cover and didn't return fire. He then started running east across San Mateo, and when he started shooting at officers again they returned fire, fatally wounding him, according to police</t>
  </si>
  <si>
    <t>http://www.abqjournal.com/525673/abqnewsseeker/albuquerque-police-investigating-possible-shooting.html</t>
  </si>
  <si>
    <t>Richard McClendon</t>
  </si>
  <si>
    <t>http://www.ksat.com/content/dam/pns/ksat/news/2015/01/13/RICHARD%20BRETT%20MCCLENDON.JPG</t>
  </si>
  <si>
    <t>600 Olive St.</t>
  </si>
  <si>
    <t>Jourdanton</t>
  </si>
  <si>
    <t>78026</t>
  </si>
  <si>
    <t>Atascosa</t>
  </si>
  <si>
    <t>Jourdanton Police Department</t>
  </si>
  <si>
    <t>Officers responded to call from Richard McClendon's mother who said he was having a violent episode, destroying things inside the home and possibly had a shot gun. Officers arrived to McClendon inside the bathroom and they tried to get him to come out. McClendon then confronted the officers with a knife in one hand and a pipe in the other. One of the officers tried to subdue McClendon by tasing him. When that failed, they opened fire on him once, fatally wounding him</t>
  </si>
  <si>
    <t>http://www.kens5.com/story/news/local/2015/01/13/fatal-officer-involved-shooting-in-jourdanton/21697611/</t>
  </si>
  <si>
    <t>Salvador Figueroa</t>
  </si>
  <si>
    <t>N. Eastern and E. Searles Avenue</t>
  </si>
  <si>
    <t>89101</t>
  </si>
  <si>
    <t>Officers were investigating a call involving a man and woman. While officers were investigating, Figueroa fled the area on foot, leading the police on a chase. Police said the man circled back to the parking lot and toward his vehicle, where officers used a stun gun on him. The stun gun wasn't able to subdue the man and Figueroa showed a handgun, prompting an officer to shoot him multiple times.</t>
  </si>
  <si>
    <t>http://www.fox5vegas.com/story/27824351/pd-officer-shoots-kills-man-in-north-las-vegas</t>
  </si>
  <si>
    <t>Brian Barbosa</t>
  </si>
  <si>
    <t>8900 Kauffman Avenue</t>
  </si>
  <si>
    <t>Los Angeles County Sheriff’s Department</t>
  </si>
  <si>
    <t>Police were investigating a carjacking when the suspect, Barbosa, walked by and was spotted by police. He ran from police and attempted to carjack another vehicle. He failed at his second attempt at carjacking and ran into a residential neighborhood. He was spotted by police with a gun and got into a confrontation with officers and was shot.</t>
  </si>
  <si>
    <t>http://ktla.com/2015/01/11/police-fatally-shoot-man-in-south-gate-investigation-underway/</t>
  </si>
  <si>
    <t>Tommy E. Smith</t>
  </si>
  <si>
    <t>http://www.killedbypolice.net/victims/150030.jpg</t>
  </si>
  <si>
    <t>224 Circle Dr</t>
  </si>
  <si>
    <t>Arcola</t>
  </si>
  <si>
    <t>61910</t>
  </si>
  <si>
    <t>Arcola Police Department</t>
  </si>
  <si>
    <t>Arcola police shot and killed Smith, who confronted them with guns as they responded to a domestic dispute Sunday night.</t>
  </si>
  <si>
    <t>http://www.news-gazette.com/news/local/2015-01-12/arcola-man-shot-and-killed-police-domestic-dispute.html</t>
  </si>
  <si>
    <t>Jimmy Foreman</t>
  </si>
  <si>
    <t>422 SE 3rd Street</t>
  </si>
  <si>
    <t>England</t>
  </si>
  <si>
    <t>72046</t>
  </si>
  <si>
    <t>England Police Department</t>
  </si>
  <si>
    <t>Foreman killed his son. When officers arrived, Foreman did not comply with officer's orders to drop his weapon so they shot and killed him.</t>
  </si>
  <si>
    <t>http://www.arkansasmatters.com/story/d/story/officer-involved-shooting-in-england-state-police/96378/ANJj1t23D0-js2QVUl5OmA</t>
  </si>
  <si>
    <t>Thomas Hamby</t>
  </si>
  <si>
    <t>http://www.killedbypolice.net/victims/150031.jpg</t>
  </si>
  <si>
    <t>2964 W. 2125 South</t>
  </si>
  <si>
    <t>Syracuse</t>
  </si>
  <si>
    <t>84075</t>
  </si>
  <si>
    <t>Davis</t>
  </si>
  <si>
    <t>Syracuse Police Department, Davis County Sheriff's Office</t>
  </si>
  <si>
    <t>A woman called police to report her boyfriend was "acting strangely" and was armed. On arrival, the man came out with a gun and was shot dead by police officers.</t>
  </si>
  <si>
    <t>http://www.deseretnews.com/article/865619452/Syracuse-man-shot-by-police-dies-of-his-injuries-police-say.html</t>
  </si>
  <si>
    <t>Artago Damon Howard</t>
  </si>
  <si>
    <t>http://thumbs.mugshots.com/gallery/images/98/e8/Artago-Damond-Howard-mugshot-32435620.400x800.jpg</t>
  </si>
  <si>
    <t>9661 Strong Highway</t>
  </si>
  <si>
    <t>Strong</t>
  </si>
  <si>
    <t>71765</t>
  </si>
  <si>
    <t>Union County Sheriff's Office</t>
  </si>
  <si>
    <t>Police responded to a burglar alrm at a pharmacy. The deputy officer struggled with the suspect and the gun discharged. The man fled but was caught outside where he later died while awaiting an ambulance.</t>
  </si>
  <si>
    <t>James Dudley Barker</t>
  </si>
  <si>
    <t>http://img.deseretnews.com/images/article/midres/1467685/1467685.jpg</t>
  </si>
  <si>
    <t>600 Second Avenue</t>
  </si>
  <si>
    <t>84103</t>
  </si>
  <si>
    <t>Police responded to a suspicious person call and when they approached the man he attacked an officer with a snow shovel. The officer fired multiple shots, killing the man.</t>
  </si>
  <si>
    <t>http://fox13now.com/2015/01/08/man-suffers-multiple-gunshot-wounds-police-respond-to-avenues-neighborhood/</t>
  </si>
  <si>
    <t>Loren Benjamin Simpson</t>
  </si>
  <si>
    <t>http://bloximages.chicago2.vip.townnews.com/billingsgazette.com/content/tncms/assets/v3/editorial/4/00/4007a622-4e2f-58f5-9a2f-dd4669827de0/54c066932f074.preview-620.jpg</t>
  </si>
  <si>
    <t>3618 White Buffalo Road</t>
  </si>
  <si>
    <t>Huntley</t>
  </si>
  <si>
    <t>59037</t>
  </si>
  <si>
    <t>Yellowstone County Sheriff's Office</t>
  </si>
  <si>
    <t>Deputies received multiple calls on a stolen purple Explorer, driven by Simpson. Two deputies pursued him and paused at the head of a dead-end road, where they knew he would have to exit. Simpson threatened them with the vehicle, they opened fire, and fatally shot him. The two deputies involved later resigned from the force.</t>
  </si>
  <si>
    <t>http://missoulian.com/news/state-and-regional/records-offer-new-details-into-fatal-jan-shooting-deputies-remain/article_fde8c24e-292d-5730-a6f1-f554ef114a0a.html</t>
  </si>
  <si>
    <t>Hashim Hanif Ibn Abdul-Rasheed</t>
  </si>
  <si>
    <t>http://www.killedbypolice.net/victims/150016.jpg</t>
  </si>
  <si>
    <t>4600 International Gateway</t>
  </si>
  <si>
    <t>43219</t>
  </si>
  <si>
    <t>Police were called when the illegally parked subject (a Muslim) tried to buy a plane ticket at the Port Columbus airport with a fake ID. As he was discussing the matter with the officers, the suspect drew a knife and lunged at one of them. Another officer opened fire, killing the subject.</t>
  </si>
  <si>
    <t>http://www.nydailynews.com/news/crime/man-armed-knives-killed-police-ohio-airport-cops-article-1.2070141</t>
  </si>
  <si>
    <t>Ronald "Maynard" Sneed</t>
  </si>
  <si>
    <t>http://cdn.abclocal.go.com/content/ktrk/images/cms/010715-ktrk-ron-sneed-img.jpg</t>
  </si>
  <si>
    <t>300 Yaupon Street</t>
  </si>
  <si>
    <t>Freeport</t>
  </si>
  <si>
    <t>77541</t>
  </si>
  <si>
    <t>Freeport Police Department</t>
  </si>
  <si>
    <t>Responding to a domestic disturbance over text messages, an officer found Sneed's door kicked down and found him on top of his girlfriend with a gun which he pointed at the officer. The policeman opened fire, killing Sneed.</t>
  </si>
  <si>
    <t>http://www.finditwestvalley.com/us/unlikely-allies-diffuse-unrest-after-police-shooting-h45858.html</t>
  </si>
  <si>
    <t>Omarr Jackson</t>
  </si>
  <si>
    <t>Lasalle St &amp; Josephine St</t>
  </si>
  <si>
    <t>70113</t>
  </si>
  <si>
    <t>Officer Matthew Bencik and his partner Devin Ashmore stopped to investigate a suspicious vehicle. The Chevrolet Avalanche truck was occupied by two men and a woman, had heavy front-end damage and was smoking from under its hood. Police allege that the driver, 37 year-old Omarr Jackson, fled when asked to step out of the vehicle and fired a handgun at the officers.</t>
  </si>
  <si>
    <t>http://www.wwltv.com/story/news/crime/2015/01/08/nopd-officer-involved-shooting-caught-on-body-camera/21465749/</t>
  </si>
  <si>
    <t>Andre Larone Murphy Sr.</t>
  </si>
  <si>
    <t>http://bloximages.newyork1.vip.townnews.com/omaha.com/content/tncms/assets/v3/editorial/a/5d/a5d3d6fe-981e-11e4-8bb9-9b119903cada/54b0054f5211c.image.jpg</t>
  </si>
  <si>
    <t>1223 Omaha Avenue</t>
  </si>
  <si>
    <t>68701</t>
  </si>
  <si>
    <t>Norfolk Police Department</t>
  </si>
  <si>
    <t>Officer responding to a disturbance call at a Super 8 Motel struggled with Murphy, finally using his taser against the suspect. Murphy died soon after at Faith Regional Health Services in Norfolk, NE.</t>
  </si>
  <si>
    <t>Nicholas Ryan Brickman</t>
  </si>
  <si>
    <t>https://localtvwhotv.files.wordpress.com/2015/01/nicholas-brickman.jpg</t>
  </si>
  <si>
    <t>SE 4th St. and Scott Ave.</t>
  </si>
  <si>
    <t>50309</t>
  </si>
  <si>
    <t>Officers were called to a robbery at a credit union where Brickman had pointed a gun at a teller and took off with cash. While police were heading to the scene, one officer spotted the Brickman’s vehicle and began to pursue him. Brickman abandoned his car and carjacked another. Officers continued pursuing him until Brickman hit a car parked on the street. He left his stolen car behind and ran on foot. Officers continued after him. He pointed a gun at an officer pursuing him and another officer shot him.</t>
  </si>
  <si>
    <t>http://whotv.com/2015/01/07/suspect-shot-following-credit-union-robbery-chase/</t>
  </si>
  <si>
    <t>Joseph Caffarello</t>
  </si>
  <si>
    <t>http://3.bp.blogspot.com/-PzgUw4SlKcE/UWf4eOj4tXI/AAAAAAAAbQ0/n-THIgNEuWw/s1600/aaa.jpg</t>
  </si>
  <si>
    <t>6100 Scott Street</t>
  </si>
  <si>
    <t>Rosemont</t>
  </si>
  <si>
    <t>60018</t>
  </si>
  <si>
    <t>Rosemont Police Department</t>
  </si>
  <si>
    <t>Officer Rick Drehobl, an off-duty Rosemont Police Officer got involved in a domestic incident between his brother-in-law, Joseph Caffarello and his wife. The argument escalated into a car chase where Caffarello allegedly rammed his car into his brother-in-law's, which was carrying Caffarello's wife and his baby son. Officer Drehobl opened fire, killing Caffarello.</t>
  </si>
  <si>
    <t>http://www.dailyherald.com/article/20150107/news/150109140/</t>
  </si>
  <si>
    <t>Brian Pickett</t>
  </si>
  <si>
    <t>1600 East 123rd Street</t>
  </si>
  <si>
    <t>90059</t>
  </si>
  <si>
    <t>Pickett's mother called police to report he was under the influence and had threatened her. When police arrived, Pickett allegedly charged at them and was Tasered by a deputy. He stopped breathing when the paramedics arrived and was pronounced dead at area hospital.</t>
  </si>
  <si>
    <t>Leslie Sapp III</t>
  </si>
  <si>
    <t>https://cbspittsburgh.files.wordpress.com/2015/01/leslie_sapp.jpg?w=770</t>
  </si>
  <si>
    <t>101 Redlyn Street</t>
  </si>
  <si>
    <t>15210</t>
  </si>
  <si>
    <t>Marshals went to serve a rape warrant on the suspect who pointed a pellet gun at the officers and was killed at the scene.</t>
  </si>
  <si>
    <t>http://www.post-gazette.com/local/city/2015/01/06/Police-investigate-possible-shooting-in-Knoxville-Pittsburgh-Marshals-Service/stories/201501060150</t>
  </si>
  <si>
    <t>Patrick Wayne Wetter</t>
  </si>
  <si>
    <t>http://d1t3gia0in9tdj.cloudfront.net/photo/tributes/t/8/r/207x207/2697746/Patrick-Wetter-1421148943.jpg</t>
  </si>
  <si>
    <t>800 Howard St</t>
  </si>
  <si>
    <t>95206</t>
  </si>
  <si>
    <t>Wetter appeared to be intoxicated when he broke into a group home. Officers released a K9 on him when he did not comply with orders. Wetter stabbed the dog. Afterward Wetter reportedly raised his knife in a threatening way towards officers prompting the officers to shoot and kill Wetter.</t>
  </si>
  <si>
    <t>http://stockton-central.news10.net/news/news/411393-suspect-shot-killed-stockton-police-investigation-underway</t>
  </si>
  <si>
    <t>Drugs or alcohol</t>
  </si>
  <si>
    <t>Brock Nichols</t>
  </si>
  <si>
    <t>http://d1t3gia0in9tdj.cloudfront.net/photo/tributes/t/8/r/207x207/2693108/Brock-Nichols-1420713958.jpg</t>
  </si>
  <si>
    <t>2388 E. Kansas Highway 4</t>
  </si>
  <si>
    <t>Assaria</t>
  </si>
  <si>
    <t>67416</t>
  </si>
  <si>
    <t>Saline</t>
  </si>
  <si>
    <t>Saline County Sheriff Department</t>
  </si>
  <si>
    <t>Officers responded to a call from a woman concerned for the safety of her child. The officers arrived at the home of Nichols, who apparently had been drinking in violation of a court order. Nichols needed to go to the bathroom and was being escorted by deputies when he went into a dark room. One officer shot Nichols after turning on the light and seeing Nichols pointing a semi-automatic handgun at him.</t>
  </si>
  <si>
    <t>http://ksnt.com/2015/01/07/kansas-man-dies-after-officer-involved-shooting/</t>
  </si>
  <si>
    <t>Autumn Mae Steele</t>
  </si>
  <si>
    <t>http://www.prughfuneralservice.com/obituaries/uploads/OI804924920_201501091229180001editweb.jpg</t>
  </si>
  <si>
    <t>104 South Garfield Avenue</t>
  </si>
  <si>
    <t>Burlington</t>
  </si>
  <si>
    <t>52601</t>
  </si>
  <si>
    <t>Burlington Police Department</t>
  </si>
  <si>
    <t>Officers reported that they responded to a domestic dispute call, gunfire was exchanged, and one officer was injured, while Steele was killed.</t>
  </si>
  <si>
    <t>Ned Womack</t>
  </si>
  <si>
    <t>Jasper</t>
  </si>
  <si>
    <t>Pickens</t>
  </si>
  <si>
    <t>Pickens County Sheriff's Office</t>
  </si>
  <si>
    <t>Kenneth Arnold Buck</t>
  </si>
  <si>
    <t>http://www.gannett-cdn.com/-mm-/3221a1f017874e5965a167b7473dac7b6b71c14a/c=13-0-388-500&amp;r=537&amp;c=0-0-534-712/local/-/media/2015/01/06/Phoenix/Phoenix/635561464389412912-Kenneth-Buck.jpg</t>
  </si>
  <si>
    <t>E Knox Rd</t>
  </si>
  <si>
    <t>Chandler</t>
  </si>
  <si>
    <t>85225</t>
  </si>
  <si>
    <t>Chandler Police Department</t>
  </si>
  <si>
    <t>Buck was driving westbound on Knox Road when he slid open the truck's rear window and began firing at Chandler officers. Buck then brought the truck to a stop on Knox Road just east of Arizona Avenue and continued firing at officers Chandler police returned fire, striking Buck several times and killing him at the scene.</t>
  </si>
  <si>
    <t>http://www.azcentral.com/story/news/local/chandler/2015/01/06/chandler-police-fatal-shooting-knox-abrk/21327335/</t>
  </si>
  <si>
    <t>Michael Ray Rodriguez</t>
  </si>
  <si>
    <t>http://www.greeleytribune.com/csp/mediapool/sites/dt.common.streams.StreamServer.cls?STREAMOID=7XPJo1uiiyTLtmOdVXO$RM$daE2N3K4ZzOUsqbU5sYvoji2acwq_$FkzZ_K6t6dtWCsjLu883Ygn4B49Lvm9bPe2QeMKQdVeZmXF$9l$4uCZ8QDXhaHEp3rvzXRJFdy0KqPHLoMevcTLo3h8xh70Y6N_U_CryOsw6FTOdKL_jpQ-&amp;CONTENTTYPE=image/jpeg</t>
  </si>
  <si>
    <t>818 31st Street</t>
  </si>
  <si>
    <t>Evans</t>
  </si>
  <si>
    <t>80620</t>
  </si>
  <si>
    <t>Evans Police Department</t>
  </si>
  <si>
    <t>After receiving a call about a man outside with a gun, according to a statement from the Evans Police Department. When police arrived, officers allegedly ordered Rodriguez to drop the gun he was carrying. Rodriguez was shot at 11 times after he reportedly refused the order and raised his gun toward the officers in a threatening manner.</t>
  </si>
  <si>
    <t>http://www.thedenverchannel.com/news/local-news/man-killed-by-officer-outside-pool-hall-in-evans-identified-as-michael-ray-rodriguez</t>
  </si>
  <si>
    <t>Kenneth Brown</t>
  </si>
  <si>
    <t>http://www.killedbypolice.net/victims/150095.jpg</t>
  </si>
  <si>
    <t>300 East Harrison Ave</t>
  </si>
  <si>
    <t>Guthrie</t>
  </si>
  <si>
    <t>73044</t>
  </si>
  <si>
    <t>A trooper made a traffic stop on the subject for allegedly driving without headlights. After asking if he could search the car and being told no, the officer patted the subject down and found a handgun in his waistband. A struggle ensued and the subject was shot, succumbing to his injuries weeks later.</t>
  </si>
  <si>
    <t>http://www.news9.com/story/28012083/guthrie-teen-shot-by-ohp-trooper-dies-from-his-injuries</t>
  </si>
  <si>
    <t>Matthew Hoffman</t>
  </si>
  <si>
    <t>Valencia Street and 17th Street</t>
  </si>
  <si>
    <t>Matthew was shot and killed by San Francisco police outside a police station after brandishing a toy gun.</t>
  </si>
  <si>
    <t>http://www.insidebayarea.com/breaking-news/ci_27257662/san-francisco-police-responding-officer-involved-shooting</t>
  </si>
  <si>
    <t>Michael Kocher Jr.</t>
  </si>
  <si>
    <t>http://policekillings.info/wp-content/uploads/2015/01/michael-kocher.jpg</t>
  </si>
  <si>
    <t>1-2600 Kaumualii Hwy</t>
  </si>
  <si>
    <t>Kaumakani</t>
  </si>
  <si>
    <t>96769</t>
  </si>
  <si>
    <t>Kauai</t>
  </si>
  <si>
    <t>Kauai Police Department</t>
  </si>
  <si>
    <t>Kocher was walking on the roadway at around 9:35 p.m., just east of the Kaumakani Post Office, when he was struck by a Toyota Corolla heading east-bound. The driver stopped and police were called. That’s when a responding officer, also heading east, struck Kocher a second time.</t>
  </si>
  <si>
    <t>http://thegardenisland.com/news/local/he-will-live-forever-in-our-hearts/article_1371c8a8-956b-11e4-9369-efa66231be8e.html</t>
  </si>
  <si>
    <t>John Paul Quintero</t>
  </si>
  <si>
    <t>https://lintvksnw.files.wordpress.com/2015/01/mug-shot-paul-quintero.jpg?w=132&amp;h=150</t>
  </si>
  <si>
    <t>500 N Oliver Ave</t>
  </si>
  <si>
    <t>67208</t>
  </si>
  <si>
    <t>The 23-year-old was shot twice by a Wichita police officer Saturday after reports of a violent disturbance involving a knife in the 500 block North Oliver in east Wichita. Quintero later died at Wesley Medical Center.</t>
  </si>
  <si>
    <t>http://www.kwch.com/news/local-news/officerinvolved-shooting-in-east-wichita/30519640</t>
  </si>
  <si>
    <t>Tim Elliott</t>
  </si>
  <si>
    <t>http://policekillings.info/wp-content/uploads/2015/01/tim-elliott.jpg</t>
  </si>
  <si>
    <t>600 E Island Lake Dr</t>
  </si>
  <si>
    <t>Shelton</t>
  </si>
  <si>
    <t>98584</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</si>
  <si>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</si>
  <si>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</si>
  <si>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Lewis Lee Lembke</t>
  </si>
  <si>
    <t>4519 S.W. Masters Loop</t>
  </si>
  <si>
    <t>97007</t>
  </si>
  <si>
    <t>Deputies responded to a call from the wife of the subject saying he was overdosing on alcohol. Having committed no crime, first responders left only to get a 911 call a few minutes later from his wife saying he was trying to kill her. The subject locked himself in the bathroom with a gun and was fatally shot by police.</t>
  </si>
  <si>
    <t>http://www.oregonlive.com/aloha/index.ssf/2015/01/aloha_man_fatally_shot_by_depu.html</t>
  </si>
  <si>
    <t>https://ionenewsone.files.wordpress.com/2015/01/matthew-ojibade-screenshot.png</t>
  </si>
  <si>
    <t>1050 Carl Griffin Drive</t>
  </si>
  <si>
    <t>Savannah</t>
  </si>
  <si>
    <t>31405</t>
  </si>
  <si>
    <t>Chatham County Sheriff's Office</t>
  </si>
  <si>
    <t>Ojibade's girlfriend called 911 to ask police to take him to the hospital because he was having a manic episode (he had bipolar disorder). Instead, they arrested him and took him to the Chatham County Detention Center. The Sheriff's Office states that he fought officers, so they put him in a restraining chair. He died in the restraining chair after being checked on twice. Further details of his death haven't been released.</t>
  </si>
  <si>
    <t>http://www.dailykos.com/story/2015/01/07/1356072/-Savannah-man-22-year-old-Matthew-Ojibade-dies-in-restraining-chair-while-in-police-custody</t>
  </si>
  <si>
    <t>Roberto Fausto Ornelas</t>
  </si>
  <si>
    <t>39 NorthMarlin Avenue</t>
  </si>
  <si>
    <t>Key Largo</t>
  </si>
  <si>
    <t>33037</t>
  </si>
  <si>
    <t>Monroe County Sheriff's Office</t>
  </si>
  <si>
    <t>A county police spokesperson was quick to deny that the Tasering of Omelas, in his own bedroom in the early morning hours of New Year's Day, had anything to do with his death. He was put in a spit mask, cuffed, hobbled, and forcibly sedated. There was speculation that it might have been some new drug undetectable in blood tests.</t>
  </si>
  <si>
    <t>Garrett Gagne</t>
  </si>
  <si>
    <t>http://media1.s-nbcnews.com/j/newscms/2015_01/830881/150101-garrett-gagne-230p_d6d8c54f430b815cbac38386d787efd3.nbcnews-ux-320-200.jpg</t>
  </si>
  <si>
    <t>Crowell Road and Tipcart Drive</t>
  </si>
  <si>
    <t>02633</t>
  </si>
  <si>
    <t>Barnstable</t>
  </si>
  <si>
    <t>Chatham Police Department</t>
  </si>
  <si>
    <t>An officer was responding to an emergency. The officer ran over a large object, and immediately pulled over. The officer discovered that he'd run over a human body. The victim was fatally wounded. The District Attorney said that Gagne was "seriously impaired" from drugs and alcohol.</t>
  </si>
  <si>
    <t>http://www.masslive.com/news/index.ssf/2015/01/garrett_gagne_of_longmeadow_im.html</t>
  </si>
  <si>
    <t>Kevin Davis</t>
  </si>
  <si>
    <t>Upon hearing shots, Davis became alarmed that his girlfriend’s assailant might have returned with a gun. He retrieved his own gun, proceeded to the front room of his home and was shot twice by Officer Pitts.</t>
  </si>
  <si>
    <t>Eric Tyrone Forbes</t>
  </si>
  <si>
    <t>Northwest Seventh Avenue and 66th Street</t>
  </si>
  <si>
    <t>Miramar Police Department</t>
  </si>
  <si>
    <t>Authorities on Thursday identified Eric Tyrone Forbes, 28, as the man they say fired a gun at police officers in a residential block of Miami’s Liberty City. At least two Miramar officers — who had chased him from Broward County — returned fired and killed Forbes.</t>
  </si>
  <si>
    <t>Martin Sanchez-Juarez</t>
  </si>
  <si>
    <t>2400 Briggs St</t>
  </si>
  <si>
    <t>Norman</t>
  </si>
  <si>
    <t>Norman Police Department</t>
  </si>
  <si>
    <t>The suspect, Martin Sanchez-Juarez, advanced on Glazier with a hammer, after repeated verbal commands to stop. After smashing the passenger-side rear view mirror of a police vehicle with the hammer, Glazier fired her pistol, striking Sanchez-Juarez three times.</t>
  </si>
  <si>
    <t>http://www.normantranscript.com/news/man-in-officer-involved-shooting-deceased/article_0f8b9cf8-906d-11e4-aefb-5be4b0e05c7c.html</t>
  </si>
  <si>
    <t>Mayra Cornejo</t>
  </si>
  <si>
    <t>Compton Boulevard and Willowbrook Avenue</t>
  </si>
  <si>
    <t>Compton</t>
  </si>
  <si>
    <t>Deputies gave the female several commands to drop the gun, however she did not comply. Fearing for the safety of the victim, that the female suspect would shoot and kill him, deputies fired at the female suspect striking her.</t>
  </si>
  <si>
    <t>Kaileb Cole Williams</t>
  </si>
  <si>
    <t>North Reserve Street</t>
  </si>
  <si>
    <t>Missoula</t>
  </si>
  <si>
    <t>Missoula County Sheriff's Office</t>
  </si>
  <si>
    <t>Kaileb was allegedly strangling his girlfriend in the car before the officer fired the lethal shot.</t>
  </si>
  <si>
    <t>http://missoulian.com/news/local/updated-missoula-officer-kills-suspect-after-domestic-violence-call-high/article_3cb67160-90fb-11e4-8cc0-bfd1af592464.html</t>
  </si>
  <si>
    <t>Ernest Lee Erwin</t>
  </si>
  <si>
    <t>Olive Hill</t>
  </si>
  <si>
    <t>Troopers and deputies saw the male with a handgun assaulting a female resident. The male then fired the handgun through a window toward officers. That is when we're told a Kentucky State Trooper fired one shot at the male, killing him.</t>
  </si>
  <si>
    <t>http://www.wowktv.com/story/27741437/a-domestic-violence-call-turns-into-fatal-officer-involved-shooting-in-carter-county-ky</t>
  </si>
  <si>
    <t>Marinan Reese</t>
  </si>
  <si>
    <t>Violent collision with his patrol car and Marinan Reese's car.</t>
  </si>
  <si>
    <t>http://www.koco.com/news/officer-involved-in-fatal-car-crash-faces-misdemeanor-charges/31027194</t>
  </si>
  <si>
    <t>Jerame C. Reid</t>
  </si>
  <si>
    <t>http://media.nj.com/cumberland_impact/photo/jerame-c-reidjpg-94f859a88084d03d.jpg</t>
  </si>
  <si>
    <t>South Ave. and Henry St.</t>
  </si>
  <si>
    <t>Bridgeton</t>
  </si>
  <si>
    <t>08302</t>
  </si>
  <si>
    <t>Bridgeton Police Department</t>
  </si>
  <si>
    <t>Victim was exiting car with hands raised when he was shot by police - caught on dash cam video</t>
  </si>
  <si>
    <t>http://patch.com/new-jersey/tomsriver/video-cop-shooting-man-raised-hands-stirs-anger-south-jersey</t>
  </si>
  <si>
    <t>Joseph Anthony Pacini</t>
  </si>
  <si>
    <t>Drexel Hill</t>
  </si>
  <si>
    <t>Haverford Police Department</t>
  </si>
  <si>
    <t>A man was shot dead by police after they say he tried to run over several officers in Drexel Hill, Delaware County Tuesday night.</t>
  </si>
  <si>
    <t>Robert Earl Lawrence</t>
  </si>
  <si>
    <t>http://tftppull.freethoughtllc.netdna-cdn.com/wp-content/uploads/2015/01/Robert-Earl-Lawrence-800x430.png</t>
  </si>
  <si>
    <t>295 Jerry Drive</t>
  </si>
  <si>
    <t>Dothan</t>
  </si>
  <si>
    <t>36303</t>
  </si>
  <si>
    <t>Dothan Police Dept</t>
  </si>
  <si>
    <t>Lawrence, was attempting to turn over a stray animal at the Dothan City Animal shelter at around 12:30 p.m., but he allegedly became disorderly after he was told he couldn't leave the animal without showing identification. The shelter called police, an altercation ensued, and the deceased was shot once in the abdomen by the police officer.</t>
  </si>
  <si>
    <t>http://www.al.com/news/montgomery/index.ssf/2014/12/man_shot_by_dothan_police_offi.html#comments</t>
  </si>
  <si>
    <t>Timothy Edward West</t>
  </si>
  <si>
    <t>http://www.gannett-cdn.com/-mm-/286e085351884640997b3cf722cc4ec727327af1/c=0-1-258-345&amp;r=183&amp;c=0-0-180-238/local/-/media/2014/12/30/WTLV/WTLV/635555510586099023-momdad.PNG</t>
  </si>
  <si>
    <t>Old Moultrie Road and Kings Estate Road</t>
  </si>
  <si>
    <t>St. Augustine</t>
  </si>
  <si>
    <t>St. Johns County Sheriff’s Office</t>
  </si>
  <si>
    <t>Timothy Edward West emerged from the home with a shotgun. West pointed his gun at Sgt. Priester and Deputy Butler and they shot him several times, killing him.</t>
  </si>
  <si>
    <t>Robert Battaglia</t>
  </si>
  <si>
    <t>Good View Drive</t>
  </si>
  <si>
    <t>Paradise</t>
  </si>
  <si>
    <t>Butte</t>
  </si>
  <si>
    <t xml:space="preserve">Butte County Sheriff’s Office </t>
  </si>
  <si>
    <t>Knife-wielding suspect charged at deputies. Deputies shot him.</t>
  </si>
  <si>
    <t>Thomas Monts Jr.</t>
  </si>
  <si>
    <t>Safford</t>
  </si>
  <si>
    <t>Dallas County Sheriff's Department</t>
  </si>
  <si>
    <t xml:space="preserve">Thomas Monts Jr., was shot and killed during a shootout in Safford Monday morning after deputies responded to a domestic dispute call at his ex-wife's home. </t>
  </si>
  <si>
    <t>http://www.wsfa.com/story/27723843/sbi-investigating-fatal-officer-involved-shooting-in-dallas-county</t>
  </si>
  <si>
    <t>David Andre Scott</t>
  </si>
  <si>
    <t>5959 Fort Caroline Rd</t>
  </si>
  <si>
    <t>Daniel Gray</t>
  </si>
  <si>
    <t>1200 Oxbow Dr.</t>
  </si>
  <si>
    <t>Dewey</t>
  </si>
  <si>
    <t>86327</t>
  </si>
  <si>
    <t>Yavapai County Sheriff</t>
  </si>
  <si>
    <t>Gray was reported in by relative as suicidal, and armed with a gun. When deputies arrived, Gray refused to put gun down, and threatened two deputies with gun. Gray was shot by Deputy White, and transported to Yavapai Regional Medical Center, where he later died from his injury.</t>
  </si>
  <si>
    <t>http://dcourier.com/main.asp?SectionID=1&amp;SubSectionID=1086&amp;ArticleID=140129&amp;TM=48353.26</t>
  </si>
  <si>
    <t>Nicholas McGehee</t>
  </si>
  <si>
    <t>http://local.sltrib.com/charts/shootings/images/thumbs/35.jpg</t>
  </si>
  <si>
    <t>Aberdeen Lane and Merion Drive</t>
  </si>
  <si>
    <t>Stansbury Park</t>
  </si>
  <si>
    <t>84074</t>
  </si>
  <si>
    <t>Tooele</t>
  </si>
  <si>
    <t>Tooele County Sheriff's Office</t>
  </si>
  <si>
    <t>A deputy and a Utah Highway Patrol trooper went to a Stansbury Park home on a report that McGehee had cut his foot and needed medical help. But through a window they saw a man holding a shotgun, investigators said. At some point, McGehee’s wife came out of the house. McGehee followed, holding a handgun, investigators said. After ignoring two or three commands to put the gun down, McGehee allegedly pointed the gun at the deputy, who fired three times on McGehee, killing him. McGehee, a U.S. Army staff sergeant, was awarded a Purple Heart after twice being hit by IEDs in Iraq. He suffered from post-traumatic stress disorder, his family said.</t>
  </si>
  <si>
    <t>http://www.sltrib.com/news/1938044-155/shootings-by-police-vastly-underreported-in</t>
  </si>
  <si>
    <t>Matthew McCloskey</t>
  </si>
  <si>
    <t>495 Demott Ln</t>
  </si>
  <si>
    <t>Franklin Township Police </t>
  </si>
  <si>
    <t>A young boy on his way to a sleepover was struck and killed by a police cruiser while crossing the street with friends in Franklin Township, New Jersey.</t>
  </si>
  <si>
    <t>http://6abc.com/news/child-fatally-struck-by-police-cruiser-in-franklin-twp/453560/</t>
  </si>
  <si>
    <t>Craig Schiffer</t>
  </si>
  <si>
    <t>Main St</t>
  </si>
  <si>
    <t>Suffolk County police say that a squad car with two officers aboard was responding to an emergency call on Long Island when it struck a pedestrian who later died.</t>
  </si>
  <si>
    <t>http://www.nbcnewyork.com/news/local/Pedestrian-Hit-by-Suffolk-County-Police-Car-Dies-286954831.html</t>
  </si>
  <si>
    <t>Darren Robert Kindgren</t>
  </si>
  <si>
    <t>94 Meadow Drive</t>
  </si>
  <si>
    <t>Holly Pond</t>
  </si>
  <si>
    <t>Cullman</t>
  </si>
  <si>
    <t>Cullman County Sheriff's Office</t>
  </si>
  <si>
    <t>When he came back outside, he was armed with an "edged weapon," and he ran toward the deputies. They warned him to stop several times, and when he drew near they tried to use a taser, then deadly force was used.</t>
  </si>
  <si>
    <t>Quentin Smith</t>
  </si>
  <si>
    <t>School Street and Pineda Street</t>
  </si>
  <si>
    <t>On Friday, deputy Richard Clements spotted Smith at an apartment complex on School and Pineda streets and called out to him, according to Ivey. Smith went into an apartment and threatened Clements with a gun, at which point Clements fired, killing Smith, Ivey said.</t>
  </si>
  <si>
    <t>Carlton Wayne Smith</t>
  </si>
  <si>
    <t>6204 Texas Ave</t>
  </si>
  <si>
    <t>Texas city</t>
  </si>
  <si>
    <t>Galveston</t>
  </si>
  <si>
    <t>Texas City Police Department</t>
  </si>
  <si>
    <t>Smith was shot five times after police said he was seen firing into a crowd outside H.T.'s Lounge early Friday morning.</t>
  </si>
  <si>
    <t>John Hebebrand</t>
  </si>
  <si>
    <t>http://woio.images.worldnow.com/images/6305071_G.jpg</t>
  </si>
  <si>
    <t>600 Archer Rd</t>
  </si>
  <si>
    <t>Bedford</t>
  </si>
  <si>
    <t>Bedford Police Department</t>
  </si>
  <si>
    <t>Bedford Police say the male resident causing the disturbance confronted officers. Officers say John Hebebrand, 43, admitted to having a weapon and kept reaching behind his back. In response, police say Hebebrand was first tased in an effort to get the situation under control. According to police, the taser was ineffective and he brandished a knife as he moved toward the officers. An officer then shot Hebebrand.</t>
  </si>
  <si>
    <t>Terrance Gilbert</t>
  </si>
  <si>
    <t>http://d1t3gia0in9tdj.cloudfront.net/photo/tributes/t/8/r/207x207/2686159/Terrance-Gilbert-1420664057.jpg</t>
  </si>
  <si>
    <t>400 East Marquette Road</t>
  </si>
  <si>
    <t>60637</t>
  </si>
  <si>
    <t>Officers responded to a call about a man threatening suicide. When they arrived Gilbert charged at officers with a knife, stabbing one officer in the vest. Gilbert started walking away, and officers went after him asking him to put down the knife. He ran at the officers again with the knife and was shot twice.</t>
  </si>
  <si>
    <t>http://chicago.suntimes.com/news-chicago/7/71/235659/cops-man-shot-police-lunching-officers-knife</t>
  </si>
  <si>
    <t>Omar Rodriguez</t>
  </si>
  <si>
    <t>Calhoun Street and Shadowrock Drive</t>
  </si>
  <si>
    <t>Coachella</t>
  </si>
  <si>
    <t>Rodriguez reportedly fought with the deputy who was in the area responding to a report of a "suspicious person" in the area. Rodriguez allegedly tried to take the deputy's baton and that's when she shot him.</t>
  </si>
  <si>
    <t>http://www.kesq.com/news/officer-involved-shooting-in-coachella/30399260</t>
  </si>
  <si>
    <t>Francisco Manuel Cesena</t>
  </si>
  <si>
    <t>720 E San Ysidro Blvd</t>
  </si>
  <si>
    <t>As agents attempted to take the male into custody, he jumped over the processing counter and attacked an agent. One agent used his Taser in an attempt to stop the male’s combative behavior. The male became unresponsive and stopped breathing.</t>
  </si>
  <si>
    <t>http://timesofsandiego.com/crime/2014/12/24/man-dies-tasered-fight-border-patrol/</t>
  </si>
  <si>
    <t>Gregory Marcus Gray</t>
  </si>
  <si>
    <t>2200 16th Street NE</t>
  </si>
  <si>
    <t>Police said Gray robbed two men at gunpoint at a bus stop in Southeast on Wednesday afternoon, and he matched the description given to officers who saw him a few minutes later and gave chase. Officers cornered him in a grassy cut between apartment buildings off Naylor Road and fired on him after they say he turned and shot at them.</t>
  </si>
  <si>
    <t>http://www.washingtonpost.com/local/person-is-shot-in-southeast-dc/2014/12/24/507f3a78-8bac-11e4-8ff4-fb93129c9c8b_story.html</t>
  </si>
  <si>
    <t>Robert J. Jenkins</t>
  </si>
  <si>
    <t>Highway 101</t>
  </si>
  <si>
    <t>Reedsport</t>
  </si>
  <si>
    <t>Reedsport Police Department</t>
  </si>
  <si>
    <t>An off-duty officer from the Oregon Department of Justice stopped and approached Jenkins, armed with a handgun, in his car. He was followed by a Reedsport Police officer and two Douglas County Sheriff's deputies. During their interactions with Jenkins, Oregon State Police say the Reedsport officer fired at him.</t>
  </si>
  <si>
    <t>Khamis Shatara</t>
  </si>
  <si>
    <t>320 Franklin Club Dr</t>
  </si>
  <si>
    <t>Delray Beach</t>
  </si>
  <si>
    <t>Palm Beach</t>
  </si>
  <si>
    <t>Shatara is the son of the deputy involved and believe the incident was domestic-related</t>
  </si>
  <si>
    <t>http://www.wptv.com/news/region-s-palm-beach-county/delray-beach/off-duty-palm-beach-county-sheriffs-deputy-involved-in-delray-beach-shooting</t>
  </si>
  <si>
    <t>http://d1t3gia0in9tdj.cloudfront.net/photo/tributes/t/8/r/207x207/2686234/Ned-Womack-1420565871.jpg</t>
  </si>
  <si>
    <t>1195 Bethany Road</t>
  </si>
  <si>
    <t>30143</t>
  </si>
  <si>
    <t>Pickens Sheriff's Office</t>
  </si>
  <si>
    <t>Pickens Sheriff's Office were dispatched to a residence located in the Bethany Moorings area in Pickens County on Christmas Eve. The deputies arrived at the residence and encountered a man with a gun in the yard of the residence. The man fired his weapon at the deputies and they returned fire, striking the suspect.</t>
  </si>
  <si>
    <t>Antonio Martin</t>
  </si>
  <si>
    <t>http://images.christianpost.com/full/79548/antonio-martin.jpg</t>
  </si>
  <si>
    <t>6800 North Hanley Road</t>
  </si>
  <si>
    <t>Berkeley</t>
  </si>
  <si>
    <t>Berkeley Police Department</t>
  </si>
  <si>
    <t>Police say Officer Andrew Weusthoff was conducting a routine business check at a gas station when he saw two men and approached them. One of the men allegedly pulled a handgun and pointed it at the officer. The officer fired several shots, striking and fatally wounding the man. Protesters dispute whether the man had a gun and point out that the officer had a body camera but was not wearing it at the time.</t>
  </si>
  <si>
    <t>James Arlen Monroe Jr.</t>
  </si>
  <si>
    <t>2804 Kathryn Ave</t>
  </si>
  <si>
    <t>James Monroe was shot and killed by Lakeland police officers Monday night after a five-hour standoff. James had just killed his wife.</t>
  </si>
  <si>
    <t>http://www.theledger.com/article/20141223/NEWS/141229713</t>
  </si>
  <si>
    <t>Jose Salas</t>
  </si>
  <si>
    <t>Espina St and Colorado Ave</t>
  </si>
  <si>
    <t xml:space="preserve">Las Cruces Police Department </t>
  </si>
  <si>
    <t>After about an hour and a half, the man in the storm drain emerged there, where he was shot and killed by authorities.</t>
  </si>
  <si>
    <t>http://www.lcsun-news.com/las_cruces-news/ci_27188392/breaking-lcpd-responds-apparent-officer-involved-shooting</t>
  </si>
  <si>
    <t>Austin Leake</t>
  </si>
  <si>
    <t>Landgraf Cove</t>
  </si>
  <si>
    <t>When officers responding to a call about a suicide attempt arrived at a home on Landgraf Cove, Leake started shooting at officers. Officers returned fire.</t>
  </si>
  <si>
    <t>http://www.ajc.com/news/news/gunman-dead-after-police-shootout-swat-standoff-in/njYQQ/</t>
  </si>
  <si>
    <t>Timothy Rundquist</t>
  </si>
  <si>
    <t>Highway 54</t>
  </si>
  <si>
    <t>Elbow Lake</t>
  </si>
  <si>
    <t>Minnesota State Police Department</t>
  </si>
  <si>
    <t>After an 11 mile chase, Rundquist's car hit stop sticks and ran head-on into a parked police car.</t>
  </si>
  <si>
    <t>Allen Berly Todd Jr.</t>
  </si>
  <si>
    <t>http://www.gannett-cdn.com/-mm-/7ceb864c11c2f9d12b4d9322a9a140fdda2819cf/c=3-0-357-472&amp;r=537&amp;c=0-0-534-712/local/-/media/2015/01/01/Cincinnati/Cincinnati/635557220828955389-toddnew.jpg</t>
  </si>
  <si>
    <t>Carol Ann Ln</t>
  </si>
  <si>
    <t>Independence</t>
  </si>
  <si>
    <t>41051</t>
  </si>
  <si>
    <t>Kenton County Sheriff's Office, Ludlow Police Department</t>
  </si>
  <si>
    <t>Todd was fleeing officers after being a suspected of robbery. When finally officers found Todd he was armed and did not comply with officers orders, resulting in Todd being shot and killed.</t>
  </si>
  <si>
    <t>http://www.cincinnati.com/story/news/2014/12/22/independence-northern-kentucky-shooting-carol-ann-lane/20758845/?from=global&amp;sessionKey=&amp;autologin=</t>
  </si>
  <si>
    <t>Nicholas Tyson Frazier</t>
  </si>
  <si>
    <t>Deer Lodge</t>
  </si>
  <si>
    <t>Powell</t>
  </si>
  <si>
    <t>Deer Lodge Police Department</t>
  </si>
  <si>
    <t>The officer was inside the home of a suspect who had threatened suicide when he shot and killed the person. Other details are unknown.</t>
  </si>
  <si>
    <t>http://mtstandard.com/news/local/deer-lodge-policeman-involved-in-shooting-death/article_ed696131-c760-518e-87b0-efe49d186270.html</t>
  </si>
  <si>
    <t>James Long</t>
  </si>
  <si>
    <t>http://www.doverpost.com/storyimage/DE/20141221/NEWS/141229971/AR/0/AR-141229971.jpg&amp;MaxW=315&amp;MaxH=315</t>
  </si>
  <si>
    <t>50 Greenway Square</t>
  </si>
  <si>
    <t>Dover</t>
  </si>
  <si>
    <t>Dover Police Department</t>
  </si>
  <si>
    <t>Officers evacuated neighboring residents and went into the apartment, at which point Long reportedly displayed what appeared to be a Colt semi-automatic handgun, he said. Officers later discovered that the weapon was a pellet gun. Officers fired two shots.</t>
  </si>
  <si>
    <t>William Everett Corson</t>
  </si>
  <si>
    <t>11800 Kemper Oaks Court</t>
  </si>
  <si>
    <t>Auburn</t>
  </si>
  <si>
    <t>The man was killed by an officer at around 4 p.m. after firing “hundreds of rounds” during a standoff that lasted more than five hours.</t>
  </si>
  <si>
    <t>Andrew McIlvain</t>
  </si>
  <si>
    <t>http://media.cmgdigital.com/shared/img/photos/2015/01/05/72/59/Port_Orange_police_copy.jpg</t>
  </si>
  <si>
    <t>Dunlawton Avenue at Village Trail</t>
  </si>
  <si>
    <t>Port Orange</t>
  </si>
  <si>
    <t>32127</t>
  </si>
  <si>
    <t>Port Orange Police Department</t>
  </si>
  <si>
    <t>Navy veteran McIlvain was legally riding a "scooter style motorcycle" when he was rear-ended by a speeding local police cruiser, thrown, and seriously injured by the crash. He was taken off life support three weeks after the crash. His family has filed suit.</t>
  </si>
  <si>
    <t>http://www.wftv.com/news/news/local/man-dies-after-being-hit-port-orange-police-office/njgjz/</t>
  </si>
  <si>
    <t>Allen Locke</t>
  </si>
  <si>
    <t>http://d1jrw5jterzxwu.cloudfront.net/sites/default/files/article_media/allen_locke.jpg</t>
  </si>
  <si>
    <t>541 Pahasapa Road</t>
  </si>
  <si>
    <t>57701</t>
  </si>
  <si>
    <t>Pennington County Sheriff's Office</t>
  </si>
  <si>
    <t>Police were dispatched to remove an unwanted person from a house. Locke attacked with a knife, so they shot and killed him.</t>
  </si>
  <si>
    <t>http://indiancountrytodaymedianetwork.com/2014/12/22/native-american-man-who-attended-anti-police-brutality-rally-killed-police-next-day</t>
  </si>
  <si>
    <t>Terrell Beasley</t>
  </si>
  <si>
    <t>http://s27.postimg.org/kej8ctw3n/Terrell_Beasley.png</t>
  </si>
  <si>
    <t>3800 North 25th Street</t>
  </si>
  <si>
    <t>63107</t>
  </si>
  <si>
    <t>As the officer pulled to the curb in the 3800 block of North 25th Street and began to get out of his truck, Irons and Terrell drove alongside and someone in the car shot at the officer. Authorities said the officer returned fire and Terrell Beasley, 28, of the 4000 block of Cleveland Avenue, was killed during the shootout. Beasley's body was found a few hours later in a burning vehicle in the 700 block of Thrush Avenue in the Baden neighborhood. It's unclear whether Terrell was armed or the one who shot the officer.</t>
  </si>
  <si>
    <t>http://www.stltoday.com/news/local/crime-and-courts/recent-parolee-charged-in-shooting-of-off-duty-st-louis/article_da90c18a-2bb0-5767-a467-1ecf1f04d788.html</t>
  </si>
  <si>
    <t>Aaron Martin</t>
  </si>
  <si>
    <t>http://tbo.com/storyimage/TB/20141219/ARTICLE/141219194/AR/0/AR-141219194.jpg</t>
  </si>
  <si>
    <t>3252 Windfield Drive</t>
  </si>
  <si>
    <t>Holiday</t>
  </si>
  <si>
    <t>34691</t>
  </si>
  <si>
    <t>Pasco County Sheriff's Office</t>
  </si>
  <si>
    <t>Martin was suspected of beating his ex-wife and refused to let her and their son out of the house. Deputies entered the home, used a stun gun on him - with no effect - and then Martin charged at a deputies with a wooden stand, prmpting a deputy to shoot and kill him.</t>
  </si>
  <si>
    <t>http://tbo.com/pasco-county/pasco-deputy-shoots-man-during-domestic-call-20141219/</t>
  </si>
  <si>
    <t>Joshua G. Dawson</t>
  </si>
  <si>
    <t>400 W. Union Hills Dr</t>
  </si>
  <si>
    <t>When the second officer showed up, Dawson began throwing knives at him. That officer shot and wounded Dawson. He was taken to a hospital where he later died.</t>
  </si>
  <si>
    <t>Richard Fredrick Tis Mil Estrada</t>
  </si>
  <si>
    <t>http://www.krcrtv.com/image/view/-/30364270/highRes/3/-/maxw/240/-/5acyiy/-/richard-fredrick-estrada-3-jpg.jpg</t>
  </si>
  <si>
    <t>Willow Creek</t>
  </si>
  <si>
    <t>95573</t>
  </si>
  <si>
    <t>Humboldt</t>
  </si>
  <si>
    <t>Gunshot, Taser</t>
  </si>
  <si>
    <t>The boy, who was a Hoopa tribal member, crashed his car into a telephone pole at approx 2 a.m., CHP responded. Officer claims the boy attacked him with a machete, in the midst of a "good conversation." Officer shot him and went back to his car &amp; called for assistance. Second officer came to the scene and found the boy naked &amp; unarmed on the ground, bleeding out from gunshot wound and unresponsive. Tasered him a few times, and between the two officers and the help of two unnamed "good samaritans" they wrestled the boy into handcuffs. He died 10 minutes later, while waiting for an ambulance.</t>
  </si>
  <si>
    <t>http://lostcoastoutpost.com/2014/dec/19/chp-person-shot-and-killed-yesterday-confirmed-be/</t>
  </si>
  <si>
    <t>Brent Krout</t>
  </si>
  <si>
    <t>http://wthr.images.worldnow.com/images/6252453_G.jpg</t>
  </si>
  <si>
    <t>Paragon</t>
  </si>
  <si>
    <t>Morgan</t>
  </si>
  <si>
    <t>Indiana State Police Department</t>
  </si>
  <si>
    <t>When SWAT officers approached the car after a chase, they say Krout obeyed their order to get out. He opened the door, stood up in an aggressive tactical position towards the officers, raised his weapon at SWAT officers and was fired upon.</t>
  </si>
  <si>
    <t>Adam Padilla</t>
  </si>
  <si>
    <t>https://lintvkrqe.files.wordpress.com/2014/12/adam-padilla.jpg?w=510&amp;h=286&amp;crop=1</t>
  </si>
  <si>
    <t>7900 Central Ave SW</t>
  </si>
  <si>
    <t>87121</t>
  </si>
  <si>
    <t>Bernalillo County Sheriff’s Office</t>
  </si>
  <si>
    <t>After deputies pulled over Padilla there was a struggle between them. Deputies believed Padilla had a weapon leading deputies to shoot and kill Padilla. A weapon was recovered from the scene.</t>
  </si>
  <si>
    <t>http://krqe.com/2014/12/17/bcso-traffic-stop-ends-in-gunfire/</t>
  </si>
  <si>
    <t>Henry Castoreno</t>
  </si>
  <si>
    <t>1300 Hillcrest Dr</t>
  </si>
  <si>
    <t>One of the officers spotted the suspect and began chasing him. That's when the officer fired at least once shot. The second officer -- coming from a different direction -- also spotted the man and fired her weapon. Her shot hit the suspect, killing him.</t>
  </si>
  <si>
    <t>http://www.ksat.com/content/pns/ksat/news/2014/12/17/1-injured-in-officer-involved-shooting.html</t>
  </si>
  <si>
    <t>2220 97th Street South</t>
  </si>
  <si>
    <t>A well-known white supremacist was shot and killed after a confrontation with a deputy early Wednesday in Tacoma, investigators said.</t>
  </si>
  <si>
    <t>Cody Robert Healey</t>
  </si>
  <si>
    <t>http://www.gannett-cdn.com/-mm-/10d330ec5257309931739b9eb990b8f817e7f7ab/c=12-0-372-480&amp;r=537&amp;c=0-0-534-712/local/-/media/2014/12/17/Pensacola/Pensacola/635544236649610345-healey.jpg</t>
  </si>
  <si>
    <t>501 Cherokee Trail</t>
  </si>
  <si>
    <t>Pensacola</t>
  </si>
  <si>
    <t>Escambia</t>
  </si>
  <si>
    <t>Escambia County Sheriff's Office</t>
  </si>
  <si>
    <t>Beard tased Healey three times in an effort get him to stop resisting and comply with commands. Officers tased Healey two more times after he escaped them. Soon after, he became pale and died.</t>
  </si>
  <si>
    <t>William R. Osterlind</t>
  </si>
  <si>
    <t>5400 East Mossman Road</t>
  </si>
  <si>
    <t>The gunman then made a move toward the house, and an officer with the tactical unit who was ordered to prevent Osterlind from entering the home fired a single shot from a rifle, Crump said</t>
  </si>
  <si>
    <t>Johnathon Dean (JD) Mar</t>
  </si>
  <si>
    <t>Rice St &amp; I-694</t>
  </si>
  <si>
    <t>Shoreview</t>
  </si>
  <si>
    <t>55126</t>
  </si>
  <si>
    <t>Hennepin County Sheriff's Office, Brooklyn Center Police Department</t>
  </si>
  <si>
    <t>Maple Grove police said they found a man dead of a gunshot wound at a Maple Grove rest stop. An SUV driven by Mar was seen leaving the rest stop. Police said Mar led them on a high-speed chase that ended when Mar crashed into the median of I-694. Mar "emerged from the vehicle with a knife and began repeatedly stabbing himself," according to a statement from the BCA, which added that he "ignored repeated commands from law enforcement to stop and get on the ground." Investigators said that Mar then "charged" officers. Two officers fired.</t>
  </si>
  <si>
    <t>http://www.mprnews.org/story/2014/12/19/i-694-shooting</t>
  </si>
  <si>
    <t>Julius L. Pinson</t>
  </si>
  <si>
    <t>https://cascade.madmimi.com/promotion_images/0855/1636/original/jay2.jpg?1421295539</t>
  </si>
  <si>
    <t>3000 Jeffrey Drive</t>
  </si>
  <si>
    <t>Costa Mesa</t>
  </si>
  <si>
    <t>Costa Mesa Police Department</t>
  </si>
  <si>
    <t>Pinson resisted arrest and pulled out a gun, so the police shot him dead.</t>
  </si>
  <si>
    <t>Andrew Jay Worsfold</t>
  </si>
  <si>
    <t>2nd Avenue and Linn Street</t>
  </si>
  <si>
    <t>Marshalltown</t>
  </si>
  <si>
    <t>Marshalltown Police Department</t>
  </si>
  <si>
    <t>Officers were on routine patrol and encountered this suspect. At some point the suspect produced a handgun and shots were exchanged.</t>
  </si>
  <si>
    <t>Joseph Lilly</t>
  </si>
  <si>
    <t>Treasure Island Rd &amp; I-80</t>
  </si>
  <si>
    <t>94130</t>
  </si>
  <si>
    <t>Motorcyclist Lilly was killed trying to elude pursing officers on the Treasure Island exit in the middle of the Bay Bridge. Lilly had no license plate. After some back-and-forth with police, Lilly miscalculated and crashed into a pole.</t>
  </si>
  <si>
    <t>http://www.sfweekly.com/thesnitch/2014/12/17/joseph-lilly-identified-as-motorcyclist-killed-during-police-chase-on-bay-bridge</t>
  </si>
  <si>
    <t>Brandon Tate Brown</t>
  </si>
  <si>
    <t>6600 Frankford Avenue</t>
  </si>
  <si>
    <t>Police claim man was reaching for a loaded handgun when officers opened fire. "I would like to know why the police, law enforcement, has the right to kill instead of disabling," the victim's mother Tanya Dickerson said. "It has to stop, this is enough already."</t>
  </si>
  <si>
    <t>Xavier McDonald</t>
  </si>
  <si>
    <t>Murfreesboro Road</t>
  </si>
  <si>
    <t>A 16-year-old robbery suspect was shot and killed by police in Nashville when he opened fire on officers who tried to use a stun gun to subdue him, authorities said.</t>
  </si>
  <si>
    <t>Dennis Grisgby</t>
  </si>
  <si>
    <t>2700 Page Street</t>
  </si>
  <si>
    <t>Bowie</t>
  </si>
  <si>
    <t>Texarkana, Texas Police Department</t>
  </si>
  <si>
    <t>A caller said an unknown man was inside her garage and was trying to break a window to get inside her home. The officer arrived at the home and found 35-year-old Dennis Grigsby, a mentally-ill man, inside the woman’s garage. Police allege that Grigsby made an “aggressive” move toward the officer while carrying a spoon, prompting the officer to shoot Grigsby.</t>
  </si>
  <si>
    <t>http://www.arklatexhomepage.com/story/d/story/man-killed-in-officer-involved-shooting/87405/svnKdP8IhEqytXmsg3NyVA</t>
  </si>
  <si>
    <t>Sandra Simpson</t>
  </si>
  <si>
    <t>400 Crenshaw Drive</t>
  </si>
  <si>
    <t>A sergeant shot his wife before turning the gun on himself in a murder suicide. Midland Police say Sgt. Simpson most recently worked in the traffic division and had been employed with the department for more than nine years, also serving patrol and K-9 assignments throughout his career.</t>
  </si>
  <si>
    <t>Michael D. Sulton</t>
  </si>
  <si>
    <t>Highway 51 at Main Street</t>
  </si>
  <si>
    <t>Ridgeland</t>
  </si>
  <si>
    <t>Ridgeland Police Department</t>
  </si>
  <si>
    <t>Officers said Sulton rammed a patrol car, then got out and ran. Investigators said Sulton turned around and began firing at police. Three officers from Ridgeland and one from Madison returned fire, killing Sulton, according to police.</t>
  </si>
  <si>
    <t>Daniel Torres</t>
  </si>
  <si>
    <t>901 Black Cherry Drive</t>
  </si>
  <si>
    <t>St. Johns County Sheriff's Office</t>
  </si>
  <si>
    <t>Deputies approached this individual, who was attempting to go through the front window of the residence. At this point in time there was a confrontation between the two, and the deputy fired four or five times. Deputies claim the suspect had something in his hand.</t>
  </si>
  <si>
    <t>http://www.actionnewsjax.com/news/news/local/one-person-dead-shooting-st-johns-county/njSMd/</t>
  </si>
  <si>
    <t>Charles Gluchacki</t>
  </si>
  <si>
    <t>25000 Highway 74</t>
  </si>
  <si>
    <t>Perris</t>
  </si>
  <si>
    <t>Charles allegedly kicked in the door of the residence where an elderly couple lives. Deputies said they contacted the suspect when they arrived on scene, and an officer involved shooting occurred.</t>
  </si>
  <si>
    <t>http://losangeles.cbslocal.com/2014/12/14/suspect-killed-in-deputy-involved-shooting-in-perris/</t>
  </si>
  <si>
    <t>Michael Rodriguez</t>
  </si>
  <si>
    <t>S.W. 6th and Buchanan</t>
  </si>
  <si>
    <t>The suspect was actively pointing the handgun at bystanders and at police on the scene. Officers repeatedly asked the suspect to drop the weapon. The suspect refused these orders, and was then shot by officers on the scene.</t>
  </si>
  <si>
    <t>http://cjonline.com/news/2014-12-13/man-pointing-gun-police-bystanders-fatally-wounded-tpd-officers</t>
  </si>
  <si>
    <t>Randall Gordon</t>
  </si>
  <si>
    <t>Ernest McMahan Road</t>
  </si>
  <si>
    <t>Sevierville</t>
  </si>
  <si>
    <t>Sevier</t>
  </si>
  <si>
    <t>Sevierville Police Department</t>
  </si>
  <si>
    <t>After more than an hour, officers attempted to apprehend the man from his car. The man reportedly responded by pointing a pistol at officers and was in turn shot by Akers.</t>
  </si>
  <si>
    <t>Logan Patrick Hall</t>
  </si>
  <si>
    <t>14 Plaza Dr</t>
  </si>
  <si>
    <t>Mount Vernon Police Department</t>
  </si>
  <si>
    <t>Three officers were responding to a domestic dispute at the time when one of them shot and killed Logan Hall.</t>
  </si>
  <si>
    <t>http://www.10tv.com/content/stories/2014/12/13/mount-vernon-ohio--one-person-dies-in-mount-vernon-police-involved-shooting.html</t>
  </si>
  <si>
    <t>Thurrell Jowers</t>
  </si>
  <si>
    <t>http://4cqn6ibohco22tgqh1m974yh.wpengine.netdna-cdn.com/wp-content/uploads/2014/12/IMG_22807138364158.jpeg</t>
  </si>
  <si>
    <t>800 Lester St</t>
  </si>
  <si>
    <t>Poplar Bluff</t>
  </si>
  <si>
    <t>63901</t>
  </si>
  <si>
    <t>Butler</t>
  </si>
  <si>
    <t>Poplar Bluff Police Departmnet</t>
  </si>
  <si>
    <t>Jowers was suspected of stabbing somebody. When he was confronted by officers he didn't comply with orders to drop the knife and then reportedly charged officers - resulting in officers shooting and killing him.</t>
  </si>
  <si>
    <t>http://www.kfvs12.com/story/27616169/victim-identified-after-officer-involved-shooting-in-poplar-bluff</t>
  </si>
  <si>
    <t>Brandon Atencio</t>
  </si>
  <si>
    <t>http://ak-cache.legacy.net/legacy/images/cobrands/canoncitydailyrecord/photos/pmp_370164_12152014_20141215.jpgx?w=130&amp;h=180&amp;option=1&amp;v=0x000000002ebe3596</t>
  </si>
  <si>
    <t>N Orchard Ave</t>
  </si>
  <si>
    <t>Canon City</t>
  </si>
  <si>
    <t>Canon City Police Department</t>
  </si>
  <si>
    <t>"Police say the man, identified as Atencio, at first tried to run away. Stage and Gautreaux chased him down the residential street. Suddenly, the chase took a deadly turn. "He dropped down on his knees, he took out [a] box cutter, placed it to his throat and began to cut his throat," said Canon City Police Chief Paul Schultz.In a media conference on Friday, Schultz defended Cpl. Stage claiming Stage was trying to talk Atencio out of it. "As [Atencio] stood up, he yelled an expletive, 'Eff this' and started to charge towards Corporal Stage with the box cutter," said Schultz. Stage shot his firearm an unknown amount of times and hit Atencio twice in the chest."</t>
  </si>
  <si>
    <t>Anthony Landi</t>
  </si>
  <si>
    <t>http://media2.wptv.com/photo/2014/12/12/wptv-anthony-landi_1418424047208_10966064_ver1.0_640_480.jpg</t>
  </si>
  <si>
    <t>4123 Northlake Blvd</t>
  </si>
  <si>
    <t>Palm Beach Gardens</t>
  </si>
  <si>
    <t>33410</t>
  </si>
  <si>
    <t>Palm Beach Gardens Police Department</t>
  </si>
  <si>
    <t>"Palm Beach Gardens police say a staff member at the motel called 911 after the suspect told the front desk clerk he had a gun and asked her to call the police. According to officials, when officers arrived at the scene Landi raised his gun and pointed it at the officers. Three police officers returned fire. The suspect died on scene."</t>
  </si>
  <si>
    <t>http://www.wptv.com/news/region-n-palm-beach-county/palm-beach-gardens/fatal-shooting-outside-palm-beach-gardens-motel</t>
  </si>
  <si>
    <t>Travis Faison</t>
  </si>
  <si>
    <t>http://www.wral.com/news/local/video/14265929/</t>
  </si>
  <si>
    <t>600 Magnolia St</t>
  </si>
  <si>
    <t>Sanford</t>
  </si>
  <si>
    <t>27330</t>
  </si>
  <si>
    <t>Lee</t>
  </si>
  <si>
    <t>Faison was being a served a warrant for his arrest. After a short scuffle Fasion was shot and killed. Police allege Faison had a gun, but didn't say whether he was holding it at the time or if it was being pointed at officers. “It's got to stop. Got to stop. It happened in our small town," said Faison's cousin. Shatara Farrow, another cousin said, "Cops just shot him for no reason. We don’t understand why at all.”</t>
  </si>
  <si>
    <t>Thomas Edward Brazeail</t>
  </si>
  <si>
    <t>Killarney Lane</t>
  </si>
  <si>
    <t>Wildomar</t>
  </si>
  <si>
    <t>92595</t>
  </si>
  <si>
    <t>Riverside sheriff’s deputies began a chase at Lakeshore and Riverside drives in the Lake Elsinore area after attempting to pull over a man in a stolen vehicle. He fled and traveled south on I-15 to the Baxter Road offramp in Wildomar. The pursuit ended at the dead end of Killarney Lane roughly a half-mile northeast of I-15 and Baxter Road. It was unclear what prompted the gunfire, but officers claim they feared for their lives.</t>
  </si>
  <si>
    <t>http://www.pe.com/articles/chase-756069-wildomar-baxter.html</t>
  </si>
  <si>
    <t>The shooting occurred following a police chase. Its unclear what prompted the police to fire on the suspect.</t>
  </si>
  <si>
    <t>Calvin Peters</t>
  </si>
  <si>
    <t>770 Eastern Parkway</t>
  </si>
  <si>
    <t>11213</t>
  </si>
  <si>
    <t>Man attacked student with knife. At first put knife down when confronted by police, but then picked it back up and charged at police.</t>
  </si>
  <si>
    <t>http://www.nydailynews.com/new-york/nyc-crime/student-stabbed-chabad-lubavitch-crown-heights-article-1.2038761</t>
  </si>
  <si>
    <t>John Laco</t>
  </si>
  <si>
    <t>http://cdn.abclocal.go.com/content/wls/images/cms/automation/vod/429585_630x354.jpg</t>
  </si>
  <si>
    <t>3701 Fairview Ave</t>
  </si>
  <si>
    <t>Lake Station</t>
  </si>
  <si>
    <t>46405</t>
  </si>
  <si>
    <t>Lake Station Police Department</t>
  </si>
  <si>
    <t>After being instructed to drop his weapon, police allege Laco stepped out of the vehicle, pointed his weapon at the officers and rifled off multiple shots, misfiring and breaking a library window instead. Laco was struck and killed by police gunfire on the scene.</t>
  </si>
  <si>
    <t>John Kaco</t>
  </si>
  <si>
    <t>http://www.google.com/imgres?imgurl=http://bloximages.chicago2.vip.townnews.com/nwitimes.com/content/tncms/assets/v3/editorial/3/16/3162ebc0-a676-538d-8247-f755bf3906b6/548789c5e64df.preview-620.jpg&amp;imgrefurl=http://www.nwitimes.com/news/local/lake/neighbors-shocked-by-laco-s-shooting-death/article_4ce790d3-8105-56f3-8d98-75cd1bff139c.html&amp;h=826&amp;w=620&amp;tbnid=zXfbm0vM9R6pPM:&amp;zoom=1&amp;docid=Ij2cZ6aILoQ3VM&amp;ei=CpLeVPTNGsSrNvDOg6gJ&amp;tbm=isch&amp;client=opera&amp;ved=0CCMQMygBMAE</t>
  </si>
  <si>
    <t>1969 Central Avenue</t>
  </si>
  <si>
    <t>"Soon after John Laco fired a shotgun in the parking lot of the Lake Station municipal complex on Tuesday morning, three officers said they arrived to find him sitting in his car, pointing the 16-gauge shotgun barrel out of the window. After being instructed to drop his weapon, police say Laco stepped out of the vehicle and pointed the weapon at the officers, who fired multiple times."</t>
  </si>
  <si>
    <t>http://abc7chicago.com/news/armed-man-84-fatally-shot-by-police-in-lake-station-ind/428887/</t>
  </si>
  <si>
    <t>Christopher Bernard Doss</t>
  </si>
  <si>
    <t>508 Roosevelt Ave.</t>
  </si>
  <si>
    <t>78210</t>
  </si>
  <si>
    <t>Police were serving a warrant on a homicide suspect when he reached for his gun, resulting in a deputy shooting him.</t>
  </si>
  <si>
    <t>http://www.ksat.com/content/pns/ksat/news/2014/12/08/police-respond-to-officer-involved-shooting.html</t>
  </si>
  <si>
    <t>Randall Minier Jr.</t>
  </si>
  <si>
    <t>https://mgtvwlns.files.wordpress.com/2014/12/minierfb.jpg?w=1268</t>
  </si>
  <si>
    <t>2600 West Kalamazoo Street</t>
  </si>
  <si>
    <t>Lansing Township</t>
  </si>
  <si>
    <t>Ingham</t>
  </si>
  <si>
    <t>Lansing Township Police Department</t>
  </si>
  <si>
    <t>Washington said Minier had his hands raised with the gun in the air, "Like, 'I got a gun on me.' He was showing them."</t>
  </si>
  <si>
    <t>Jerry Demonte Nowlin</t>
  </si>
  <si>
    <t>http://cdn2.newsok.biz/cache/w300-522a516807e2d7e155a8e86dd6fca795.jpg</t>
  </si>
  <si>
    <t>2502 N Kelley Ave</t>
  </si>
  <si>
    <t>73111</t>
  </si>
  <si>
    <t>OKC PD tried to pull over a guy in a vehicle. The guy drove for a couple of blocks and crashed into the fence of an apartment complex. He exited the vehicle and ran through the complex. Officers gave chase and shot the man after he brandished a firearm at them, OKC PD claims.</t>
  </si>
  <si>
    <t>http://newsok.com/article/5373998</t>
  </si>
  <si>
    <t>Joshua David Merritt</t>
  </si>
  <si>
    <t>https://ncflindependent.files.wordpress.com/2014/12/merritt.jpg?w=300&amp;h=225</t>
  </si>
  <si>
    <t>97119 Pirate’s Way</t>
  </si>
  <si>
    <t>Yulee</t>
  </si>
  <si>
    <t>32097</t>
  </si>
  <si>
    <t>Nassau</t>
  </si>
  <si>
    <t>Nassau County Sheriff's Office</t>
  </si>
  <si>
    <t>Police responding to a number of 911 man-with-a-gun calls found Merritt on a porch with a handgun. Police fatally shot him, but initially would not disclose how many deputies were at the scene, how many shots were fired, or other details.</t>
  </si>
  <si>
    <t>http://ncflindependent.com/2014/12/08/fatal-shooting-by-sheriffs-deputy-under-investigation-by-fdle/</t>
  </si>
  <si>
    <t>Guadalupe Ochoa-Manzo</t>
  </si>
  <si>
    <t>Springfield Street</t>
  </si>
  <si>
    <t>94603</t>
  </si>
  <si>
    <t>San Leandro Police Department</t>
  </si>
  <si>
    <t>Shot dead by San Leandro police after she allegedly rammed several police cars at the end of a chase.</t>
  </si>
  <si>
    <t>http://www.sfgate.com/crime/article/Woman-shot-dead-by-San-Leandro-police-IDd-5964308.php</t>
  </si>
  <si>
    <t>Thomas McGinty</t>
  </si>
  <si>
    <t>3300 W. 111th St.</t>
  </si>
  <si>
    <t>The confrontation began with a fight between two patrons at the bar.  Thomas McGinty, pulled a gun and shot the other man. Then, the off-duty sergeant drew his service gun and ordered McGinty to drop his weapon. When McGinty did not comply, the officer shot him.</t>
  </si>
  <si>
    <t>http://www.chicagotribune.com/news/local/breaking/chi-chicago-police-shooting-mount-greenwood-20141207-story.html</t>
  </si>
  <si>
    <t>Anthony Moore</t>
  </si>
  <si>
    <t>http://www.reviewjournal.com/sites/default/files/styles/large/public/field/media/web1_moore.jpg?itok=FQnuUsUA</t>
  </si>
  <si>
    <t>3700 W Flamingo Rd</t>
  </si>
  <si>
    <t xml:space="preserve">Detectives who confronted the suspect were trying to arrest him. Police first used a Taser, and when the suspect went for his waistband, an officer fired his weapon. A gun was found on the man. </t>
  </si>
  <si>
    <t>John Bonnell Snyder</t>
  </si>
  <si>
    <t>http://www.wcti12.com/image/view/-/30116346/medRes/1/-/maxh/360/maxw/640/-/mbg59z/-/1208-john-snyder--web--jpg.jpg</t>
  </si>
  <si>
    <t>106 Camelia Drive</t>
  </si>
  <si>
    <t>Trent Woods</t>
  </si>
  <si>
    <t>28562</t>
  </si>
  <si>
    <t>Craven</t>
  </si>
  <si>
    <t>Trent Woods Police Department</t>
  </si>
  <si>
    <t>Trent Woods police officers were attempting to serve misdemeanor larceny warrants to Snyder when he pulled out a gun. The officers then opened fire, killing Snyder.</t>
  </si>
  <si>
    <t>http://www.wcti12.com/news/officer-involved-in-shooting-under-investigation/30105822</t>
  </si>
  <si>
    <t>Delbert Rodriguez Gutierrez</t>
  </si>
  <si>
    <t>http://hyperallergic.wpengine.netdna-cdn.com/wp-content/uploads/2014/12/demz-scene-instagram.jpg</t>
  </si>
  <si>
    <t>NW 5th Ave &amp; NW 24th St</t>
  </si>
  <si>
    <t>33127</t>
  </si>
  <si>
    <t>Delbert Rodriguez Gutierrez, a street artist who goes by the name “Demz,” died Tuesday night after being struck by an unmarked Miami police car during a chase in Wynwood.</t>
  </si>
  <si>
    <t>http://www.miamiherald.com/news/local/crime/article4296547.html</t>
  </si>
  <si>
    <t>David Scott Wear</t>
  </si>
  <si>
    <t>Hollywood Boulevard and North Highland Avenue</t>
  </si>
  <si>
    <t>When they arrived on scene, officers found a man armed with a knife. When he saw the officers, he approached them and an office- involved shooting occurred.</t>
  </si>
  <si>
    <t>Franklin Lee</t>
  </si>
  <si>
    <t>115 16th Avenue Northeast</t>
  </si>
  <si>
    <t>Cairo</t>
  </si>
  <si>
    <t>39828</t>
  </si>
  <si>
    <t>Cairo Police Department</t>
  </si>
  <si>
    <t>Pepper Spray</t>
  </si>
  <si>
    <t>"According to Cairo P. D., Lee appeared to be intoxicated. During the arrest, Lee was sprayed with pepper spray. He was taken to the Grady County Detention Center where he was decontaminated from the Pepper Spray and placed in a holding cell. A Grady County Jailer later found Lee unresponsive in the cell, at approximately 9:40 p.m. Lee was transported to Grady General Hospital where he was pronounced dead at 10:19 p.m."</t>
  </si>
  <si>
    <t>http://www.walb.com/story/27577325/gbi-investigates-death-of-cairo-jail-inmate</t>
  </si>
  <si>
    <t>Joseph Glenn Folsom Jr.</t>
  </si>
  <si>
    <t>2217 Blue Heron Ln</t>
  </si>
  <si>
    <t>Kershaw</t>
  </si>
  <si>
    <t>U.S. Marshals Service</t>
  </si>
  <si>
    <t>U.S. Marshals went to 61-year-old Joseph Glenn Folsom Jr.'s home near Lake Wateree when he failed to report to prison. Folsom was convicted in June of interstate transportation of stolen money. Once officers went inside inside the home, shots were fired, and Folsom was killed.</t>
  </si>
  <si>
    <t>Alejandro Noel Cordero Rivera</t>
  </si>
  <si>
    <t>http://www.mynews13.com/content/dam/news/images/2014/12/1/orange-alejandro-noel-cordero-rivera-mug-120514.JPG</t>
  </si>
  <si>
    <t>1100 Soria Avenue</t>
  </si>
  <si>
    <t>32807</t>
  </si>
  <si>
    <t>Local police responding to a burglary call found Cordero Rivera sitting in his car in the driveway. Officers approached, saw a weapon, and fatally shot him.</t>
  </si>
  <si>
    <t>http://www.mynews13.com/content/news/cfnews13/news/article.html/content/news/articles/cfn/2014/12/4/englewood_elementary.html</t>
  </si>
  <si>
    <t>Raymond Keith Martinez</t>
  </si>
  <si>
    <t>http://www.obitsforlife.com/uploaded-images/converted/468305-54939dede5ee4-shrink-x180.jpg</t>
  </si>
  <si>
    <t>N 7th St &amp; Oakland St</t>
  </si>
  <si>
    <t>West Monroe</t>
  </si>
  <si>
    <t>71291</t>
  </si>
  <si>
    <t>Ouachita</t>
  </si>
  <si>
    <t>West Monroe Police Department</t>
  </si>
  <si>
    <t>Raymond Keith Martinez was shot in front of a convenience store by West Monroe Police Officer Jody LeDoux. Mr. Martinez, believed to be homeless at the time of his death, was a known personality in West Monroe; he had a prior arrest for an incident where he walked into and then directed traffic while intoxicated.</t>
  </si>
  <si>
    <t>Charged with felony negligent homicide</t>
  </si>
  <si>
    <t>Karin S. Moller</t>
  </si>
  <si>
    <t>http://www.fatalencounters.org/wp-content/uploads/2013/10/KarenSueMoller.jpg</t>
  </si>
  <si>
    <t>Ogunquit Road</t>
  </si>
  <si>
    <t>South Berwick</t>
  </si>
  <si>
    <t>03908</t>
  </si>
  <si>
    <t>South Berwick Police Department, York Police Department</t>
  </si>
  <si>
    <t>Moller was fatally shot Thursday afternoon about a quarter-mile from the small house she shared with her father, Ronald. She had threatened to harm herself in a 30-minute telephone call to a medical facility and warned she had a gun. When she tried to drive away from the house, police used a spike mat to stop her car. As officers from South Berwick and York approached the car, she got out, pointed a gun at them and was shot, police said.</t>
  </si>
  <si>
    <t>https://www.centralmaine.com/2014/12/05/south-berwick-york-police-identify-officers-involved-in-fatal-shooting/</t>
  </si>
  <si>
    <t>William Lee Honea</t>
  </si>
  <si>
    <t>http://kten.images.worldnow.com/images/6145895_G.jpg</t>
  </si>
  <si>
    <t>1516 Highway 271 South</t>
  </si>
  <si>
    <t>Hugo Police Department</t>
  </si>
  <si>
    <t xml:space="preserve">Two Hugo Police Officers and two Choctaw County Sheriff's Deputies fired their weapons after William Lee Honea exited the stolen pickup and raised a rifle at officers. </t>
  </si>
  <si>
    <t>http://www.kten.com/story/27551869/suspect-shot-and-killed-outside-choctaw-casino-in-grant-okla</t>
  </si>
  <si>
    <t>Isaac Lee Ricks</t>
  </si>
  <si>
    <t>600 Wall St</t>
  </si>
  <si>
    <t xml:space="preserve">LAPD officer responding to a disturbance call in the 600 block of Wall Street heard screaming upon their arrival. As they entered the unit, they observed a male suspect stabbing a female victim. An officer-involved shooting ensued. </t>
  </si>
  <si>
    <t>http://abc7.com/news/lapd-kills-armed-man-after-he-stabs-woman/419552/</t>
  </si>
  <si>
    <t>Gilbert Reyna</t>
  </si>
  <si>
    <t>6033 Camp Bowie Blvd</t>
  </si>
  <si>
    <t>A police officer late Tuesday fatally shot a robbery suspect who charged at officers with a baseball bat and screwdriver, police said.</t>
  </si>
  <si>
    <t>Lincoln Price</t>
  </si>
  <si>
    <t>NW 12th and Rockwell</t>
  </si>
  <si>
    <t>A traffic stop leads to a deadly shootout with Oklahoma City police.</t>
  </si>
  <si>
    <t>Rumain Brisbon</t>
  </si>
  <si>
    <t>http://www.gannett-cdn.com/-mm-/71e0cd988bb75a05f05e8307598e50b8f9bace51/c=0-0-360-480&amp;r=537&amp;c=0-0-534-712/local/-/media/Phoenix/Phoenix/2014/12/04/635532944352170263-Rumain-Brisbon-w-child.jpg</t>
  </si>
  <si>
    <t>15400 North 25th Avenue</t>
  </si>
  <si>
    <t>85023</t>
  </si>
  <si>
    <t>Police looking for a burglary suspect approached Brisbon. The suspect fled on foot. When caught Brisbon struggled with the officer. The suspect reached into his pocket. The officer felt what he believed to be a gun in the suspect's pocket. When he could no longer control Brisbon he fired two shots. The item in Brisbon's pocket turned out to be a bottle of oxycodone pills.</t>
  </si>
  <si>
    <t>http://www.azcentral.com/story/news/local/phoenix/2014/12/03/phoenix-police-officer-shooting-greenway-abrk/19837919/</t>
  </si>
  <si>
    <t>William Mark Jones</t>
  </si>
  <si>
    <t>http://www.revelsfh.com/obituaries/uploads/OI704925068_williamjones001.jpg</t>
  </si>
  <si>
    <t>1400 Snipes Road</t>
  </si>
  <si>
    <t>Red Springs</t>
  </si>
  <si>
    <t>Robeson</t>
  </si>
  <si>
    <t>Robeson County Sheriff's Office</t>
  </si>
  <si>
    <t>Authorities said Jones was shirtless, walking erratically and bleeding. The deputies used a stun gun on Jones after authorities said he was uncooperative. Jones then died.</t>
  </si>
  <si>
    <t>http://www.wncn.com/story/27530139/man-dies-after-being-shot-with-stun-gun-by-deputies</t>
  </si>
  <si>
    <t>Fiyaz Hussain</t>
  </si>
  <si>
    <t>3300 Pebble Trace Drive</t>
  </si>
  <si>
    <t>The deputies were approaching when the man suddenly jumped up between the two homes and began shooting. The training officer fired back.</t>
  </si>
  <si>
    <t>Rosendo Gino Rodriquez</t>
  </si>
  <si>
    <t>2700 West Washington Ave</t>
  </si>
  <si>
    <t>Rosendo Gino Rodriquez, 49, was fatally shot by MPD officers after he allegedly swung a machete at the police officers who had entered the home</t>
  </si>
  <si>
    <t>http://www.mrt.com/top_stories/article_50971656-797e-11e4-bb5a-17fa97072faa.html</t>
  </si>
  <si>
    <t>John Pepper</t>
  </si>
  <si>
    <t>http://whns.images.worldnow.com/images/6120521_G.jpg</t>
  </si>
  <si>
    <t>Brogan Avenue</t>
  </si>
  <si>
    <t>29625</t>
  </si>
  <si>
    <t>Anderson County Sheriff's Office</t>
  </si>
  <si>
    <t>Sheriff's Office responded to a report of an angry man holing up in his home with a gun(s). Expressed much anger toward responding deputies. Displayed handgun, threatened to shoot. Killed by deputy with rifle.</t>
  </si>
  <si>
    <t>http://www.independentmail.com/news/sheriff-releases-police-report-on-fatal-shooting_65167299</t>
  </si>
  <si>
    <t>Jennifer Bond</t>
  </si>
  <si>
    <t>http://media2.wcpo.com/photo/2014/12/02/WCPO_Jennifer_Bond_1417557520687_10301756_ver1.0_640_480.jpg</t>
  </si>
  <si>
    <t>Violet Road</t>
  </si>
  <si>
    <t>Crittenden</t>
  </si>
  <si>
    <t>State troopers responded to a disorderly conduct call, finding and subduing Jennifer Bond with a taser. Bond became breathless.</t>
  </si>
  <si>
    <t>http://www.wcpo.com/news/region-northern-kentucky/nky-sheriffs-department-confirms-woman-died-after-taser-used-to-subdue-her</t>
  </si>
  <si>
    <t>Fernando Escovedo</t>
  </si>
  <si>
    <t>https://encrypted-tbn2.gstatic.com/images?q=tbn:ANd9GcT62pAc2ENs1fuav8vbPYLyYyPCNEma0hMrZFanZh67D8kiR7AIwQ</t>
  </si>
  <si>
    <t>23000 Marbella Ave</t>
  </si>
  <si>
    <t>Carson</t>
  </si>
  <si>
    <t>90745</t>
  </si>
  <si>
    <t>[Escovedo] was wielding a steak knife when he confronted one of the deputies and was shot and killed.</t>
  </si>
  <si>
    <t>http://www.latimes.com/local/lanow/la-me-ln-fatal-shooting-steak-knife-20141130-story.html</t>
  </si>
  <si>
    <t>Tabanico “Tommy” Ysidro Pirtle</t>
  </si>
  <si>
    <t>http://bloximages.chicago2.vip.townnews.com/elkodaily.com/content/tncms/assets/v3/editorial/a/1e/a1e01b2a-c74f-58a7-871d-4ae888f47699/547fad65ca8bb.image.jpg?resize=620%2C716</t>
  </si>
  <si>
    <t>305 Juniper St</t>
  </si>
  <si>
    <t>Elko</t>
  </si>
  <si>
    <t>89801</t>
  </si>
  <si>
    <t>Elko Police Department</t>
  </si>
  <si>
    <t>Pirtle was in a domestic situation, struggling over a semi-automatic weapon with others. When an officer arrived Pirtle retrieved the weapon, ignored officer's commands to drop the weapon. Pirtle was subsequently shot.</t>
  </si>
  <si>
    <t>http://elkodaily.com/news/more-details-released-on-elko-police-shooting-death/article_86043864-8e37-5ce1-b361-d059fceaeff5.html</t>
  </si>
  <si>
    <t>Samuel Torres</t>
  </si>
  <si>
    <t>5320 Schaefer Road</t>
  </si>
  <si>
    <t>Dearborn</t>
  </si>
  <si>
    <t>48126</t>
  </si>
  <si>
    <t>Dearborn Police Department</t>
  </si>
  <si>
    <t>Police shot and killed the man who they say beat a woman to death with a hammer earlier at a home on St. Lawrence Street. The man's daughter told police her father did it. Detroit police officers trailed the man to Macy's Cleaners in Dearborn. Police say he pulled a gun on officers, who then shot and killed him inside the business.</t>
  </si>
  <si>
    <t>http://www.arabamericannews.com/news/news/id_9798/Detroit-Police-kill-man-inside-Macys-Dry-Cleaners,-suspect-allegedly-targeted-owner.html</t>
  </si>
  <si>
    <t>Myles Roughsurface</t>
  </si>
  <si>
    <t>http://extras.mnginteractive.com/live/media/site567/2014/1201/20141201__TDT-L-SHOOTER-1202~p2_200.jpg</t>
  </si>
  <si>
    <t>Rd 3267</t>
  </si>
  <si>
    <t>Aztec</t>
  </si>
  <si>
    <t>87410</t>
  </si>
  <si>
    <t>San Juan</t>
  </si>
  <si>
    <t>Roughsurface was suspected of pointing a gun at someone. Officers searched for Roughsurface and saw a silhouette of a man who had a gun. An officer fired at the silhouette. Roughsurface was the one with the gun who was shot and killed by officers.</t>
  </si>
  <si>
    <t>http://www.abqjournal.com/504759/news/search-warrant-identifies-nm-state-police-officer-involved-in-fridays-fatal-shooting.html</t>
  </si>
  <si>
    <t>Larry Steven McQuilliams</t>
  </si>
  <si>
    <t>http://a5.img.talkingpointsmemo.com/image/upload/w_652/pmof8ooyzths2u47dyo3.jpg</t>
  </si>
  <si>
    <t>410 Baylor Street</t>
  </si>
  <si>
    <t>78703</t>
  </si>
  <si>
    <t>McQuilliams fired shots and tried to burn down the Mexican consulate building. Austin police ultimately shot and killed McQuilliams, ending the rampage.</t>
  </si>
  <si>
    <t>http://www.austinchronicle.com/news/2014-12-05/shooter-had-hate-in-his-heart/</t>
  </si>
  <si>
    <t>Mark Allan Bartlett</t>
  </si>
  <si>
    <t>http://wlbt.images.worldnow.com/images/6067515_G.jpg</t>
  </si>
  <si>
    <t>3127 Greenfield Road</t>
  </si>
  <si>
    <t>39208</t>
  </si>
  <si>
    <t>Rankin</t>
  </si>
  <si>
    <t>Pearl Police Department</t>
  </si>
  <si>
    <t>Mark Allan Bartlett, 42, was killed after police say he brandished a gun at an officer in a threatening way when police were called out to a domestic disturbance.</t>
  </si>
  <si>
    <t>http://www.msnewsnow.com/story/27504542/officer-involved-shooting-in-pearl-leaves-one-man-dead</t>
  </si>
  <si>
    <t>Matthew Cormier</t>
  </si>
  <si>
    <t>9641 Magnolia Blossom Drive</t>
  </si>
  <si>
    <t>Westchase</t>
  </si>
  <si>
    <t>33626</t>
  </si>
  <si>
    <t>Cormier barricaded himself in his condominium for more than five hours and took several pot shots at surrounding deputies, one of which struck a patrol car. Police had responded to an early afternoon call from family members about his welfare. When Cormier appeared to be fixing on a target, SWAT members fatally shot him.</t>
  </si>
  <si>
    <t>http://www.myfoxtampabay.com/story/27497868/deputies-kill-man-barricaded-in-westchase-condo</t>
  </si>
  <si>
    <t>Daniel Cedar Saulsbury</t>
  </si>
  <si>
    <t>http://www.pressdemocrat.com/csp/mediapool/sites/dt.common.streams.StreamServer.cls?STREAMOID=XFK9FY_3ldutHKUZaiDUK8$daE2N3K4ZzOUsqbU5sYszM4x7eojRZjPy7au$Sut9WCsjLu883Ygn4B49Lvm9bPe2QeMKQdVeZmXF$9l$4uCZ8QDXhaHEp3rvzXRJFdy0KqPHLoMevcTLo3h8xh70Y6N_U_CryOsw6FTOdKL_jpQ-&amp;CONTENTTYPE=image/jpeg</t>
  </si>
  <si>
    <t>Mill Street</t>
  </si>
  <si>
    <t>Point Arena</t>
  </si>
  <si>
    <t>95468</t>
  </si>
  <si>
    <t>Mendocino</t>
  </si>
  <si>
    <t>California Highway Patrol, Mendocino County Sheriff's Office</t>
  </si>
  <si>
    <t>Daniel was a robbery suspect who actively resisted arrest by California Highway patrol. CHP received backup from 2 deputies and all three tasered Daniel during arrest. He showed medical distress almost immediately and died soon after.</t>
  </si>
  <si>
    <t>Davis Thomas</t>
  </si>
  <si>
    <t>https://cbsdallas.files.wordpress.com/2014/11/thomas-mug.jpg?w=620&amp;h=349&amp;crop=1</t>
  </si>
  <si>
    <t>300 East Round Grove Road</t>
  </si>
  <si>
    <t>Lewisville</t>
  </si>
  <si>
    <t>75067</t>
  </si>
  <si>
    <t>Lewisville Police Department</t>
  </si>
  <si>
    <t>A carjacker led police on a car chase, which ended when Davis Thomas crashed into three cars and officers shot him.</t>
  </si>
  <si>
    <t>http://dfw.cbslocal.com/2014/11/28/lewisville-pd-identify-police-shooting-suspect/</t>
  </si>
  <si>
    <t>Randall Dewayne Roden</t>
  </si>
  <si>
    <t>http://www.komu.com/images/news/Randall_Roden.jpg</t>
  </si>
  <si>
    <t>18500 Second Street</t>
  </si>
  <si>
    <t>Versailles</t>
  </si>
  <si>
    <t>65084</t>
  </si>
  <si>
    <t>Versailles Police Department, Morgan County Sheriff's Office</t>
  </si>
  <si>
    <t>Police responded to a call alleging that Randall Roden had assaulted someone. Officers tasered Roden twice. Roden fired multiple shots with a weapon, wounding one officer, and was shot and killed by police.</t>
  </si>
  <si>
    <t>http://www.kansascity.com/news/local/crime/article4173586.html</t>
  </si>
  <si>
    <t>Eric Ricks</t>
  </si>
  <si>
    <t>http://www.texarkanagazette.com/content/uploads/pictures/2014/12/Ricks,-Eric_sm.jpg</t>
  </si>
  <si>
    <t>4317 Shepherd Lane</t>
  </si>
  <si>
    <t>Mesquite</t>
  </si>
  <si>
    <t>75180</t>
  </si>
  <si>
    <t>Balch Springs Police Department</t>
  </si>
  <si>
    <t>Ricks was suspected of having drugs in his system when he was violent with officers. Officers tasered Ricks, but the tasers did not seem to have an effect on him. Eventually he was cuffed. Ricks died by the time he arrived at the Balch Springs Jail.</t>
  </si>
  <si>
    <t>Robert Edwin Eaves</t>
  </si>
  <si>
    <t>http://media-cdn.timesfreepress.com/img/photos/2014/11/26/dedeff_t755_hfe3bdacfda1dab10e97dcd836c1bb67e33b147cf.jpg</t>
  </si>
  <si>
    <t>1009 Phillips St SW</t>
  </si>
  <si>
    <t>37311</t>
  </si>
  <si>
    <t>Eaves kidnapped a woman and broke into a home. When officers arrived a threatened them with a knife prompting the officers to shoot and kill Eaves.</t>
  </si>
  <si>
    <t>http://www.timesfreepress.com/news/local/story/2014/nov/26/sex-offender-shot-to-death-after-daylight/275498/</t>
  </si>
  <si>
    <t>Jon Jaquez</t>
  </si>
  <si>
    <t>http://www.killedbypolice.net/victims/140997.jpg</t>
  </si>
  <si>
    <t>E 4th St &amp; Troy Ave</t>
  </si>
  <si>
    <t>Pueblo police and sheriff's deputies arrived at the gas station, looking for a person of interest in an assault that happened earlier that day. When they arrived, they found an armed man. A law enforcement official fired at the man and he died at the scene.</t>
  </si>
  <si>
    <t>http://www.krdo.com/news/one-person-killed-in-pueblo-officerinvolved-shooting/29934022</t>
  </si>
  <si>
    <t>Sebastian Lewandowski</t>
  </si>
  <si>
    <t>11716 N.E. 49th St.</t>
  </si>
  <si>
    <t>98682</t>
  </si>
  <si>
    <t>Vancouver Police Department</t>
  </si>
  <si>
    <t>The man shot and killed by vancouver police after setting his apartment on fire was brandishing an air soft gun made to look like an AR-15.</t>
  </si>
  <si>
    <t>http://www.columbian.com/news/2014/dec/03/man-shot-killed-police-vancouver-apartment-identif/</t>
  </si>
  <si>
    <t>Leonardo Marquette Little</t>
  </si>
  <si>
    <t>http://www.gannett-cdn.com/-mm-/e5d91223a80703ebcba4b1a7383a667b4c1e7999/c=0-74-595-521&amp;r=x404&amp;c=534x401/local/-/media/WTLV/WTLV/2014/11/25/635525308722120560-Leo.jpg</t>
  </si>
  <si>
    <t>7000 103rd St</t>
  </si>
  <si>
    <t>32210</t>
  </si>
  <si>
    <t>Little was resisting arrest. He was tasered several times until he managed to retrieve the taser from the deputy. The deputy responded by shooting and killing Little.</t>
  </si>
  <si>
    <t>O'Tavis Hall</t>
  </si>
  <si>
    <t>http://www.myvalleynews.com/media/photo/330366.jpg</t>
  </si>
  <si>
    <t>32000 Westport Way</t>
  </si>
  <si>
    <t>92596</t>
  </si>
  <si>
    <t>Hall fired a shot from his rifle after arguing with his wife, prompting 911 calls. When officers arrived Hall would not come out side. Eventually, Hall raised the rifle towards deputies - the deputies shot and killed him.</t>
  </si>
  <si>
    <t>http://www.myvalleynews.com/story/74801/</t>
  </si>
  <si>
    <t>Juan Jose Enriquez</t>
  </si>
  <si>
    <t>1533 W. Elgenia Ave.</t>
  </si>
  <si>
    <t>West Covina</t>
  </si>
  <si>
    <t>91790</t>
  </si>
  <si>
    <t>Authorities say Enriquez was shot to death by West Covina police after he opened fire on officers during a foot chase, hitting and wounding a police dog.</t>
  </si>
  <si>
    <t>http://www.sgvtribune.com/general-news/20141125/west-covina-k-9-reiko-returns-home-as-police-identify-shooting-suspect-victim</t>
  </si>
  <si>
    <t>Donald R. Wendt</t>
  </si>
  <si>
    <t>http://tbo.com/storyimage/TB/20141124/ARTICLE/141129638/AR/0/AR-141129638.jpg</t>
  </si>
  <si>
    <t>3300 Oxford Drive West</t>
  </si>
  <si>
    <t>34205</t>
  </si>
  <si>
    <t>Bradenton Police Department</t>
  </si>
  <si>
    <t>Iraq veteran, recipient of the Bronze Star Medal, and firefighter Wendt appeared on his front lawn with a weapon to confront local police, responding to an evening call about a suicidal man. Wendt retreated into the house while SWAT members set up a perimeter. He then came back out to point his weapon at police. He was fatally shot.</t>
  </si>
  <si>
    <t>http://tbo.com/news/crime/bradenton-police-fatally-shoot-firefighter-in-swat-standoff-20141124/</t>
  </si>
  <si>
    <t>Justin H. Roady</t>
  </si>
  <si>
    <t>http://www.basinrepublican-rustler.com/wp-content/uploads/2014/11/Roady-Justin-paper-200x200.jpg</t>
  </si>
  <si>
    <t>3100 Silversmith Dr</t>
  </si>
  <si>
    <t>Lake Havasu</t>
  </si>
  <si>
    <t>86406</t>
  </si>
  <si>
    <t>Mohave</t>
  </si>
  <si>
    <t>Havasu Police Department</t>
  </si>
  <si>
    <t>Roady crashed his car and began shooting his gun. Officers responded to the scene and Roady pointed his gun in the officer's direction. Roady was shot and killed.</t>
  </si>
  <si>
    <t>http://www.havasunews.com/news/havasu-man-killed-in-officer-related-shooting/article_0d5c2cfc-7387-11e4-93f9-c3001318452a.html</t>
  </si>
  <si>
    <t>Tamir E. Rice</t>
  </si>
  <si>
    <t>http://www.gannett-cdn.com/-mm-/e1576bbe596bc9262bb2b6b99262357758190d11/c=72-0-430-477&amp;r=537&amp;c=0-0-534-712/local/-/media/WKYC/WKYC/2014/11/23/635523569159147332-Tamir.jpg</t>
  </si>
  <si>
    <t>1910 West Blvd</t>
  </si>
  <si>
    <t>44102</t>
  </si>
  <si>
    <t>Tamir was in a park playing with a BB gun. A caller reported that a male was point a pistol at random people, stating twice that the gun was "probably fake". Police pulled up within 10 feet from Tamir and shot him two seconds later in the abdomen. Neither officer administered first aid, instead arresting Tamir's sister who rushed to his aid. Tamir didn't receive first aid until four minutes later from a deputy who was nearby. He died soon after.</t>
  </si>
  <si>
    <t>http://www.wkyc.com/story/news/local/cleveland/2014/11/22/12-year-old-shot-at-cleveland-rec-center/19413165/</t>
  </si>
  <si>
    <t>Nestor Cruz-Ciriaco</t>
  </si>
  <si>
    <t>http://www.altavistamortuary.com/sitemaker/memsol_data/1012/1465585/1465585_profile_pic.jpg</t>
  </si>
  <si>
    <t>1600 Laguna St</t>
  </si>
  <si>
    <t>Seaside</t>
  </si>
  <si>
    <t>93955</t>
  </si>
  <si>
    <t>Seaside Police Department</t>
  </si>
  <si>
    <t>Seaside police responding to a domestic violence call shot and killed 27-year-old Nestor Cruz-Ciriaco who was wielding a sharp instrument and may have taken a small child hostage.</t>
  </si>
  <si>
    <t>http://www.montereycountyweekly.com/blogs/news_blog/seaside-police-kill-man-during-domestic-violence-call/article_74537a08-72c6-11e4-854c-b3c6d88d7177.html</t>
  </si>
  <si>
    <t>Ty Worthington</t>
  </si>
  <si>
    <t>http://www.sltrib.com/csp/mediapool/sites/dt.common.streams.StreamServer.cls?STREAMOID=iknI$WDK3AE$b4lR7nb8BM$daE2N3K4ZzOUsqbU5sYuCYryHmYGbN8mT$_biNsWlWCsjLu883Ygn4B49Lvm9bPe2QeMKQdVeZmXF$9l$4uCZ8QDXhaHEp3rvzXRJFdy0KqPHLoMevcTLo3h8xh70Y6N_U_CryOsw6FTOdKL_jpQ-&amp;CONTENTTYPE=image/jpeg</t>
  </si>
  <si>
    <t>11300 S. Brook-N-Lance Lane</t>
  </si>
  <si>
    <t>South Jordan</t>
  </si>
  <si>
    <t>84095</t>
  </si>
  <si>
    <t>South Jordan Police Department</t>
  </si>
  <si>
    <t>The shooting happened in the neighborhood near 11300 S. and 600 West. According to police they arrived on scene and went looking for the man someone had called in about. Sometime later a neighbor says they heard about six shots and two officers standing by the man.“The officer confronted Mr. Worthington in a horse corral, and during the confrontation multiple shots were fired,” said Officer Sam Winkler of the South Jordan Police Department.</t>
  </si>
  <si>
    <t>Pamela Edwards</t>
  </si>
  <si>
    <t>http://media.cmgdigital.com/shared/lt/lt_cache/thumbnail/400/img/photos/2014/11/23/5c/f9/Pamela_Edwards.jpg</t>
  </si>
  <si>
    <t>2300 Grant Street</t>
  </si>
  <si>
    <t>Eustis</t>
  </si>
  <si>
    <t>32726</t>
  </si>
  <si>
    <t>Lake County Sheriff’s Office, Eustis Police Department</t>
  </si>
  <si>
    <t>Involved in a hit and run Edwards was followed to Grant Street by an off-duty officer. Edwards then pointed a gun at investigators prompting officers to shoot and kill Edwards.</t>
  </si>
  <si>
    <t>http://www.wftv.com/news/news/local/fdle-investigating-officer-involved-shooting-eusti/njDQH/</t>
  </si>
  <si>
    <t>Curtis Wade Holley</t>
  </si>
  <si>
    <t>https://pibillwarner.files.wordpress.com/2014/11/41e39-curtis-wade-holley-mugshot-30017829_400x800.jpg?w=574&amp;h=640</t>
  </si>
  <si>
    <t>3722 Caracus Court</t>
  </si>
  <si>
    <t>Leon County Sheriff's Office, Tallahassee Police Department</t>
  </si>
  <si>
    <t>Sovereign citizen Holley set his residence on fire as a trap for first responders, and made a mid-morning 911 call. Dispatchers ignored system warnings and sent firefighters and police in. Holley fired on and killed a county deputy. As more fire engines arrived and the house fire raged, Holley engaged with officers in a 12-minute firefight, and was killed.</t>
  </si>
  <si>
    <t>http://www.splcenter.org/blog/2014/11/25/man-who-killed-fl-sheriffs-deputy-may-have-had-antigovernment-views/</t>
  </si>
  <si>
    <t>Bruce Thomas Snyder</t>
  </si>
  <si>
    <t>https://cbssacramento.files.wordpress.com/2014/11/snyder2.jpg?w=768</t>
  </si>
  <si>
    <t>4 S Washington St</t>
  </si>
  <si>
    <t>Sonora</t>
  </si>
  <si>
    <t>95370</t>
  </si>
  <si>
    <t>Tuolumne</t>
  </si>
  <si>
    <t>Sonora Police Department</t>
  </si>
  <si>
    <t>Police say the car chase ended on Washington Street in downtown Sonora. However, when Snyder got out of his car, he opened fire at officers. Snyder was fatally shot.</t>
  </si>
  <si>
    <t>Carey Smith-Viramontes</t>
  </si>
  <si>
    <t>https://fbcdn-profile-a.akamaihd.net/hprofile-ak-xaf1/v/t1.0-1/p160x160/10712871_676020245827648_8383717690568044882_n.jpg?oh=a2fb3847595c2504afb21804a572afc1&amp;oe=5508F903&amp;__gda__=1427581887_b98544619015e6195b8a420ea117bf24</t>
  </si>
  <si>
    <t>2300 Eucalyptus Ave</t>
  </si>
  <si>
    <t>90806</t>
  </si>
  <si>
    <t>An officer went to the home in response to a report of a missing young girl, according to a statement from the Long Beach Police Department. The officer learned the girl was inside the house with a young man with whom she once had a relationship. "The male adult armed himself with a knife," the police statement read. "Fearing for the safety of the parties, the officer discharged his weapon, striking the suspect." Smith-Viramontes was pronounced dead at the scene, police said.</t>
  </si>
  <si>
    <t>http://mydeathspace.com/article/2014/11/28/Carey_Smith_Viramontes_(18)_was_shot_by_police_after_he_violated_a_restraining_order</t>
  </si>
  <si>
    <t>Myron May</t>
  </si>
  <si>
    <t>116 Honors Way</t>
  </si>
  <si>
    <t>32306</t>
  </si>
  <si>
    <t>Florida State University Police Department</t>
  </si>
  <si>
    <t>Returning to Florida State University where he'd taken a degree in 2005, May went to the library in the middle of the campus and began firing at random. He ended up shooting three people, critically wounding one of them, but was the only fatality of the incident when police arrived.</t>
  </si>
  <si>
    <t>http://www.nytimes.com/2014/11/21/us/florida-state-university-shooting.html?_r=0</t>
  </si>
  <si>
    <t>Akai Gurley</t>
  </si>
  <si>
    <t>http://assets.nydailynews.com/polopoly_fs/1.2019467.1416607065!/img/httpImage/image.jpg_gen/derivatives/article_970/article-cop-1121.jpg?enlarged</t>
  </si>
  <si>
    <t>2724 Linden Boulevard</t>
  </si>
  <si>
    <t>11208</t>
  </si>
  <si>
    <t>kings</t>
  </si>
  <si>
    <t>Gurley was in stairwell of his building by rookie cop who was not supposed to be patrolling that building. Cop entered stairwell with gun drawn although there had been no threat to him from anyone.</t>
  </si>
  <si>
    <t>http://www.google.com/url?sa=t&amp;rct=j&amp;q=&amp;esrc=s&amp;source=web&amp;cd=6&amp;cad=rja&amp;uact=8&amp;ved=0CDIQFjAF&amp;url=http%3A%2F%2Fwww.nydailynews.com%2Fnew-york%2Fbrooklyn%2Fexclusive-texted-union-rep-akai-gurley-lay-dying-article-1.2034219&amp;ei=n7yDVOa7Oqq1sQS6m4KwCw&amp;usg=AFQjCNE87vpjBnlYPsaq_lb_3vYJdQ2wIQ&amp;sig2=FoA48aisQbla3dU9DhfjZw</t>
  </si>
  <si>
    <t>Charles Marcus McCauley</t>
  </si>
  <si>
    <t>http://www.gannett-cdn.com/-mm-/ab801debccc306d2cc35cbac20daebb2a1dd048c/c=1-0-300-398&amp;r=183&amp;c=0-0-180-238/local/-/media/LAGroup/Shreveport/2014/11/22/635522173605110281-charlesmccauley.jpg</t>
  </si>
  <si>
    <t>2911 Centenary Boulevard</t>
  </si>
  <si>
    <t>Shrevport</t>
  </si>
  <si>
    <t>71104</t>
  </si>
  <si>
    <t>Caddo</t>
  </si>
  <si>
    <t>Centenary College Department of Public Safety</t>
  </si>
  <si>
    <t>Shreveport resident Charles Marcus McCauley, 35, was being escorted off campus because of his "peculiar behavior" when he revealed a handgun in a struggle with two Centenary College Department of Public Safety officers, prompting one of them to shoot him dead, according to police.</t>
  </si>
  <si>
    <t>http://www.shreveporttimes.com/story/news/crime/2014/11/22/violent-end-life-veered-toward-trouble/19386681/?from=global&amp;sessionKey=&amp;autologin=</t>
  </si>
  <si>
    <t>Chelsea Fresh</t>
  </si>
  <si>
    <t>http://imgick.oregonlive.com/home/olive-media/pgmain/img/beaverton_news/photo/fresh-chelsea-1jpg-7de9bbd4439949e1.jpg</t>
  </si>
  <si>
    <t>12000 SW Conestoga Drive</t>
  </si>
  <si>
    <t>97008</t>
  </si>
  <si>
    <t>Fresh had a history of mental health issues. Her boyfriend called the police on a mid-afternoon when he felt threatened, informing them that she had firearms and knives. Police surrounded the house for about an hour, with a police negotiator on the phone. Fresh was in and out of the house with a rifle (unloaded) but was fatally shot when she pointed it.</t>
  </si>
  <si>
    <t>http://www.oregonlive.com/beaverton/index.ssf/2014/11/beaverton_police_fatally_shoot.html</t>
  </si>
  <si>
    <t>Keara Crowder</t>
  </si>
  <si>
    <t>http://wmctv.images.worldnow.com/images/5896389_G.jpg</t>
  </si>
  <si>
    <t>Bassett Hall Drive</t>
  </si>
  <si>
    <t>38125</t>
  </si>
  <si>
    <t>Victim was officer's wife. News articles do not specify if officer was on duty at time, though murder weapon is believed to be police issued firearm.</t>
  </si>
  <si>
    <t>http://www.wmcactionnews5.com/story/27435653/mother-shot-killed-saving-son-mpd-officer-charged-with-murder</t>
  </si>
  <si>
    <t>Elton R. Loughrey Jr.</t>
  </si>
  <si>
    <t>http://kfvs12.images.worldnow.com/images/5941213_G.jpg</t>
  </si>
  <si>
    <t>Clark St</t>
  </si>
  <si>
    <t>Clarkton</t>
  </si>
  <si>
    <t>63837</t>
  </si>
  <si>
    <t>Dunklin</t>
  </si>
  <si>
    <t>Dunklin County Sheriff's Office</t>
  </si>
  <si>
    <t>Loughrey was suspected of killing a Clarkton officer. Deputies were called about a man who had a gun. When they arrived it was Loughrey - he fired his gun at the deputies resulting in their retaliation and Loughrey's death.</t>
  </si>
  <si>
    <t>http://www.kfvs12.com/story/27452994/suspect-in-shooting-with-clarkton-officer-dies</t>
  </si>
  <si>
    <t>Vincent Martinez</t>
  </si>
  <si>
    <t>http://images.onset.freedom.com/pressenterprise/gallery/nfd7ve-b88265671z.120141120172144000gls6f9lc.10.jpg</t>
  </si>
  <si>
    <t>10400 Keller Avenue</t>
  </si>
  <si>
    <t>92505</t>
  </si>
  <si>
    <t>Riverside Police Department</t>
  </si>
  <si>
    <t>Police said they were conducting a narcotics investigation near Martinez’s house when they spotted his car and tried to stop it. Martinez kept driving until he reached his driveway, pulled in and got out of the car, then led officers on a foot chase before pulling a loaded gun. Martinez died in a neighbor's backyard.</t>
  </si>
  <si>
    <t>http://www.pe.com/articles/martinez-754681-police-riverside.html</t>
  </si>
  <si>
    <t>Michael Case</t>
  </si>
  <si>
    <t>801 Main Street</t>
  </si>
  <si>
    <t>Dunedin</t>
  </si>
  <si>
    <t>34698</t>
  </si>
  <si>
    <t>Pinellas County Sheriff’s Office</t>
  </si>
  <si>
    <t>Deputies were called about a disturbance in a trailer park. When the deputies entered a home Case confronted them with a knife, he refused to comply and was shot and killed.</t>
  </si>
  <si>
    <t>http://tbo.com/pinellas-county/pinellas-deputy-fatally-shoots-man-in-dunedin-20141118/</t>
  </si>
  <si>
    <t>Charles McBennett</t>
  </si>
  <si>
    <t>http://bloximages.newyork1.vip.townnews.com/fayobserver.com/content/tncms/assets/v3/editorial/a/65/a654928a-7014-11e4-9a0a-f3cea21b60b6/546cd8bed617a.image.jpg?resize=300%2C399</t>
  </si>
  <si>
    <t>4700 Rosehill Road</t>
  </si>
  <si>
    <t>Fayetteville</t>
  </si>
  <si>
    <t>28311</t>
  </si>
  <si>
    <t>Fayetteville Police Department</t>
  </si>
  <si>
    <t>McBennett suffered from depression and was committed three times 6 months before his death. On the day of his death McBennett fired shots at officers - officers retaliated, killing McBennett.</t>
  </si>
  <si>
    <t>Kashawn Leonard</t>
  </si>
  <si>
    <t>2900 block Wire Grass Road</t>
  </si>
  <si>
    <t>Lumberton</t>
  </si>
  <si>
    <t>28358</t>
  </si>
  <si>
    <t>http://www.wral.com/guns-found-in-wreckage-at-site-of-fatal-robeson-crash/14196988/</t>
  </si>
  <si>
    <t>Kadaufei Worley</t>
  </si>
  <si>
    <t>Tylek McNair</t>
  </si>
  <si>
    <t>Daylon Cummings</t>
  </si>
  <si>
    <t>Thomas Read</t>
  </si>
  <si>
    <t>400 South Main Street</t>
  </si>
  <si>
    <t>Phillipsburg</t>
  </si>
  <si>
    <t>08865</t>
  </si>
  <si>
    <t>Warren</t>
  </si>
  <si>
    <t>Phillipsburg Police Department</t>
  </si>
  <si>
    <t>When officers arrived at the home, they found Read on the first floor holding a knife in a "threatening manner" and refusing to come outside. Police entered the home and confronted Read, who refused to drop the knife and was shot by police.</t>
  </si>
  <si>
    <t>Cecil Chaney Tinker-Smith</t>
  </si>
  <si>
    <t>5765 Mosquito Lake Rd</t>
  </si>
  <si>
    <t>Deming</t>
  </si>
  <si>
    <t>98244</t>
  </si>
  <si>
    <t>Whatcom County Sheriff's Office</t>
  </si>
  <si>
    <t>Law enforcement reached the home to arrest Tinker-Smith for warrants and for being a felon in possession of a firearm. Once they rolled up to the house, however, they saw him running into a building and heard what sounded like a single gunshot." SWAT was brought in. Tinker fired at SWAT resulting in SWAT firing back, killing Tinker.</t>
  </si>
  <si>
    <t>http://www.bellinghamherald.com/2014/11/17/3977875/man-dead-after-shootout-with-whatcom.html</t>
  </si>
  <si>
    <t>Eduardo Bermudez</t>
  </si>
  <si>
    <t>https://cbsla.files.wordpress.com/2014/11/east-la-victim.jpg?w=300&amp;h=168</t>
  </si>
  <si>
    <t>5300 Verona Street</t>
  </si>
  <si>
    <t>East Los Angeles</t>
  </si>
  <si>
    <t>90022</t>
  </si>
  <si>
    <t>Bermudez and Avelar-Lara were driving in a car with a fake gun and pointed it at someone. Deputies were notified and when they arrived on scene Bermudez and Avelar-Lara allegedly pointed a gun in the deputies direction, prompting the deputies to shoot and kill both of them.</t>
  </si>
  <si>
    <t>http://losangeles.cbslocal.com/2014/11/16/2-killed-in-east-la-deputy-involved-shooting/</t>
  </si>
  <si>
    <t>Ricardo Avelar-Lara</t>
  </si>
  <si>
    <t>http://www.killedbypolice.net/victims/140968.jpg</t>
  </si>
  <si>
    <t>Dawn Renee Cameron</t>
  </si>
  <si>
    <t>http://wfla.images.worldnow.com/images/5830485_G.jpg</t>
  </si>
  <si>
    <t>550 North Independence Highway</t>
  </si>
  <si>
    <t>Inverness</t>
  </si>
  <si>
    <t>34453</t>
  </si>
  <si>
    <t>Citrus</t>
  </si>
  <si>
    <t>Citrus County Sheriff's Office</t>
  </si>
  <si>
    <t>Citrus County Sheriff's Office got a call about a woman trying to set her neighbor's truck on fire. When Deputy Jacob Chenoweth arrived at the park entrance, the woman identified as Dawn Renee Cameron, 46, charged at him, grabbed his taser, and pointed it at him, according to the Citrus County Sheriff's Office. Deputy Chenoweth then shot Cameron and kicked the taser away from her. Paramedics treated the woman but she died shortly after midnight Monday morning.</t>
  </si>
  <si>
    <t>http://www.wfla.com/story/27400852/woman-dies-after-officer-involved-shooting-in-citrus</t>
  </si>
  <si>
    <t>Christopher Neil Horine</t>
  </si>
  <si>
    <t>http://ak-cache.legacy.net/legacy/images/Cobrands/SentinelNews/Photos/OBIThorineChristopherNeil_20141118.jpg</t>
  </si>
  <si>
    <t>Hazel Lawn Dr</t>
  </si>
  <si>
    <t>40065</t>
  </si>
  <si>
    <t>Authorities said a woman called police asking officers to get someone off her front yard. When the trooper stopped, the suspect started firing shots. The trooper ran back to his car and returned fire, hitting Christopher Horine.</t>
  </si>
  <si>
    <t>http://www.wlky.com/news/person-killed-in-shootout-with-ksp-trooper-in-shelbyville/29769862</t>
  </si>
  <si>
    <t>Lenny Miles</t>
  </si>
  <si>
    <t>http://pioneernewsgroup.com/klamathmostwanted/wp-content/uploads/sites/14/2014/06/Miles-Lenny.jpg</t>
  </si>
  <si>
    <t>Shasta Way and Summers Lane</t>
  </si>
  <si>
    <t>Klamath Falls</t>
  </si>
  <si>
    <t>97603</t>
  </si>
  <si>
    <t>Klamath</t>
  </si>
  <si>
    <t>Klamath County Sheriff’s Department, Klamath Falls Police Department, and Oregon State Police</t>
  </si>
  <si>
    <t>Miles was shot and killed in the immediate aftermath of his armed robbery of a market and a firefight with police. He had multiple outstanding felony warrants.</t>
  </si>
  <si>
    <t>http://koin.com/2014/11/17/wanted-man-dead-after-robbery-police-chase/</t>
  </si>
  <si>
    <t>John R. Smelko</t>
  </si>
  <si>
    <t>http://media.cmgdigital.com/shared/lt/lt_cache/thumbnail/188/img/photos/2014/11/17/a4/51/IMG_06631.jpg</t>
  </si>
  <si>
    <t>1101 Huffman Ave</t>
  </si>
  <si>
    <t>45403</t>
  </si>
  <si>
    <t>Dayton Police Department</t>
  </si>
  <si>
    <t>After a disconnected 911 call officers arrived at a home to Smelko pointing a gun at them. The police then shot and killed Smelko.</t>
  </si>
  <si>
    <t>http://www.whio.com/news/news/crime-law/dayton-police-investigate-shooting-on-huffman-ave/nh8bY/</t>
  </si>
  <si>
    <t>Juventino Bermudez-Arenas</t>
  </si>
  <si>
    <t>Southwest Baker Street</t>
  </si>
  <si>
    <t>97128</t>
  </si>
  <si>
    <t>McMinnville Police Department</t>
  </si>
  <si>
    <t>For reasons unknown, undocumented Christmas-tree-farm worker Bermudez-Arenas encountered a 20-year-old college football player at a 7-11 across from his school and stabbed him to death. Awhile later Bermudez-Arenas returned to the convenience store -- according to his family, he was turning himself in -- and was shot to death by local police.</t>
  </si>
  <si>
    <t>http://www.oregonlive.com/pacific-northwest-news/index.ssf/2014/11/yamhill_county_investigators_c.html#incart_m-rpt-1</t>
  </si>
  <si>
    <t>Sharrinder Garcha</t>
  </si>
  <si>
    <t>http://www.expressandstar.com/wpmvc/wp/wp-content/uploads/2014/12/Shooting-injured-cop1.jpg</t>
  </si>
  <si>
    <t>16315 County Highway J</t>
  </si>
  <si>
    <t>Chippewa Falls</t>
  </si>
  <si>
    <t>54729</t>
  </si>
  <si>
    <t>Chippewa</t>
  </si>
  <si>
    <t>Chippewa County Sheriff’s Department</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</si>
  <si>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</si>
  <si>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</si>
  <si>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Wesley Castillo</t>
  </si>
  <si>
    <t>376 Center St.</t>
  </si>
  <si>
    <t>Chula Vista</t>
  </si>
  <si>
    <t>91910</t>
  </si>
  <si>
    <t>Chula Vista Police Department</t>
  </si>
  <si>
    <t>Police Officer was visiting his family when his brother (Wesley Castillo) began fighting with their mother. The fighting escalated and Castillo stabbed his brother (police officer). The officer shot and killed his brother.</t>
  </si>
  <si>
    <t>http://www.utsandiego.com/news/2014/nov/14/shot-stabbed-chula-vista-apartment/</t>
  </si>
  <si>
    <t>William F. McNulty</t>
  </si>
  <si>
    <t>http://media.philly.com/images/william_f_mcnulty.jpg</t>
  </si>
  <si>
    <t>Harvey Road and Garfield Avenue</t>
  </si>
  <si>
    <t>Delaware State Police</t>
  </si>
  <si>
    <t>McNulty was a suspect in several local robberies. Police tried to pull him over and his car veered off the road. Police instructed him to exit vehicle, but suspect but car in reverse and drove toward officers. They shot him through the car's back window.</t>
  </si>
  <si>
    <t>http://www.philly.com/philly/news/Robbery_suspect_shot_by_Delaware_troopers_dies.html</t>
  </si>
  <si>
    <t>Shonda E. Mikelson</t>
  </si>
  <si>
    <t>http://www.keehrfuneralhome.com/obituaries/uploads/OI992847254_ShondaJohnsonMikelsonoval2014.png</t>
  </si>
  <si>
    <t>603 Main St.</t>
  </si>
  <si>
    <t>Boyceville</t>
  </si>
  <si>
    <t>54725</t>
  </si>
  <si>
    <t>Dunn</t>
  </si>
  <si>
    <t>Boyceville police Department</t>
  </si>
  <si>
    <t>When a Boyceville police officer responded to the home a 33-year old woman came to the door carrying a rifle in her hand. When the officer told the woman to drop the rifle she refused and then pulled a handgun out and pointed it at the officer. Detectives say that's when the officer fired one fatal round at the suspect.</t>
  </si>
  <si>
    <t>Tanisha N. Anderson</t>
  </si>
  <si>
    <t>http://media.cleveland.com/plain_dealer_metro/photo/16510043-small.jpg</t>
  </si>
  <si>
    <t>1300 Ansel Rd</t>
  </si>
  <si>
    <t>44106</t>
  </si>
  <si>
    <t>Taser, Physical Restraint</t>
  </si>
  <si>
    <t>Anderson suffered from schizophrenia, and officers agreed with the family that she should be taken to a medical center for evaluation. When officers cuffed Anderson and tried to place her inside their vehicle she resisted. Officers then tasered her and tackled her to the ground, forcing her head onto the ground. Anderson became unresponsive and was pronounced dead at the hospital.</t>
  </si>
  <si>
    <t>http://www.cleveland.com/metro/index.ssf/2014/11/cleveland_woman_with_mental_il_1.html</t>
  </si>
  <si>
    <t>Darnell Dayron Stafford</t>
  </si>
  <si>
    <t>http://trenton.s3.amazonaws.com/cache/photos/2014/11/13/Screen_Shot_2014-11-13_at_10.48.23_PM/225x300/89068ca4f4cb0456cf98c98bf6c47691.jpg</t>
  </si>
  <si>
    <t>10 Wilson St.</t>
  </si>
  <si>
    <t>08618</t>
  </si>
  <si>
    <t>Officers were dispatched after police received a 911 call reporting a man with a gun who had just invaded a home. Police say the call was made by an adolescent who escaped from the house. When the officers arrived on-scene, they saw Stafford, who fired at them while they were sitting in their police vehicle. The officers then returned fire, killing him.</t>
  </si>
  <si>
    <t>http://trenton.homicidewatch.org/2014/11/13/man-dead-after-police-involved-shooting/</t>
  </si>
  <si>
    <t>Ramiro James Villegas</t>
  </si>
  <si>
    <t>https://s.yimg.com/lo/api/res/1.2/iE2VwQeSY4f8FyQnJbvkfg--/YXBwaWQ9eXZpZGVvZmVlZHM7Zmk9ZmlsbDtoPTUzODt3PTk1Ng--/http://media.zenfs.com/en-US/video/video.scripps.com/5EAA9B49E667440DAE5CEEBB0536928F_large_image.jpg</t>
  </si>
  <si>
    <t>CA 178 and Mt. Vernon</t>
  </si>
  <si>
    <t>93306</t>
  </si>
  <si>
    <t>Police attempted to pull over vehicle, which resulted in a high speed chase. Villegas crashed into a pole and exited the vehicle. Witnesses state that Villegas refused to comply with officer's directions and shouted obsenities. Ramiro then reached for his waist and was shot by three officers. Another officer used his taser. Some witnesses claimed that he raised his hands in the air. No weapon was recovered at the scene.</t>
  </si>
  <si>
    <t>http://www.turnto23.com/news/breaking-news/police-pursuit-ends-on-eastside</t>
  </si>
  <si>
    <t>George Armando Ramirez</t>
  </si>
  <si>
    <t>1000 E Rialto Ave</t>
  </si>
  <si>
    <t>92408</t>
  </si>
  <si>
    <t>Ramirez was being investigated by undercover police agents from Los Angeles. He was followed to San Bernardino where he shot one of the agents and was subsequently shot and killed.</t>
  </si>
  <si>
    <t>http://www.sbsun.com/general-news/20141113/wounded-downey-officer-released-from-hospital-after-san-bernardino-shoot-out-1-suspect-dead</t>
  </si>
  <si>
    <t>Andrew Brady Davidson</t>
  </si>
  <si>
    <t>http://media.cmgdigital.com/shared/lt/lt_cache/thumbnail/188/img/photos/2014/12/12/98/ed/andrew-davidson.jpg</t>
  </si>
  <si>
    <t>6550 Miller Lane</t>
  </si>
  <si>
    <t>45414</t>
  </si>
  <si>
    <t>Butler Township Police Department</t>
  </si>
  <si>
    <t>Police said Davidson, 33, had threatened to kill employees at the Nitto Denko automotive factory in Piqua. Authorities said Davidson also threatened to kill Officers Carter and Stanley, and tried to pepper-spray them. Stanley shot and killed him.</t>
  </si>
  <si>
    <t>http://www.daytondailynews.com/news/news/crime-law/butler-twp-officers-involved-in-fatal-shooting-bac/njRYM/</t>
  </si>
  <si>
    <t>James Christopher McCown Jr.</t>
  </si>
  <si>
    <t>http://media.graytvinc.com/images/James+McCown.jpg</t>
  </si>
  <si>
    <t>8227 Chapman Highway</t>
  </si>
  <si>
    <t>37920</t>
  </si>
  <si>
    <t>Officers tracked McCown to the Chatterbox bar. They found him outside, set up a perimeter and tried to arrest him around 5:45p.m. But they say when they tried to take him into custody, McCown fired at officers. Officers returned fire, killing McCown.</t>
  </si>
  <si>
    <t>Jose Avalos</t>
  </si>
  <si>
    <t>1975 Diamond Boulevard</t>
  </si>
  <si>
    <t>Concord</t>
  </si>
  <si>
    <t>94520</t>
  </si>
  <si>
    <t>Concord Police Department</t>
  </si>
  <si>
    <t>Avalos was suspected of stealing a car. He led police on a short car chase until he drove the car into a police vehicle. Officers then shot and killed him.</t>
  </si>
  <si>
    <t>http://sanfrancisco.cbslocal.com/2014/11/13/suspected-car-thief-shot-by-police-in-concord-dies-jose-avalos-bay-point-fatal-shooting-willows-shopping-center-interstate-680/</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</si>
  <si>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</si>
  <si>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</si>
  <si>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</si>
  <si>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</si>
  <si>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</si>
  <si>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</si>
  <si>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</si>
  <si>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David Daniel McBrayer</t>
  </si>
  <si>
    <t>http://wbma.images.worldnow.com/images/5750208_G.jpg</t>
  </si>
  <si>
    <t>Nisbet St NW</t>
  </si>
  <si>
    <t>36265</t>
  </si>
  <si>
    <t>Calhoun</t>
  </si>
  <si>
    <t>McBrayar had a knife in his hand. He disobeyed officers orders to drop it. McBrayar then pointed the knife in an officer's direction prompting an officer to shoot and kill him.</t>
  </si>
  <si>
    <t>http://www.abc3340.com/story/27361816/officer-involved-shooting-killed-one-man</t>
  </si>
  <si>
    <t>Jerry Lee Matheny</t>
  </si>
  <si>
    <t>Willow Place</t>
  </si>
  <si>
    <t>Menlo Park</t>
  </si>
  <si>
    <t>94025</t>
  </si>
  <si>
    <t>Menlo Park Police Department</t>
  </si>
  <si>
    <t>Police responded to a call of a suspicious person in the area of Willow Place. Upon arrival, officers found a male suspect involved in a burglary in progress. A foot pursuit ensued of the suspect, and a Taser device was deployed to stop the suspect. The male suspect brandished a gun at the officers. Officers shot the suspect, and he was pronounced dead at the scene by medics.</t>
  </si>
  <si>
    <t>http://www.mercurynews.com/san-mateo-county-times/ci_26923456/menlo-park-burglary-suspect-shot-killed-by-police</t>
  </si>
  <si>
    <t>Aaron Forgash</t>
  </si>
  <si>
    <t>https://www.google.com/url?sa=i&amp;rct=j&amp;q=&amp;esrc=s&amp;source=images&amp;cd=&amp;cad=rja&amp;uact=8&amp;ved=0CAcQjRw&amp;url=http%3A%2F%2Fradaris.com%2Fp%2FAaron%2FForgash%2F&amp;ei=vs_TVMfpLomfNti5hPgM&amp;bvm=bv.85464276,d.eXY&amp;psig=AFQjCNEa-1y2W461fCq1uMSs9y99uEOoDg&amp;ust=1423253820218885</t>
  </si>
  <si>
    <t>1500 Palma Bonita Ln</t>
  </si>
  <si>
    <t>92571</t>
  </si>
  <si>
    <t>Forgash led police on a chase after trying to use a fraudulent check and I.D. After the chase Forgash exited his vehicle. A deputy shot and killed Forgash, saying later he had been moving his upper body in a twisting motion. He reportedly did not have a weapon.</t>
  </si>
  <si>
    <t>http://www.pe.com/articles/shot-754737-suspect-deputies.html</t>
  </si>
  <si>
    <t>Richard Lee Snouffer II</t>
  </si>
  <si>
    <t>1308 Rankin Mill Road</t>
  </si>
  <si>
    <t>McLeansville</t>
  </si>
  <si>
    <t>27301</t>
  </si>
  <si>
    <t>Guilford County Sheriff's Office</t>
  </si>
  <si>
    <t>Motorcyclist Snouffer was being chased at high speed by county deputies when his bike struck a road sign, propelling him into a cemetery fence and killing him.</t>
  </si>
  <si>
    <t>David Yearby</t>
  </si>
  <si>
    <t>U.S. 130</t>
  </si>
  <si>
    <t>North Brunswick</t>
  </si>
  <si>
    <t>Middlesex County Sheriff's Office</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</si>
  <si>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</si>
  <si>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</si>
  <si>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</si>
  <si>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</si>
  <si>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</si>
  <si>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</si>
  <si>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</si>
  <si>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</si>
  <si>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Aura Rosser</t>
  </si>
  <si>
    <t>http://imgick.mlive.com/home/mlive-media/pgmain/img/ann-arbor_photos/photo/-78882361eaf9098d.jpg</t>
  </si>
  <si>
    <t>2083 Winewood Ave</t>
  </si>
  <si>
    <t>Ann Arbor</t>
  </si>
  <si>
    <t>48103</t>
  </si>
  <si>
    <t>Washtenaw</t>
  </si>
  <si>
    <t>Ann Arbor Police Department</t>
  </si>
  <si>
    <t>A 40-year-old woman confronted the officers with a knife when Ann Arbor Police officers were dispatched to a home for a domestic disturbance, according to police. One officer shot and killed her, and the woman died at the scene, police say</t>
  </si>
  <si>
    <t>http://www.mlive.com/news/ann-arbor/index.ssf/2014/11/ann_arbor_police_shooting_name.html</t>
  </si>
  <si>
    <t>Josue Narciso Fuentes</t>
  </si>
  <si>
    <t>https://tribktla.files.wordpress.com/2014/11/fuentes-pic.jpg?w=300&amp;h=168</t>
  </si>
  <si>
    <t>15699 Victory Blvd</t>
  </si>
  <si>
    <t>Van Nuys</t>
  </si>
  <si>
    <t>91406</t>
  </si>
  <si>
    <t>Fuentes was shot and killed by Los Angeles Police Department West Valley Division officers after they responded to a radio call of a man cutting himself with a knife. Police saw a man holding a knife to his own neck. They said he ignored officers’ commands to stop cutting himself and to drop the knife. At one point, the man “became aggressive” toward the officers, police have said, so they shot and killed him.</t>
  </si>
  <si>
    <t>http://www.dailynews.com/general-news/20141230/family-of-pierce-college-student-fatally-shot-by-police-files-claim-against-los-angeles</t>
  </si>
  <si>
    <t>Ian Santamaria</t>
  </si>
  <si>
    <t>http://media.thedenverchannel.com/photo/2014/11/10/Santamaria_Ian_1415662656636_9545190_ver1.0_640_480.jpg</t>
  </si>
  <si>
    <t>S Tamarac St &amp; I-225</t>
  </si>
  <si>
    <t>80237</t>
  </si>
  <si>
    <t>Santamaria was pulled over. Shortly after a shootout with him and officers ensued. It was not immediately clear whether the shot that killed Santamaria was from his weapon or an officers.</t>
  </si>
  <si>
    <t>http://www.thedenverchannel.com/news/local-news/driver-shot-and-killed-deputy-injured-during-traffic-stop-in-denver-area</t>
  </si>
  <si>
    <t>Jorge Trejo</t>
  </si>
  <si>
    <t>3200 Huron St</t>
  </si>
  <si>
    <t>90065</t>
  </si>
  <si>
    <t>Trejo was wanted for assault with a deadly weapon. Trejo was spotted and began a slow police pursuit in which Trejo pointed a sawed off shotgun at officers. At the end of the pursuit Trejo pointed the shotgun at officers prompting them to shoot and kill Trejo.</t>
  </si>
  <si>
    <t>http://homicide.latimes.com/post/jorge-trejo/</t>
  </si>
  <si>
    <t>Daniel Zamora</t>
  </si>
  <si>
    <t>https://apps.azcorrections.gov/mugshots/079472.jpg</t>
  </si>
  <si>
    <t>W Glendale Ave &amp; N 39th Ave</t>
  </si>
  <si>
    <t>85051</t>
  </si>
  <si>
    <t>Zamora appeared to be hallucinating. He was asking officers for help until he tried to punch an officer. That is when officers struggled Zamora to the ground and handcuffed him. Zamora stopped breathing and was pronounced dead at the hospital.</t>
  </si>
  <si>
    <t>http://www.azfamily.com/news/PD-Man-dies-after-causing-disturbance-in-Phoenix-neighborhood-282085441.html</t>
  </si>
  <si>
    <t>Christopher Keith O'Neal</t>
  </si>
  <si>
    <t>16th Avenue</t>
  </si>
  <si>
    <t>Lucerne</t>
  </si>
  <si>
    <t>95458</t>
  </si>
  <si>
    <t>The officers were responding to a call at a home on 16th Street when the incident occurred. The man came outside with a knife and allegedly threatened to harm the officers. When he allegedly charged them, they shot him multiple times, Anderson said.</t>
  </si>
  <si>
    <t>http://www.lakeconews.com/index.php?option=com_content&amp;view=article&amp;id=39319:autopsy-shows-man-who-charged-deputies-with-knife-was-shot-several-times&amp;catid=1:latest&amp;Itemid=197</t>
  </si>
  <si>
    <t>Keith Atkinson Jr.</t>
  </si>
  <si>
    <t>1600 New York Avenue</t>
  </si>
  <si>
    <t>Manchester</t>
  </si>
  <si>
    <t>Manchester Police Department</t>
  </si>
  <si>
    <t>Keith was struck and killed by a police car on New York Avenue as the officer was responding to a report of a suspicious person.</t>
  </si>
  <si>
    <t>http://www.nj.com/ocean/index.ssf/2014/11/manchester_man_killed_by_police_car_authorities_say.html</t>
  </si>
  <si>
    <t>Carlos Davenport</t>
  </si>
  <si>
    <t>1100 Washington Ave.</t>
  </si>
  <si>
    <t>66102</t>
  </si>
  <si>
    <t>Suspect reportedly charged at officers with a sword who were responding to a 911 call of a man who was attempting to stab a woman.</t>
  </si>
  <si>
    <t>http://www.kansascity.com/news/local/crime/article3688180.html</t>
  </si>
  <si>
    <t>Joy Ann Sherman</t>
  </si>
  <si>
    <t>1221 South Burr St</t>
  </si>
  <si>
    <t>57301</t>
  </si>
  <si>
    <t>Davison</t>
  </si>
  <si>
    <t>Mitchell Police Department</t>
  </si>
  <si>
    <t>According to the Argus Leader: Mitchell dispatchers received a call from a treatment facility counselor saying that a former resident, Sherman, was at the Quality Inn and Suites and had a gun. Sherman was intoxicated and threatening to hurt herself and anyone else. Mitchell Police Sgt. David Beintema and an Emergency Response Unit arrived at the hotel and attempted to negotiate with Sherman. Sherman opened her door and made eye contact with Sgt. Beintema, who ordered Sherman to show her hands. At that point she stepped into the hallway and aimed her gun at Sgt. Beintema. He shot Sherman three times, and she fell onto the floor in the doorway of her room.</t>
  </si>
  <si>
    <t>https://drive.google.com/file/d/0B-l9Ys3cd80faHpXVGpKLVpFOXM/view?usp=sharing</t>
  </si>
  <si>
    <t>Troy Hart</t>
  </si>
  <si>
    <t>http://cdn.inquisitr.com/wp-content/uploads/2014/11/Troy-Hart-police-shooting-665x385.jpg</t>
  </si>
  <si>
    <t>Grand Traverse Street &amp; Clare Court</t>
  </si>
  <si>
    <t>Westland</t>
  </si>
  <si>
    <t>48186</t>
  </si>
  <si>
    <t>Westland Police Department</t>
  </si>
  <si>
    <t>Hart, a severely handicapped man, was shot and killed after police after disobeying orders to drop a knife.</t>
  </si>
  <si>
    <t>http://www.inquisitr.com/1600250/troy-hart-police-shooting/</t>
  </si>
  <si>
    <t>Jeremy Michael Sherbon</t>
  </si>
  <si>
    <t>http://www.koco.com/image/view/-/29639042/highRes/1/-/maxh/480/maxw/640/-/65qfxg/-/Sherbon-jpg.jpg</t>
  </si>
  <si>
    <t>3624 North Pennsylvania Avenue</t>
  </si>
  <si>
    <t>73112</t>
  </si>
  <si>
    <t>Police responded to a robbery at 7-Eleven and an officer found Sherbon, who fit the robber’s description. He attempted to detain him. They fought and Sherbon took Hynd’s gun and fired at the officer, missing him. Other officers arrived, and a gunfight took place, with Sherbon being shot and killed.</t>
  </si>
  <si>
    <t>http://www.koco.com/news/oklahoma-city-police-kill-robbery-suspect-during-gun-battle/29617374</t>
  </si>
  <si>
    <t>Adam Thomas</t>
  </si>
  <si>
    <t>41100 Toledo Dr</t>
  </si>
  <si>
    <t>Sheriff's deputies were dispatched on an assault call, but when they pulled up to the home they found the victim suffering from multiple gunshot wounds, Riverside County sheriff's Deputy Patty Stoyer said. The victim, identified as Adam Thomas, 27, of Moreno Valley, was taken to a hospital where he was pronounced dead, Stoyer said. Sheriff's deputies arrested suspect Demery in connection with the shooting. He was booked on suspicion of murder.</t>
  </si>
  <si>
    <t>http://www.nbclosangeles.com/news/local/Argument-Leads-to-Deadly-Shooting-in-Hemet-Police-282031501.html</t>
  </si>
  <si>
    <t>David Grayson</t>
  </si>
  <si>
    <t>5800 Jacksboro Highway</t>
  </si>
  <si>
    <t>76114</t>
  </si>
  <si>
    <t>Sansom Park Police Department</t>
  </si>
  <si>
    <t>Officers responded to a domestic disturbance call. David Wyatt Grayson was armed with a knife and holding a woman inside the home. Grayson refused to let the woman go or to leave the house, so officers went inside the house, officials said. One officer shot and killed Grayson.</t>
  </si>
  <si>
    <t>http://crimeblog.dallasnews.com/2014/11/texas-rangers-investigate-fatal-shooting-in-sansom-park.html/</t>
  </si>
  <si>
    <t>Cinque D'Jahspora</t>
  </si>
  <si>
    <t>http://media.tumblr.com/03f86212c2c09bd0996d13d043e9d451/tumblr_inline_nfz9zkbP2A1ruklg0.jpg</t>
  </si>
  <si>
    <t>1104 N Parkway</t>
  </si>
  <si>
    <t>38305</t>
  </si>
  <si>
    <t>Jackson Police Department</t>
  </si>
  <si>
    <t>Shot and killed after stabbing a police officer.</t>
  </si>
  <si>
    <t>William Anderson</t>
  </si>
  <si>
    <t>Sparkman Street </t>
  </si>
  <si>
    <t>Hartselle</t>
  </si>
  <si>
    <t>Hartselle Police Department</t>
  </si>
  <si>
    <t>Hartselle police said Lt. James Holladay was on a routine patrol on Sparkman Street when a man crossed the street in front of him. Police said the car ran into the man, killing him.</t>
  </si>
  <si>
    <t>http://www.al.com/news/huntsville/index.ssf/2014/11/troopers_identify_71-year-old.html</t>
  </si>
  <si>
    <t>William Forrest Spargur II</t>
  </si>
  <si>
    <t>http://www.chapelofthevalleymortuary.com/obituaries/uploads/OI1192741749_101.jpg</t>
  </si>
  <si>
    <t>Rancho Vista Boulevard and Cricket Lane</t>
  </si>
  <si>
    <t>Palmdale</t>
  </si>
  <si>
    <t>93551</t>
  </si>
  <si>
    <t>Deputies received a call of a possibly suicidal man with a gun, according to a news release from the sheriff’s office. When deputies arrived, Spargur allegedly pointed a gun at them and a deputy shot and killed him.</t>
  </si>
  <si>
    <t>http://abc7.com/news/suspect-injured-in-palmdale-deputy-involved-shooting/384773/</t>
  </si>
  <si>
    <t>Daniel Young</t>
  </si>
  <si>
    <t>100 E. 400 S.</t>
  </si>
  <si>
    <t>Jerome</t>
  </si>
  <si>
    <t>Young had a handgun. Officials have not said if Young threatened the deputies or released any other information about the events leading up to the shooting.</t>
  </si>
  <si>
    <t>Robert William Hampton III</t>
  </si>
  <si>
    <t>Terrace Drive and College Drive</t>
  </si>
  <si>
    <t>89503</t>
  </si>
  <si>
    <t>Washoe</t>
  </si>
  <si>
    <t>Washoe County Sheriff's Office, University of Nevada, Reno Police Department</t>
  </si>
  <si>
    <t>Robert William Hampton III, 33, was killed by a Washoe County Sheriff's deputy following a traffic stop on Terrace Drive just west of the Wolf Den Bar and Grill. Police said Hampton had three felony warrants for his arrest and had served time in prison in Kentucky.</t>
  </si>
  <si>
    <t>Anthony Laviolette</t>
  </si>
  <si>
    <t>West Powerhouse Rd</t>
  </si>
  <si>
    <t>Yakima</t>
  </si>
  <si>
    <t>Yakima County Sheriff's Office</t>
  </si>
  <si>
    <t>One of the deputies approached as the vehicle accelerated and drove toward him. Fearing for his safety, the deputy fired several shots as he was struck and knocked to the ground by the car. The 27-year-old male driver suffered a gunshot wound and was pronounced deceased at the scene</t>
  </si>
  <si>
    <t>Ernest F. McKnight Jr.</t>
  </si>
  <si>
    <t>Township Road 246</t>
  </si>
  <si>
    <t>Kitts Hall</t>
  </si>
  <si>
    <t>Investigators were executing a warrant at a home on Township Road 246 when they say they were confronted by Ernest F. McKnight, Jr, 64. They say McKnight pointed a weapon at them, and refused to put it down. Sheriff Jeff Lawless said Detective Aaron Bollinger, fearing for his life, shot McKnight.</t>
  </si>
  <si>
    <t>Raphael Thomas</t>
  </si>
  <si>
    <t>http://media2.newsnet5.com/photo/2014/11/04/Raupheal-Thomas-4_1415128586951_9445805_ver1.0_640_480.jpg</t>
  </si>
  <si>
    <t>Roslyn Ave &amp; Orrin St</t>
  </si>
  <si>
    <t>44320</t>
  </si>
  <si>
    <t>Akron County Police Department</t>
  </si>
  <si>
    <t>Officers received a call for two suspicious men who could be "casing" on Orrin Street near Roslyn Avenue. Two officers arrived and confronted the men. Police say one of the men became confrontational, so the officer attempted to take him into custody. During the struggle, police say shots were fired, killing Thomas. Witness says police were rough with his friend and shot him when he stood up and started to leave.</t>
  </si>
  <si>
    <t>http://www.wakr.net/news/item/157334-one-dead-in-apd-shooting</t>
  </si>
  <si>
    <t>http://www.dailyherald.com/storyimage/DA/20141103/news/141109653/AR/0/AR-141109653.jpg&amp;updated=201411031843&amp;MaxW=800&amp;maxH=800&amp;updated=201411031843&amp;noborder</t>
  </si>
  <si>
    <t>777 Park Avenue West</t>
  </si>
  <si>
    <t>Highland Park</t>
  </si>
  <si>
    <t>60035</t>
  </si>
  <si>
    <t>Highland Park Police Department</t>
  </si>
  <si>
    <t>Anderson and his daughter had been taken to the hospital after a car accident. Police were dispatched to hospital with reports of aggressive patient (Anderson). Anderson had a hand gun when police arrived, they ordered him to drop it, he refused. 2 officers fired 9 rounds hitting anderson multiple times.</t>
  </si>
  <si>
    <t>http://www.dailyherald.com/article/20141103/news/141109653/</t>
  </si>
  <si>
    <t>Northwest 151st St and Sixth Ave</t>
  </si>
  <si>
    <t>North Miami Beach</t>
  </si>
  <si>
    <t>Detectives from the Street Crime Unit were able to locate the vehicle where the bank robber was suspected to be. They followed the vehicle and then attempted to stop the vehicle, at which point alleged gunfire took place, killing the suspect.</t>
  </si>
  <si>
    <t>http://www.wsvn.com/story/27257546/2-schools-in-lockdown-after-police-pursuit-ends-in-fatal-shooting</t>
  </si>
  <si>
    <t>Aaron Fulton</t>
  </si>
  <si>
    <t>OH-7 &amp; County House Ln</t>
  </si>
  <si>
    <t>Marietta</t>
  </si>
  <si>
    <t>Aaron Fulton, 28, was attempting to cross Ohio 7 near the County House Lane intersection when he was hit by Deputy Brad Holbert. A hypodermic needle was found on Fulton, it is unclear whether he was intoxicated or not.</t>
  </si>
  <si>
    <t>Noah Kirsch</t>
  </si>
  <si>
    <t>NW Lawton Rd &amp; NW 10th St</t>
  </si>
  <si>
    <t>Columbus City</t>
  </si>
  <si>
    <t>66725</t>
  </si>
  <si>
    <t>Cherokee County Sheriff's Office, Kansas Highway Patrol</t>
  </si>
  <si>
    <t>Police didn't disclose why they were chasing Kirsch at high speed, but he lost control of the vehicle, left the roadway, and rolled several times. Four other 15- and 16-year-old boys and girls were injured; Kirsch was killed.</t>
  </si>
  <si>
    <t>http://www.wibw.com/home/headlines/5-Kansas-Teens-Hurt-After-Cherokee-Co-Chase-281387861.html</t>
  </si>
  <si>
    <t>Caleb Joseph Ryan</t>
  </si>
  <si>
    <t>http://media.al.com/news_birmingham_impact/photo/16887564-large.jpg</t>
  </si>
  <si>
    <t>Martin Road</t>
  </si>
  <si>
    <t>Blountsville</t>
  </si>
  <si>
    <t>35031</t>
  </si>
  <si>
    <t>Blount</t>
  </si>
  <si>
    <t>Blount County Sheriff's Office</t>
  </si>
  <si>
    <t>A deputy responded to a domestic call about a burglary, the the suspect ran and the deputy pursued him. A fight ensued, including the suspect choking the officer and attempting to gouge out his right eye. Ryan attempted to take the officer's taser and firearm during the fight. The officer was wounded and during the altercation the suspect was shot and killed.</t>
  </si>
  <si>
    <t>http://www.al.com/news/birmingham/index.ssf/2015/01/blount_county_deputy_cleared_i.html#incart_related_stories</t>
  </si>
  <si>
    <t>Charles Emmett Logan</t>
  </si>
  <si>
    <t>http://assets.nydailynews.com/polopoly_fs/1.2002593!/img/httpImage/image.JPG_gen/derivatives/article_970/article-pole-1107.JPG</t>
  </si>
  <si>
    <t>1575 Beam Avenue</t>
  </si>
  <si>
    <t>Maplewood</t>
  </si>
  <si>
    <t>55109</t>
  </si>
  <si>
    <t>Ramsey County Sheriff's Office, Maplewood Police Department</t>
  </si>
  <si>
    <t>Logan had assaulted several nurses during an episode of confusion, then ran around the hospital with a large metal bar. When officers found him, Logan was a few blocks from the hospital still holding the metal bar. Officers tried tasering him and then pushed him to the ground and handcuffed him. He became unresponsive after being handcuffed. First responders administered CPR and he was taken back to the hospital where he was pronounced dead.</t>
  </si>
  <si>
    <t>kstp.com/news/stories/S3607822.shtml</t>
  </si>
  <si>
    <t>Jesus Zuriel Orduno Luviano</t>
  </si>
  <si>
    <t>Highwayy 111 and Shields Road</t>
  </si>
  <si>
    <t>Indio</t>
  </si>
  <si>
    <t>92201</t>
  </si>
  <si>
    <t>Indio Police Department</t>
  </si>
  <si>
    <t>California Highway Patrol attempted to pull over a drunk driver. When the suspect didn't stop, the Indio Police Department joined the chase. The suspect exited the vehicle, allegedly with a shotgun. The victim was shot down by officers. It has yet to be determined which officer fired the fatal gunshot.</t>
  </si>
  <si>
    <t>http://www.kesq.com/news/officer-involved-shooting-in-indio-leaves-one-man-dead/29497972</t>
  </si>
  <si>
    <t>William A. Collins</t>
  </si>
  <si>
    <t>Hickory St and High St</t>
  </si>
  <si>
    <t>El Dorado Springs</t>
  </si>
  <si>
    <t>Cedar</t>
  </si>
  <si>
    <t>Cedar County Sheriff's Office</t>
  </si>
  <si>
    <t xml:space="preserve">During a pursuit, police said a passenger exited the vehicle and fled on foot. The deputy then exited his vehicle and a foot chase ensued, leading to a physical altercation and exchange of gunfire. </t>
  </si>
  <si>
    <t>John T. Wilson III</t>
  </si>
  <si>
    <t>W Sahara Ave &amp; I-15</t>
  </si>
  <si>
    <t>89102</t>
  </si>
  <si>
    <t>Nevada Highway Patrol</t>
  </si>
  <si>
    <t>Officers responded to call about a man walking along the freeway holding an assault rifle. Officers arrived and shot the victim in the back. It was later learned that the victim was holding a pellet gun. The details of the shooting remain "sketchy," according to Wilson's family.</t>
  </si>
  <si>
    <t>http://www.reviewjournal.com/news/las-vegas/parents-want-answers-son-s-fatal-nhp-shooting</t>
  </si>
  <si>
    <t>Francisco David Galvez</t>
  </si>
  <si>
    <t>http://ak-cache.legacy.net/legacy/images/Cobrands/Tucson/Photos/0008306697-01_20141106.jpg</t>
  </si>
  <si>
    <t>N 1st Ave &amp; E Navajo Rd</t>
  </si>
  <si>
    <t>85705</t>
  </si>
  <si>
    <t>Officer Alon Hackett was working a surveillance operation near 1st Avenue and Navajo Road when he hit 49-year-old Francisco Galvez around 10:15 p.m. Hackett was driving northbound on 1st Avenue in an unmarked City of Tucson vehicle when the bicyclist rode in front of the 2012 Nissan Pathfinder.</t>
  </si>
  <si>
    <t>Rodrigo Cabral</t>
  </si>
  <si>
    <t>Santa Fe Street and Grove Avenue</t>
  </si>
  <si>
    <t xml:space="preserve">Rodrigo Cabral, 27, was celebrating Halloween early Saturday morning in Visalia. He was in the middle of the road, according to police, when he was struck by a police car. </t>
  </si>
  <si>
    <t>http://abc30.com/news/man-struck-killed-by-visalia-police-car/376708/</t>
  </si>
  <si>
    <t>John Brantley Jr.</t>
  </si>
  <si>
    <t>http://images.onset.freedom.com/ocregister/article/nehsxa-brantly.john.f.jpg</t>
  </si>
  <si>
    <t>9900 Aldgate Avenue</t>
  </si>
  <si>
    <t>92841</t>
  </si>
  <si>
    <t>Garden Grove Police Department</t>
  </si>
  <si>
    <t>Brantley invaded a home and allegedly threatened the female resident with a knife and stabbed a male resident who had tried to arm himself with a shotgun. Police arrived on the scene and confronted the suspect and Brantley was shot.</t>
  </si>
  <si>
    <t>http://www.nbclosangeles.com/news/local/Man-Shot-Killed-by-Garden-Grove-Police-During-Suspected-Home-Invasion-281187491.html</t>
  </si>
  <si>
    <t>Richard Barrett</t>
  </si>
  <si>
    <t>300 Cherry Ave.</t>
  </si>
  <si>
    <t>90802</t>
  </si>
  <si>
    <t>Police responded to a call about a home robbery. When they arrived at the residence they were attacked by a neighbor who had broken into the home and killed the owner's dog and vandalized his home. After the victim came after police with a crowbar and a knife they shot him. The neighbor and the victim had an ongoing feud lasting nearly 10 years.</t>
  </si>
  <si>
    <t>http://laist.com/2014/11/03/police_kill_man_who_allegedly_broke.php</t>
  </si>
  <si>
    <t>Jaime Garcia</t>
  </si>
  <si>
    <t>400 N. Madeira Ave.</t>
  </si>
  <si>
    <t>Salinas</t>
  </si>
  <si>
    <t>93905</t>
  </si>
  <si>
    <t>Salinas Police Department</t>
  </si>
  <si>
    <t>Taser, Unknown Medical Issue</t>
  </si>
  <si>
    <t>Garcia was assaulting his wife with a knife and screwdriver. Police were called to the scene and got into a struggle with Garcia. Police tasered him but he still resisted. During the struggle, Garcia went into medical distress and police called paramedics. They tried CPR and took Garcia to the hospital where he was pronounced dead.</t>
  </si>
  <si>
    <t>http://www.thecalifornian.com/story/news/crime/2014/11/01/salinas-suspect-dies-following-struggle-officers/18319203/</t>
  </si>
  <si>
    <t>Steven Keith Watters</t>
  </si>
  <si>
    <t>http://www.koco.com/image/view/-/29455664/medRes/1/-/maxh/460/maxw/620/-/127e5wi/-/Steven-Watters-jpg.jpg</t>
  </si>
  <si>
    <t>S Robinson Avenue and SW 38</t>
  </si>
  <si>
    <t>Members of the Oklahoma City Metro Fugitive Squad were trying to serve an armed robbery warrant to Watters at his residence. They saw him in his vehicle with a female passenger. They called police and Watters led police on a chase. When Watters left his vehicle and ran into a creek. Police went after him and after seeing him holding a gun, they fired at him. He was pronounced dead at the scene.</t>
  </si>
  <si>
    <t>http://newsok.com/man-dies-after-officer-involved-shooting-chase-in-sw-oklahoma-city/article/5361977</t>
  </si>
  <si>
    <t>Robert Vercher</t>
  </si>
  <si>
    <t>http://www.blanchardstdenisfuneralhome.com/fh_live/10500/10503/images/obituaries/2784410.jpg</t>
  </si>
  <si>
    <t>126 2nd Street</t>
  </si>
  <si>
    <t>Natchitoches</t>
  </si>
  <si>
    <t>71457</t>
  </si>
  <si>
    <t>Natchitoches Parish Sheriff's Office</t>
  </si>
  <si>
    <t>Deputies were serving a Physicians Emergency Commitment Order to a man in a church. Gunshots were exchanged and suspect was killed.</t>
  </si>
  <si>
    <t>http://www.ksla.com/story/27157953/one-person-injured-in-officer-involved-shooting-in-natchitoches</t>
  </si>
  <si>
    <t>Jennifer S. Chauvin</t>
  </si>
  <si>
    <t>http://cloud.siteencore.com/siteencore_helper.html#rotftwetu=aHR0cCUzQS8vd3d3LnByZXNzcmVwdWJsaWNhbi5jb20vbmV3cy9wb2xpY2UtdHJvb3Blci1mYWlsZWQtdG8teWllbGQtaW4tZmF0YWwtY3Jhc2gvYXJ0aWNsZV8yODczYWE1NC01ZjZiLTExZTQtOGViMy1lNzU0MjM0YjllM2IuaHRtbA%3D%3D&amp;ibothsahtrtd=aHR0cCUzQS8vd3d3LnByZXNzcmVwdWJsaWNhbi5jb20vbmV3cy9wb2xpY2UtdHJvb3Blci1mYWlsZWQtdG8teWllbGQtaW4tZmF0YWwtY3Jhc2gvYXJ0aWNsZV8yODczYWE1NC01ZjZiLTExZTQtOGViMy1lNzU0MjM0YjllM2IuaHRtbCUzRm1vZGUlM0RpbWFnZSUyNnBob3RvJTNE&amp;shtlp=aHR0cCUzQS8vd3d3LnByZXNzcmVwdWJsaWNhbi5jb20vbmV3cy9wb2xpY2UtdHJvb3Blci1mYWlsZWQtdG8teWllbGQtaW4tZmF0YWwtY3Jhc2gvYXJ0aWNsZV8yODczYWE1NC01ZjZiLTExZTQtOGViMy1lNzU0MjM0YjllM2IuaHRtbA%3D%3D&amp;x=-8&amp;y=-8&amp;w=1382&amp;h=744&amp;t=14225974057351</t>
  </si>
  <si>
    <t>Telegraph Rd &amp; Chasm Rd</t>
  </si>
  <si>
    <t>Au Sable</t>
  </si>
  <si>
    <t>12972</t>
  </si>
  <si>
    <t>Clinton</t>
  </si>
  <si>
    <t>New York State Troopers</t>
  </si>
  <si>
    <t>A state trooper failed to yield to Chauvin at a stop sign. He hit her car at the intersection. Chauvin died, but trooper and Chauvin's children survived.</t>
  </si>
  <si>
    <t>http://www.pressrepublican.com/news/police-trooper-failed-to-yield-in-fatal-crash/article_2873aa54-5f6b-11e4-8eb3-e754234b9e3b.html</t>
  </si>
  <si>
    <t>Kaldrick Donald</t>
  </si>
  <si>
    <t>http://gray-uploads.s3.amazonaws.com/captures/669/2D2/6692D220A7804DF5A167755BA4B37864</t>
  </si>
  <si>
    <t>Cornelius Harris Lane</t>
  </si>
  <si>
    <t>Gretna</t>
  </si>
  <si>
    <t>32332</t>
  </si>
  <si>
    <t>Gadsden</t>
  </si>
  <si>
    <t>Gretna Police Department</t>
  </si>
  <si>
    <t>Donald's family called 911 for assistance with getting him into a mental hospital under Florida's Baker Act. Responding police could not control him; Donald reportedly said he "didn't want to be bothered." Local officers tasered him then shot him to death with three bullets in front of his mother and pregnant sister.</t>
  </si>
  <si>
    <t>http://www.wctv.tv/news/georgianews/headlines/Man-Shot-Killed-by-Gretna-Police-Officer-280660612.html</t>
  </si>
  <si>
    <t>Angel Frescas</t>
  </si>
  <si>
    <t>http://ksaz.images.worldnow.com/images/5435770_G.jpg</t>
  </si>
  <si>
    <t>2601 East Roosevelt Street</t>
  </si>
  <si>
    <t>85008</t>
  </si>
  <si>
    <t>Maricopa County detention officers were transporting an inmate to a county hospital when the inmate tried to escape. A struggle over the one of the officer's guns ensued, and the officer shot the victim in the head.</t>
  </si>
  <si>
    <t>http://www.azcentral.com/story/news/local/phoenix/2014/10/28/sheriffs-detention-officer-shooting/18047785/</t>
  </si>
  <si>
    <t>Roger Shipton</t>
  </si>
  <si>
    <t>500 El Mar Court</t>
  </si>
  <si>
    <t>Suisun City</t>
  </si>
  <si>
    <t>94585</t>
  </si>
  <si>
    <t>Suisun City Police Department</t>
  </si>
  <si>
    <t>Police were called about a residential disturbance. When they arrived at the home, the victim pulled a gun on the officers, who then shot him in his garage, killing him.</t>
  </si>
  <si>
    <t>http://www.dailyrepublic.com/news/crimecourts/police-court-records-cast-light-on-fatal-officer-involved-shooting/</t>
  </si>
  <si>
    <t>Richard Thomas Bergeron</t>
  </si>
  <si>
    <t>http://bloximages.newyork1.vip.townnews.com/newsadvance.com/content/tncms/assets/v3/editorial/3/9e/39e0eda6-646b-11e4-add8-001a4bcf6878/545947fa7640e.image.jpg</t>
  </si>
  <si>
    <t>1625 Teass Terrace</t>
  </si>
  <si>
    <t>24523</t>
  </si>
  <si>
    <t>Bedford City</t>
  </si>
  <si>
    <t>Bedford County Sheriff's Office</t>
  </si>
  <si>
    <t>None of the other men in the car or the officers, Rondall Carpenter and Skylar Graudick, were wounded. Police did arrest two of the men in the car with Mattingly. Both were wanted on outstanding warrants</t>
  </si>
  <si>
    <t>William Chad Mattingly</t>
  </si>
  <si>
    <t>http://wave.images.worldnow.com/images/5454956_G.jpg</t>
  </si>
  <si>
    <t>Grafton Hall Rd</t>
  </si>
  <si>
    <t>40272</t>
  </si>
  <si>
    <t>LMPD tried to make a traffic stop on a vehicle Mattingly and four other men were in. After the vehicle pulled into a driveway, Mattingly got out, started running toward the house and fired at least one shot toward police; they returned fire, killing him.</t>
  </si>
  <si>
    <t>http://www.wdrb.com/story/27147618/metrosafe-lmpd-on-scene-of-officer-involved-shooting-in-southwest-louisville</t>
  </si>
  <si>
    <t>Jeremy Martin</t>
  </si>
  <si>
    <t>https://lintvkrqe.files.wordpress.com/2014/10/jeremy-martin-so.jpg?w=150&amp;h=112</t>
  </si>
  <si>
    <t>705 South Telshor Boulevard</t>
  </si>
  <si>
    <t>88011</t>
  </si>
  <si>
    <t>Doña Ana</t>
  </si>
  <si>
    <t>Santa Fe County Sheriff's Office</t>
  </si>
  <si>
    <t>Santa Fe County Sheriff’s deputy, Tai Chan, and Sheriff's Deputy Jeremy Martin were involved in an altercation in a Las Cruces hotel after visiting several restaurants where they had been drinking.</t>
  </si>
  <si>
    <t>http://krqe.com/2014/10/28/2-deputies-involved-in-shooting-1-dead/</t>
  </si>
  <si>
    <t>Christopher Mason McCray</t>
  </si>
  <si>
    <t>http://wbtw.images.worldnow.com/images/5444427_G.jpg</t>
  </si>
  <si>
    <t>All American Highway and Cliffdale Road</t>
  </si>
  <si>
    <t>28314</t>
  </si>
  <si>
    <t>North Carolina Highway Patrol</t>
  </si>
  <si>
    <t>McCray ran into the road on the highway around 8pm and a trooper hit him with his car.</t>
  </si>
  <si>
    <t>www.newsobserver.com/2014/10/28/4270642_teen-killed-by-ncshp-cruiser-in.html?rh=1</t>
  </si>
  <si>
    <t>Oscar Ramirez</t>
  </si>
  <si>
    <t>Paramount Boulevard and Rosecrans Avenue</t>
  </si>
  <si>
    <t>Paramount</t>
  </si>
  <si>
    <t>A school resource deputy learned that a fight was potentially about to break out shortly. Soon after, the deputy was told that one of the people involved was armed with a handgun. The gunfire erupted when a deputy attempted to make contact with two people who matched the descriptions. A handgun has not been recovered.</t>
  </si>
  <si>
    <t>http://abc7.com/news/1-suspect-killed-in-paramount-deputy-involved-shooting/368553/</t>
  </si>
  <si>
    <t>Daniel Tyson</t>
  </si>
  <si>
    <t>1800 Jackson Street</t>
  </si>
  <si>
    <t>Hollywood</t>
  </si>
  <si>
    <t>33020</t>
  </si>
  <si>
    <t>Hollywood Police Department</t>
  </si>
  <si>
    <t>Tyson, naked and deranged at his apartment complex, apparently talking to trees before police contact, attacked one of the responding officers by throwing an object at his head. The rookie officer required 13 stitches. Tyson was subdued and tasered by other officers and did not survive the incident.</t>
  </si>
  <si>
    <t>http://www.local10.com/news/hollywood-police-officer-suspect-in-fatal-altercation-identified/29388616</t>
  </si>
  <si>
    <t>Adam Daniel Lopp</t>
  </si>
  <si>
    <t>Interstate 40 and Swann Road</t>
  </si>
  <si>
    <t>Statesville</t>
  </si>
  <si>
    <t>28625</t>
  </si>
  <si>
    <t>Iredell</t>
  </si>
  <si>
    <t>Davidson County Sheriff's Office</t>
  </si>
  <si>
    <t>A deputy was transporting a mentally ill man to a hospital when a struggle ensued mid-route and the deputy shot the victim.</t>
  </si>
  <si>
    <t>http://thinkprogress.org/justice/2014/10/31/3586759/officer-shoots-dead-psychiatric-patient-while-transporting-him-to-the-hospital/</t>
  </si>
  <si>
    <t>John Wesley Helvie</t>
  </si>
  <si>
    <t>West 49th Street and 17th Court</t>
  </si>
  <si>
    <t>Hialeah</t>
  </si>
  <si>
    <t>Hialeah Police Department</t>
  </si>
  <si>
    <t>Police found the vehicle and a heavily armed man. Shortly after, he was shot and killed on the scene.</t>
  </si>
  <si>
    <t>Joseph Priolo</t>
  </si>
  <si>
    <t>43-32 Kissena Blvd</t>
  </si>
  <si>
    <t>11355</t>
  </si>
  <si>
    <t>A man entered a hospital in Queens and brandished a knife at staff while asking for syringes. He left the hospital and police found him on the street. He tried to attack officers with the knife and police shot him</t>
  </si>
  <si>
    <t>http://www.nbcnewyork.com/news/local/NYPD-Police-Shoot-Man-Who-Came-at-Officers-with-Knife-Kissena-Boulevard-280457662.html</t>
  </si>
  <si>
    <t>Jeffrey Holden Jr.</t>
  </si>
  <si>
    <t>http://media.graytvinc.com/images/353*353/jeffery+holden+1.jpg</t>
  </si>
  <si>
    <t>3000 West Douglas Avenue</t>
  </si>
  <si>
    <t>67203</t>
  </si>
  <si>
    <t>A man with known ties to gangs was walking around a neighborhood, randomly shooting at cars, houses, and police cars, was gunned down by police.</t>
  </si>
  <si>
    <t>http://www.kansas.com/news/local/crime/article3402420.html</t>
  </si>
  <si>
    <t>Craig Hall</t>
  </si>
  <si>
    <t>2000 13th Ave.</t>
  </si>
  <si>
    <t>Maywood</t>
  </si>
  <si>
    <t>60155</t>
  </si>
  <si>
    <t>Maywood Police Department</t>
  </si>
  <si>
    <t>After witnessing an alleged drug deal, a man led police on a short foot chase, where the suspect then drew a gun and police shot him.</t>
  </si>
  <si>
    <t>http://www.chicagotribune.com/news/local/breaking/chi-maywood-police-shooting-death-20141026-story.html</t>
  </si>
  <si>
    <t>Florence White</t>
  </si>
  <si>
    <t>5000 Burlington Road</t>
  </si>
  <si>
    <t>Greensboro</t>
  </si>
  <si>
    <t>27405</t>
  </si>
  <si>
    <t>White was crossing the street around 2am when a sheriff struck and killed her with his car.</t>
  </si>
  <si>
    <t>http://www.wfmynews2.com/story/news/local/2014/10/25/pedestrian-dies-killed-after-being-hit-deputy/17900231/</t>
  </si>
  <si>
    <t>Luis Carlos Quintana</t>
  </si>
  <si>
    <t>http://local.sltrib.com/charts/shootings/images/thumbs/32.jpg</t>
  </si>
  <si>
    <t>8400 West and 3500 South</t>
  </si>
  <si>
    <t>Magna</t>
  </si>
  <si>
    <t>84044</t>
  </si>
  <si>
    <t>Unified Police Department</t>
  </si>
  <si>
    <t>Police went to Quintana's home in Magna after receiving a report he was hurting himself. They said they found him cutting himself with a retractable razor knife in the middle of the road. Despite orders to stop, he allegedly charged at an officer, who shot him four times.</t>
  </si>
  <si>
    <t>Bobby Shane Patrick</t>
  </si>
  <si>
    <t>http://www.arklatexhomepage.com/media/lib/186/0/2/4/0242a157-894d-4e52-9a52-73103f973b9c/Story.jpg</t>
  </si>
  <si>
    <t>AR-7</t>
  </si>
  <si>
    <t>Russellville</t>
  </si>
  <si>
    <t>72801</t>
  </si>
  <si>
    <t>Pope</t>
  </si>
  <si>
    <t>Arkansas State Police</t>
  </si>
  <si>
    <t>Officers tried to stop a car on the highway. The suspect led officers on a chase for 10 miles. When the suspect pulled over, he ran into a wooded area. Officers found a passenger in the car who was on probation for drug possession. Officers went after Patrick and when they caught up with, he pointed a gun at officers. Officers fired at him.</t>
  </si>
  <si>
    <t>http://www.thv11.com/story/news/local/2014/10/25/arkansas-state-police-involved-in-deadly-shooting/17901827/</t>
  </si>
  <si>
    <t>Daniel Walsh</t>
  </si>
  <si>
    <t>Gothard Street and Ernest Drive</t>
  </si>
  <si>
    <t>Huntington Beach</t>
  </si>
  <si>
    <t>92648</t>
  </si>
  <si>
    <t>Huntington Beach Police Department</t>
  </si>
  <si>
    <t>Walsh was driving recklessly and was involved in a car crash. He exited his vehicle after the crash and walked up the driveway of a residence with a gun. Police ordered him to stop and Walsh pointed the gun at the officer. The officer shot him.</t>
  </si>
  <si>
    <t>http://ktla.com/2014/10/25/armed-man-fatally-shot-by-officer-in-huntington-beach-police-say/</t>
  </si>
  <si>
    <t>Brian Burch</t>
  </si>
  <si>
    <t>5938 Cliffdale Road</t>
  </si>
  <si>
    <t>Cumberland County Sheriff's Office</t>
  </si>
  <si>
    <t>Authorities say a deputy stopped Burch, and he started cutting at his arms and neck. Investigators say Burch then fought with officers after being shocked with a Taser, and a deputy fired two shots.</t>
  </si>
  <si>
    <t>Edgar Amaro López</t>
  </si>
  <si>
    <t>9401 W Hermans Rd</t>
  </si>
  <si>
    <t>85746</t>
  </si>
  <si>
    <t>Lopez was shot and killed after being suspected as being a smuggler and armed with weapons.</t>
  </si>
  <si>
    <t>Rogelio Cisneros-Chavez</t>
  </si>
  <si>
    <t>http://main.abqjournal.netdna-cdn.com/wp-content/uploads/2013/10/R.-Cisneros-Chavez-131x175.jpg</t>
  </si>
  <si>
    <t>600 NM-76</t>
  </si>
  <si>
    <t>Española</t>
  </si>
  <si>
    <t>87532</t>
  </si>
  <si>
    <t>Rio Arriba</t>
  </si>
  <si>
    <t>Agents with the State Police Investigations Bureau were looking for Cisneros-Chavez, who was a suspect in a $7,600 larceny case and had a warrant out for his arrest. They found Cisneros-Chavez in apartment 323 just before 9 p.m. Multiple gunshots were fired. Cisneros-Chavez received fatal gunshot wounds and died of his injuries in the apartment</t>
  </si>
  <si>
    <t>http://www.abqjournal.com/288503/news/espanola-man-killed-state-police-officer-injured-in-shooting.html</t>
  </si>
  <si>
    <t>Richard Scheuermann III</t>
  </si>
  <si>
    <t>http://ak-cache.legacy.net/legacy/images/Cobrands/etpa/Photos/211805_20141029.jpg</t>
  </si>
  <si>
    <t>North 13th St. and Spring Garden St.</t>
  </si>
  <si>
    <t>Easton</t>
  </si>
  <si>
    <t>18042</t>
  </si>
  <si>
    <t>Northampton</t>
  </si>
  <si>
    <t>Easton and Palmer Township Police Departments</t>
  </si>
  <si>
    <t>Gunshot, Stabbed</t>
  </si>
  <si>
    <t>Deceased was driving the wrong way on street, refused to pull over and was followed through several communities before crashing his truck into a pole. Then he backed into 2 police cars and shots were fired. He was found in the truck with a knife in his neck and was hit by 2 bullets - exact cause of death has not been released yet.</t>
  </si>
  <si>
    <t>http://www.lehighvalleylive.com/easton/index.ssf/2014/10/wilson_borough_man_shot_by_pol_2.html</t>
  </si>
  <si>
    <t>Trevor Silvia</t>
  </si>
  <si>
    <t>http://headlinesurfer.com/sites/nsbnews.net/2013/trevor%20silvia%20copy.jpg</t>
  </si>
  <si>
    <t>1410 Needle Palm Drive</t>
  </si>
  <si>
    <t>Edgewater</t>
  </si>
  <si>
    <t>32132</t>
  </si>
  <si>
    <t>Edgewater Police Department</t>
  </si>
  <si>
    <t>Edgewater Officers responded to a 9-1-1 call of a disturbance. Upon their arrival, Edgewater Sgt. John Tarr and officer Charles Geiger encountered 34-year-old Trevor Silvia, who confronted them wielding a knife and making threats.The cops attempted to subdue Silvia using a Taser, but it had no impact in stopping Silvia's forward charge, and they subsequently opened fire. Silvia was transported by Volusia County Sheriff's Air-One helicopter to Halifax Health Hospital where he was later pronounced dead.</t>
  </si>
  <si>
    <t>http://headlinesurfer.com/content/414024-edgewater-cops-shoot-and-kill-confrontational-man-wielding-butcher-knife-after-taseri</t>
  </si>
  <si>
    <t>Shaun Wilson Ramo</t>
  </si>
  <si>
    <t>http://www.wbrz.com/images/video/2014-10/Iberville_deputies_shoot_rape_suspect_2014-10-26_c05d2e.jpg</t>
  </si>
  <si>
    <t>3900 La. 75</t>
  </si>
  <si>
    <t>Plaquemine</t>
  </si>
  <si>
    <t>70764</t>
  </si>
  <si>
    <t>Iberville</t>
  </si>
  <si>
    <t>Iberville Parish Sheriff's Office</t>
  </si>
  <si>
    <t>Deputies were searching for Ramo because he allegedly raped a woman. They found him in a wooded area near LA HWY 75. He had a gun and pointed it at deputies. Two officers fired at him.</t>
  </si>
  <si>
    <t>http://www.nola.com/crime/baton-rouge/index.ssf/2014/10/man_fatally_shot_by_iberville.html</t>
  </si>
  <si>
    <t>Phia Vang</t>
  </si>
  <si>
    <t>SR 604</t>
  </si>
  <si>
    <t>Jean</t>
  </si>
  <si>
    <t>89158</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</si>
  <si>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</si>
  <si>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</si>
  <si>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Michael Ricardo Minor</t>
  </si>
  <si>
    <t>2300 Houston St</t>
  </si>
  <si>
    <t>Suitland</t>
  </si>
  <si>
    <t>20746</t>
  </si>
  <si>
    <t>Prince Georges</t>
  </si>
  <si>
    <t>Prince Georges Sheriff's Office</t>
  </si>
  <si>
    <t>Minor was drinking and involved in a domestic dispute. When officers arrived they thought Minor had a gun and did not comply with officer's orders. Minor was shot and killed. Minor did not have a weapon on him.</t>
  </si>
  <si>
    <t>http://www.washingtonpost.com/local/crime/pr-georges-sheriff-identifies-deputies-involved-in-fatal-shooting-in-suitland/2014/10/24/58dce480-5b97-11e4-b812-38518ae74c67_story.html</t>
  </si>
  <si>
    <t>Zale Thompson</t>
  </si>
  <si>
    <t>https://thenypost.files.wordpress.com/2014/10/1414185514092_wps_3_e_justice_photo_1_jpg_101041153-e1414293987917.jpg?w=248&amp;h=300</t>
  </si>
  <si>
    <t>Jamaica Ave &amp; 160th St</t>
  </si>
  <si>
    <t>Thompson, an Islamic extremist, attacked officers with a hatchet and was subsequently shot and killed.</t>
  </si>
  <si>
    <t>Jeremy Bustos</t>
  </si>
  <si>
    <t>https://pbs.twimg.com/media/B0qH-TzIgAAuoT4.jpg</t>
  </si>
  <si>
    <t>W Durango St &amp; S 111th Ave</t>
  </si>
  <si>
    <t>Avondale</t>
  </si>
  <si>
    <t>85323</t>
  </si>
  <si>
    <t>Avondale Police Department</t>
  </si>
  <si>
    <t>Bustos was being pursued by officers until he hit tire-puncturing devices causing him to slam his truck into a police car. He got out and threatened officers with a machete. Bustos then did not obey officers' commands to drop the weapon. Bustos was shot and killed.</t>
  </si>
  <si>
    <t>http://www.azcentral.com/story/news/local/southwest-valley/2014/10/23/avondale-police-shooting-abrk/17776369/</t>
  </si>
  <si>
    <t>Luis Roman</t>
  </si>
  <si>
    <t>https://lintvwpri.files.wordpress.com/2014/10/roman.jpg?w=300&amp;h=168</t>
  </si>
  <si>
    <t>Ledgewood Boulevard</t>
  </si>
  <si>
    <t>Dartmouth</t>
  </si>
  <si>
    <t>02747</t>
  </si>
  <si>
    <t>Bristol</t>
  </si>
  <si>
    <t>Dartmouth Police Department</t>
  </si>
  <si>
    <t>Dartmouth police officers responded to a 911 caller who told operators a man had entered his ex-girlfriend’s apartment and damaged her television and computer. When Roman arrived at the apartment complex, officers said he was ordered to get out of his vehicle with his hands up. However, police said he grabbed one of two guns he was carrying and fired two shots. At that point, officers said they shot Roman.</t>
  </si>
  <si>
    <t>http://wpri.com/2014/10/24/dartmouth-cops-shoot-kill-armed-suspect/</t>
  </si>
  <si>
    <t>Cesar Javier Cepeda</t>
  </si>
  <si>
    <t>http://i2.wp.com/knvotv48v2.s3.amazonaws.com/wp-content/uploads/2014/10/INVESTIGACION1_thumb16.jpg?resize=350%2C200</t>
  </si>
  <si>
    <t>Milpa Verde</t>
  </si>
  <si>
    <t>78521</t>
  </si>
  <si>
    <t>Cepeda, a Brownsville man wanted by Willacy County authorities for the stabbing of another Brownsville man was shot to death by Brownsville police in the southernmost area of that city after he lunged at officers with an ax.</t>
  </si>
  <si>
    <t>http://www.raymondville-chronicle.com/news/2014-10-29/Front_Page/Suspect_in_Sebastian_stabbing_shot_dead_by_Brownsv.html</t>
  </si>
  <si>
    <t>Richard Hester</t>
  </si>
  <si>
    <t>5900 Bond Avenue</t>
  </si>
  <si>
    <t>Centreville</t>
  </si>
  <si>
    <t>62207</t>
  </si>
  <si>
    <t>Saint Clair</t>
  </si>
  <si>
    <t>Centreville police Department</t>
  </si>
  <si>
    <t>Hester was killed after an officer hit his vehicle with his car. The officer had his sirens on, but hit Hester as he was turning.</t>
  </si>
  <si>
    <t>http://www.bnd.com/2014/10/24/3470453/man-killed-in-crash-with-police.html</t>
  </si>
  <si>
    <t>Jose Calzada</t>
  </si>
  <si>
    <t>5300 South</t>
  </si>
  <si>
    <t>Roy</t>
  </si>
  <si>
    <t>84067</t>
  </si>
  <si>
    <t>Roy Police Department</t>
  </si>
  <si>
    <t>Jose Calzada, 35, placed a call to a suicide prevention hotline at 4:00 a.m. in the morning and threatened to kill himself. SWAT eventully showed up and helped him.</t>
  </si>
  <si>
    <t>http://thefreethoughtproject.com/call-suicide-prevention-hotline-killed-swat-team/#65Hig5es6WqfSAbe.99</t>
  </si>
  <si>
    <t>Laquan McDonald</t>
  </si>
  <si>
    <t>500 N Springfield Ave</t>
  </si>
  <si>
    <t>60624</t>
  </si>
  <si>
    <t>McDonald was shot and killed after being suspected of breaking into cars. McDonald also slashed an officers tire with a knife. He then led officers on a shot foot chase and refused to drop the knife, prompting an officer to shoot and kill him.</t>
  </si>
  <si>
    <t>http://chicago.suntimes.com/crime/7/71/145458/boy-17-shot-to-death-by-police-on-southwest-side-identified</t>
  </si>
  <si>
    <t>Julian Magdaleno</t>
  </si>
  <si>
    <t>http://bloximages.chicago2.vip.townnews.com/wacotrib.com/content/tncms/assets/v3/editorial/8/b9/8b9ca595-3260-577c-8aa5-e238379a06fa/5445733b13e61.image.jpg?resize=300%2C445</t>
  </si>
  <si>
    <t>1100 Dossett St</t>
  </si>
  <si>
    <t>76705</t>
  </si>
  <si>
    <t>Bellmead Police Department</t>
  </si>
  <si>
    <t>Magdaleno was suspected of burglarizing a residence in the Eagle Crest Apartments while wearing a Halloween mask and wielding a butcher knife.Officers reportedly shot him with a stun gun, but he broke free. One of the three officers chasing Magdaleno approached him, and he turned and started slashing at the officer with a knife, Alvarado said. Officers opened fire and killed him.</t>
  </si>
  <si>
    <t>http://www.wacotrib.com/news/greater_waco/bellmead/autopsy-results-man-killed-by-bellmead-officers-died-of-multiple/article_fcf482d3-b3e2-5ec3-921a-0553928b1619.html</t>
  </si>
  <si>
    <t>Marco Antonio Perez</t>
  </si>
  <si>
    <t>6099 Montana Avenue</t>
  </si>
  <si>
    <t>79925</t>
  </si>
  <si>
    <t>Police said a hotel employee was confronted and threatened by the man with a gun.The employee then went inside and called police.Three officers arrived at the scene and confronted the armed suspect. Police said officers ordered him to put the weapon down, but he refused.The suspect allegedly threatened the officers, and that is when officers fired, killing him at the scene.</t>
  </si>
  <si>
    <t>http://www.kvia.com/news/el-paso-police-release-name-of-man-killed-in-officerinvolved-shooting-outside-hotel/29325106</t>
  </si>
  <si>
    <t>Ricardo de Jesus Barrera</t>
  </si>
  <si>
    <t>1600 SE 17th St</t>
  </si>
  <si>
    <t>34471</t>
  </si>
  <si>
    <t>Barrera was involved in murdering two people. During a pursuit with Barrera an officer shot Barrera. Barrera died at a hospital.</t>
  </si>
  <si>
    <t>http://www.ocala.com/article/20150120/ARTICLES/150129987</t>
  </si>
  <si>
    <t>Gary E. Lee</t>
  </si>
  <si>
    <t>4700 Western St</t>
  </si>
  <si>
    <t>Hopewell</t>
  </si>
  <si>
    <t>23860</t>
  </si>
  <si>
    <t>Hopewell Police Department</t>
  </si>
  <si>
    <t>Lee was suspected of killing his wife. Officers then found Lee in a vehicle off the side of the road. Officers negotiated with him, but Lee pointed an object at officers that appeared to be a gun, promting the officers to shoot and kill Lee.</t>
  </si>
  <si>
    <t>http://www.richmond.com/news/local/central-virginia/article_a8b637c5-fc2b-5307-b69b-5671bd5e9046.html</t>
  </si>
  <si>
    <t>Ronnie D. McNary</t>
  </si>
  <si>
    <t>1300 Avondale Rd</t>
  </si>
  <si>
    <t>South Euclid</t>
  </si>
  <si>
    <t>44121</t>
  </si>
  <si>
    <t>South Euclid Police Department</t>
  </si>
  <si>
    <t>Officers went to a home at 4:13 a.m. to investigate a domestic dispute. When they arrived, they heard a woman yelling for help, South Euclid Chief Kevin Nietert said in a statement. Officers entered the home and saw a man assaulting the woman with a knife. The man did not obey when the officers told him to stop, and an officer shot the man in order to protect the woman.</t>
  </si>
  <si>
    <t>http://www.cleveland.com/lyndhurst-south-euclid/index.ssf/2014/10/south_euclid_officer_fatally_s.html</t>
  </si>
  <si>
    <t>Tarrell Lucas</t>
  </si>
  <si>
    <t>3778 South East Street</t>
  </si>
  <si>
    <t>46227</t>
  </si>
  <si>
    <t>Police shot Terrell Lucas, 22, during a robbery Saturday night at a GameStop store. Police said Lucas burst out of a door waving a gun and that when he refused to put the gun down, he was shot.</t>
  </si>
  <si>
    <t>http://www.chicagotribune.com/news/local/breaking/chi-chicago-man-dead-2-others-charged-in-indianapolis-robbery-20141020-story.html</t>
  </si>
  <si>
    <t>Benjamin McCoin</t>
  </si>
  <si>
    <t>http://lubbockonline.com/sites/default/files/imagecache/story_slideshow_thumb/13830921.jpg</t>
  </si>
  <si>
    <t>8602 Peach Street</t>
  </si>
  <si>
    <t>Lubbock</t>
  </si>
  <si>
    <t>Lubbock County Sheriff’s Office</t>
  </si>
  <si>
    <t>McCoin, an inmate, died on March 19 shortly after detention officers at the Montford Psychiatric Unit tried to forcibly move him to another cell.</t>
  </si>
  <si>
    <t>http://lubbockonline.com/filed-online/2014-10-18/dying-behind-bars-conflicting-opinion-inmates-death-part-larger-problem#.VEPQxceJOuY</t>
  </si>
  <si>
    <t>Tom Rook</t>
  </si>
  <si>
    <t>http://whbq.images.worldnow.com/images/5277651_G.jpg</t>
  </si>
  <si>
    <t>200 block Hillbrook Dr</t>
  </si>
  <si>
    <t>Southaven</t>
  </si>
  <si>
    <t>38671</t>
  </si>
  <si>
    <t>A woman called police after she said Rook, the father of her child, kicked in the door to her home. When police arrived, Rook and another woman jumped into a white car and tried to get away. When police surrounded the car they took the woman, who was driving, into custody. That's when officials say Rook jumped in the driver's seat. Police saw a gun and fired.</t>
  </si>
  <si>
    <t>http://www.wmcactionnews5.com/story/26821428/southaven-shooting-injures-one-police-investigate</t>
  </si>
  <si>
    <t>Adam Ardett Madison</t>
  </si>
  <si>
    <t>http://www.killedbypolice.net/victims/140873.jpg</t>
  </si>
  <si>
    <t>Warrior-Trafford Rd &amp; Sibleyville Rd</t>
  </si>
  <si>
    <t>Warrior</t>
  </si>
  <si>
    <t>35180</t>
  </si>
  <si>
    <t>Warrior Police Department</t>
  </si>
  <si>
    <t>Madison was shot and killed in an altercation with the police officer on Friday, when Madison was stopped at a license-check traffic roadblock on Warrior Trafford Road. "According to statements issued by Warrior Police, Madison struggled with their officer outside of Madison's vehicle, and Madison was shot and killed in the incident."</t>
  </si>
  <si>
    <t>http://www.njeffersonnews.com/news/update-man-killed-in-warrior-incident-is-identified/article_bbae94ec-586c-11e4-b421-8f631220e05e.html?mode=jqm</t>
  </si>
  <si>
    <t>John T. Kolata</t>
  </si>
  <si>
    <t>http://bloximages.chicago2.vip.townnews.com/harrisondaily.com/content/tncms/assets/v3/editorial/3/14/31488888-58a5-11e4-9cda-ab359fb2c5b7/54458724bb54a.image.jpg</t>
  </si>
  <si>
    <t>423 Main Street</t>
  </si>
  <si>
    <t>Leslie</t>
  </si>
  <si>
    <t>72645</t>
  </si>
  <si>
    <t>Searcy</t>
  </si>
  <si>
    <t>Searcy County Sheriff’s Department and Arkansas State Troopers</t>
  </si>
  <si>
    <t>Kolata was reportedly holding people hostage at a bakery. When officers arrived on scene and entered the bakery, Kolata fired at officers, wounding one. Officers fired back and Kolata was wounded. He died later at a hospital.</t>
  </si>
  <si>
    <t>http://asp.arkansas.gov/news-releases/detail/state-police-investigating-shooting-incident-in-searcy-county</t>
  </si>
  <si>
    <t>Harvey Mullenax</t>
  </si>
  <si>
    <t>http://www.gannett-cdn.com/-mm-/8334042135d7f679c06190b7cdf533ced74a407e/c=15-0-465-600&amp;r=537&amp;c=0-0-534-712/local/-/media/Phoenix/None/2014/10/20/635494352729860008-Harvey-Milleneux.jpg</t>
  </si>
  <si>
    <t>Highway 169 and S. River Drive</t>
  </si>
  <si>
    <t>Yavapai County Sheriffs Office</t>
  </si>
  <si>
    <t>Mullenax stole a truck and drove it up the highway, where a pursuit with officers followed. Mullenax dumped the truck, and an officer approached on foot. Mullenax entered officer's vehicle and inflicted damage to officer's person, and officer shot Mullenax. Mullenax later died of injuries at a Phoenix hospital.</t>
  </si>
  <si>
    <t>http://dcourier.com/main.asp?SectionID=1&amp;subsectionID=1086&amp;articleID=137460</t>
  </si>
  <si>
    <t>Robert Michael Dooley</t>
  </si>
  <si>
    <t>http://kcweb.cdr.dc.publicus.com/storyimage/KC/20121018/NEWS/310189990/AR/0/AR-310189990.jpg</t>
  </si>
  <si>
    <t>Highway 2</t>
  </si>
  <si>
    <t>Cantril</t>
  </si>
  <si>
    <t>52542</t>
  </si>
  <si>
    <t>Van Buren</t>
  </si>
  <si>
    <t>Van Buren County Sheriff's Office</t>
  </si>
  <si>
    <t>Van Buren County sheriff's deputies responded to at least three 911 calls reporting that a man wearing a military uniform was walking along Highway 2 near Cantril, Iowa. Callers said that he was making obscene gestures at passing motorists. The officers reported that they approached the man, Robert Michael Dooley, and demanded that he drop his gun. When he pointed it at them, one of the deputies, Jon Tharp, fired a single shot, which killed Dooley. Dooley, who had participated in Civil War and other historical military reenactments, was later found to have been carrying a vintage air rifle which was designed to look like a Winchester Model 1894 rifle.</t>
  </si>
  <si>
    <t>http://www.heartlandconnection.com/news/story.aspx?id=816089#.VIOv3YfIYfE</t>
  </si>
  <si>
    <t>Johnny Joseph Martinez</t>
  </si>
  <si>
    <t>116 Alabama St</t>
  </si>
  <si>
    <t>Dalhart</t>
  </si>
  <si>
    <t>79022</t>
  </si>
  <si>
    <t>Dallam</t>
  </si>
  <si>
    <t>Dalhart Police Department</t>
  </si>
  <si>
    <t>Martinez had a knife. During an altercation with officers he was shot and killed.</t>
  </si>
  <si>
    <t>http://www.connectamarillo.com/news/story.aspx?id=1109597#.VLWIUsaZFg0</t>
  </si>
  <si>
    <t>Freddie Cooper</t>
  </si>
  <si>
    <t>1700 Shelley Carlile Dr</t>
  </si>
  <si>
    <t>Spiro</t>
  </si>
  <si>
    <t>74959</t>
  </si>
  <si>
    <t>Le Flore</t>
  </si>
  <si>
    <t>LeFlore County Sheriff's Office</t>
  </si>
  <si>
    <t>Cooper took four people hostage after stealing a purse. Cooper came out of the house and pointed a gun at deputies. A deputy then shot and killed Cooper.</t>
  </si>
  <si>
    <t>http://5newsonline.com/2014/10/13/shooting-investigation-closes-road-near-spiro/</t>
  </si>
  <si>
    <t>Jerry Leon Hermes Jr.</t>
  </si>
  <si>
    <t>http://www.gannett-cdn.com/-mm-/39011bf09ba772ac3abe954c6654c3f0e3373139/c=12-0-415-537&amp;r=537&amp;c=0-0-534-712/local/-/media/KENS/None/2014/10/13/635488022572675699-Jerry-Hermes-Jr.JPG</t>
  </si>
  <si>
    <t>2600 Wosnig Rd</t>
  </si>
  <si>
    <t>78124</t>
  </si>
  <si>
    <t>Guadalupe</t>
  </si>
  <si>
    <t>Police searched for Jerry Leon Hermes, Jr., 35, after finding his wife Lisa dead with multiple gunshot wounds in the driver's seat of a sport utility vehicle with three children in the back seat. Authorities located Jerry Hermes in a barn. Members of the task force engaged the suspect with a handgun. A U.S. Deputy Marshal shot and killed Hermes.</t>
  </si>
  <si>
    <t>http://www.mysanantonio.com/news/local/article/New-Braunfels-police-on-hunt-for-murder-suspect-5819823.php</t>
  </si>
  <si>
    <t>Ronald Johnson</t>
  </si>
  <si>
    <t>5300 Kings Cir S</t>
  </si>
  <si>
    <t>60615</t>
  </si>
  <si>
    <t>Police were investigating a shots-fired call in the 5300 block of South King Drive, and they say when they arrived, a suspect ran and then pointed a gun at officers. They shot and killed 25-year-old Ronald Johnson. Witnesses say he did not have a gun.</t>
  </si>
  <si>
    <t>http://abc7chicago.com/news/police-shoot-kill-man-in-washington-park/346997/</t>
  </si>
  <si>
    <t>John C. Carr</t>
  </si>
  <si>
    <t>http://wfla.images.worldnow.com/images/5132252_G.jpg</t>
  </si>
  <si>
    <t>1015 Lily White Court</t>
  </si>
  <si>
    <t>33605</t>
  </si>
  <si>
    <t>Carr attempted an armed robbery of a couple at an apartment complex. The woman called 911, and Carr was immediately identified by responding local officers. He shot at those officers, and was killed in the resulting exchange of gunfire.</t>
  </si>
  <si>
    <t>http://www.tampabay.com/news/publicsafety/crime/robbery-suspect-shot-by-tampa-officer-dies-in-hospital/2203461</t>
  </si>
  <si>
    <t>Jack Jacquez Jr.</t>
  </si>
  <si>
    <t>http://extras.mnginteractive.com/live/media/site36/2014/1114/20141114__Jack-Jacquez-Jr~p1.jpg</t>
  </si>
  <si>
    <t>400 N. Third St</t>
  </si>
  <si>
    <t>Rocky Ford</t>
  </si>
  <si>
    <t>81067</t>
  </si>
  <si>
    <t>Otero</t>
  </si>
  <si>
    <t>Rocky Ford Police Department</t>
  </si>
  <si>
    <t>Jacquez returned home with his skateboard around 2:30 am, reportedly after babysitting. Officer James Ashby, 41, allegedly broke down the front door, entered, and proceeded to argue with Jacquez. Witness Sara Lindenmuth states that when Jacquez' back was turned, Ashby shot him twice and then maced or pepper sprayed him while he lay dying on the floor. She also states that when Jacquez' mother tried to call 911, Ashby threw her phone against the wall. Ashby is currently facing a 2nd degree murder charge.</t>
  </si>
  <si>
    <t>http://www.denverpost.com/news/ci_26967917/rocky-ford-officer-accused-murder-dues-court-faces</t>
  </si>
  <si>
    <t>Alan Gillotti Sr.</t>
  </si>
  <si>
    <t>Town Line Rd</t>
  </si>
  <si>
    <t>Ludlow</t>
  </si>
  <si>
    <t>04730</t>
  </si>
  <si>
    <t>State troopers had gone to the home of Alan Gillotti Sr., 52, to investigate an armed home invasion that occurred in Bridgewater earlier that day. Sgt. Joshua Haines responded and was outside Gillotti’s house when he shot Gillotti.</t>
  </si>
  <si>
    <t>http://bangordailynews.com/2014/10/12/news/aroostook/state-trooper-fatally-shoots-man-in-aroostook-county/</t>
  </si>
  <si>
    <t>Michelle D. Sloyan</t>
  </si>
  <si>
    <t>http://wmctv.images.worldnow.com/images/5171739_G.jpg</t>
  </si>
  <si>
    <t>2900 Bartlett Blvd</t>
  </si>
  <si>
    <t>Bartlett</t>
  </si>
  <si>
    <t>38133</t>
  </si>
  <si>
    <t>Bartlett Police Department</t>
  </si>
  <si>
    <t>Danny Floyd, 63, and Michelle Sloyan, 49, died from injuries sustained in the crash on Bartlett Boulevard and Stage Road. Floyd was turning at the intersection when Hines' cruiser crashed into him. A witness said the officer had his blue lights on until he sped through the intersection.</t>
  </si>
  <si>
    <t>http://www.wmcactionnews5.com/story/26767055/bartlett-police-cruiser-involved-in-car-crash?autostart=true</t>
  </si>
  <si>
    <t>Danny Floyd</t>
  </si>
  <si>
    <t>Danny Floyd, 63, and Michelle Sloyan, 49, died from injuries sustained in a crash. Floyd was turning at an intersection when Hines' cruiser crashed into him. A witness said the officer had his blue lights on until he sped through the intersection.</t>
  </si>
  <si>
    <t>Derryl Drayton</t>
  </si>
  <si>
    <t>http://www.postandcourier.com/storyimage/CP/20131014/PC16/131019685/EP/1/2/EP-131019685.jpg&amp;MaxW=520&amp;q=85</t>
  </si>
  <si>
    <t>Seaside Lane</t>
  </si>
  <si>
    <t>James Island</t>
  </si>
  <si>
    <t>29412</t>
  </si>
  <si>
    <t>Charleston County Sheriff’s Office</t>
  </si>
  <si>
    <t>Drayton was suicidal when he threatened his sister, himself and deputies with a knife. He fought with officers and was tasered multiple times. Drayton then jabbed at deputies prompting them to shoot and kill Drayton.</t>
  </si>
  <si>
    <t>http://www.postandcourier.com/article/20131014/PC16/131019685</t>
  </si>
  <si>
    <t>Shannon P. Bryant</t>
  </si>
  <si>
    <t>500 Northeast Greenfield Road</t>
  </si>
  <si>
    <t>64116</t>
  </si>
  <si>
    <t>Officers responded to reports of shots fired. Subject allegedly point a gun at three officers who then fired upon subject.</t>
  </si>
  <si>
    <t>http://www.kansascity.com/news/local/crime/article2912738.html</t>
  </si>
  <si>
    <t>Joseph Elliott</t>
  </si>
  <si>
    <t>5600 E Lancaster Ave</t>
  </si>
  <si>
    <t>76112</t>
  </si>
  <si>
    <t>Police responding to a complaint found Elliott covered in blood. After officers made contact, the man “presented a weapon (a sharp object of some kind) and attacked the officers," according to a police spokesman. Elliott died of “multiple gunshot wounds,” according to the medical examiner’s office."</t>
  </si>
  <si>
    <t>http://www.star-telegram.com/news/local/community/fort-worth/article3877448.html</t>
  </si>
  <si>
    <t>Qusean Whitten</t>
  </si>
  <si>
    <t>http://www.10tv.com/content/graphics/2014/06/10/missing-people-update/Qusean_Whitten-columbus-17-021214.jpg?__scale=w:660,h:500,t:1,c:ffffff,q:90,r:1</t>
  </si>
  <si>
    <t>4050 Alum Creek Dr</t>
  </si>
  <si>
    <t>Police said Whitten and 20-year-old Elisha Glass were among four people involved in the armed robbery of a store police had staked out. Police surrounded the suspects' vehicle and shot and killed Glass and Whitten as they tried to escape.</t>
  </si>
  <si>
    <t>http://www.10tv.com/content/stories/2014/10/12/columbus-ohio--grieving-family-of-man-killed-in-columbus-police-involved-shooting-wants-answers.html</t>
  </si>
  <si>
    <t>Elisha Paul Glass</t>
  </si>
  <si>
    <t>http://ak-cache.legacy.net/legacy/images/Cobrands/Dispatch/Photos/0005927010-01-1_20141015.jpg</t>
  </si>
  <si>
    <t>Police said Glass and 18-year-old Qusean Whitten were among four people involved in the armed robbery of a store police had staked out. Police surrounded the suspects' vehicle and shot and killed Glass and Whitten as they tried to escape.</t>
  </si>
  <si>
    <t>Frank R. Kerr</t>
  </si>
  <si>
    <t>http://www.kvoa.com/images/thumbnails/01279C45D71912A27A71E897FF496DE2_787_442.jpg</t>
  </si>
  <si>
    <t>S 10th Ave &amp; W 36th St</t>
  </si>
  <si>
    <t>85713</t>
  </si>
  <si>
    <t>South Tucson Police Department</t>
  </si>
  <si>
    <t>Police responding to a report of shots fired encountered Kerr on a sidewalk. Kerr fired his rifle at an officer and struck the patrol car. The officer responded by shooting and killing Kerr.</t>
  </si>
  <si>
    <t>http://tucson.com/news/blogs/police-beat/update-man-shot-and-killed-by-officer-id-d/article_66af5ebc-53db-11e4-b916-6be19a4c1d9a.html</t>
  </si>
  <si>
    <t>Ahaviel T. Whitfield</t>
  </si>
  <si>
    <t>http://www.justmugshots.com/img/348860/lg/ahaviel-travionne-whitfield.jpg</t>
  </si>
  <si>
    <t>2632 Rainbow Way</t>
  </si>
  <si>
    <t>30034</t>
  </si>
  <si>
    <t>An off-duty DeKalb officer was working security at a shopping plaza when an armed man approached a woman from behind and attempted to steal her vehicle, police said. The victim got the attention of the officer, who found Whitfield in the woman’s vehicle, approached him and ordered him to drop his handgun. Whitfield instead pointed the gun at the officer, and was shot and killed, police said.</t>
  </si>
  <si>
    <t>http://www.ajc.com/news/news/carjacking-suspect-killed-by-dekalb-officer-identi/nhjBK/</t>
  </si>
  <si>
    <t>William Thomas Holt</t>
  </si>
  <si>
    <t>http://www.watsongiddensfuneralhome.com/obituaries/uploads/OI1699916608_IMG0749.jpg</t>
  </si>
  <si>
    <t>2500 Lowry Ave. NE</t>
  </si>
  <si>
    <t>Minneapolis</t>
  </si>
  <si>
    <t>55418</t>
  </si>
  <si>
    <t>East Metro SWAT Team, Roseville Police Department</t>
  </si>
  <si>
    <t>Police said they received reports of shots being fired at a trailer in St. Anthony Village. As police approached, a man inside a trailer told them there were two other armed people inside and he had exchanged gunfire with them. As SWAT officers approached during a several-hour standoff, Holt came outside with a gun. A BCA investigation report said he ran toward officers and refused to drop the weapon. Officers fired, killing Holt. Later, officers entered the trailer and found nobody. Police said they believe there were never any other people involved.</t>
  </si>
  <si>
    <t>http://www.mprnews.org/story/2014/10/10/man-dies-in-st-anthony-officerinvolved-shooting</t>
  </si>
  <si>
    <t>VonDerrit D. Myers Jr.</t>
  </si>
  <si>
    <t>http://bloximages.newyork1.vip.townnews.com/stltoday.com/content/tncms/assets/v3/editorial/f/e6/fe610bd4-96b9-5a91-b3f1-9d014bcf2889/54822671e7742.image.jpg?resize=300%2C375</t>
  </si>
  <si>
    <t>4100 Shaw Blvd</t>
  </si>
  <si>
    <t>63110</t>
  </si>
  <si>
    <t>Officer Jason Flanery was off-duty but in uniform on neighborhood patrol for a private security company. The officer said that Myers ran away from a marked security car, and fired shots at Flanery during a foot chase before the officer fired back. Witnesses dispute this account, saying that VonDerrit was unarmed and a gun was planted at the scene. Myers' DNA was not found on the gun.</t>
  </si>
  <si>
    <t>http://www.washingtonpost.com/news/morning-mix/wp/2014/10/09/crowds-in-streets-of-st-louis-after-fatal-shooting-by-off-duty-police-officer/</t>
  </si>
  <si>
    <t>Miguel Reyes</t>
  </si>
  <si>
    <t>255 NJ-4</t>
  </si>
  <si>
    <t>07652</t>
  </si>
  <si>
    <t>Paramus Police Department</t>
  </si>
  <si>
    <t>Two Paramus officers responded to an alarm and found four suspects in a 2015 Kia K900. The driver, Reyes, allegedly tried to run down one of the officers, who was thrown onto the hood of the car. The officer fired multiple shots, fatally wounding Reyes, who crashed the car and fled on foot across the highway. He was pronounced dead about an hour later.</t>
  </si>
  <si>
    <t>http://pix11.com/2014/10/08/police-activity-prompts-rt-4-westbound-closure-for-four-hours/</t>
  </si>
  <si>
    <t>Ymauo Erwin</t>
  </si>
  <si>
    <t>4200 NW 57th Terrace</t>
  </si>
  <si>
    <t>64151</t>
  </si>
  <si>
    <t>Platte</t>
  </si>
  <si>
    <t>Victim was reportedly involved in a domestic disturbance, brandished a sword-like item and was shot by responding officer.</t>
  </si>
  <si>
    <t>http://www.kansascity.com/news/local/crime/article2650255.html</t>
  </si>
  <si>
    <t>Jason Rogers</t>
  </si>
  <si>
    <t>http://www.serenitytulsa.com/wp-content/uploads/2014/10/JASON-ROGERS.jpeg</t>
  </si>
  <si>
    <t>8829 E. 16th St</t>
  </si>
  <si>
    <t>74112</t>
  </si>
  <si>
    <t>Police planned to arrest Rogers for domestic violence. Police said the disturbance occurred a few nights before. Police say Rogers was in the back yard mowing when they approached him and identified themselves. They said he drew a gun from his waistband and officers fired shots in response.</t>
  </si>
  <si>
    <t>http://www.tulsaworld.com/newshomepage3/tulsa-man-killed-in-officer-involved-shooting-had-history-of/article_d3cef78c-aac2-5479-b82c-e8761af58b83.html</t>
  </si>
  <si>
    <t>Reginald Owens</t>
  </si>
  <si>
    <t>https://2dbdd5116ffa30a49aa8-c03f075f8191fb4e60e74b907071aee8.ssl.cf1.rackcdn.com/2345566_1412965974.0828.jpeg</t>
  </si>
  <si>
    <t>815 Wheeler Avenue NW</t>
  </si>
  <si>
    <t>35801</t>
  </si>
  <si>
    <t>Suspect drover in gray minivan to Huntsville PD station on Wheeler Avenue and rammed a patrol car with an on-duty officer inside. Both drivers exited vehicle. Officer claims suspect lunged at him with a knife and ignored commands to drop the knife. Officers shot the suspect, who later died at Huntsville Hospital of his injuries.</t>
  </si>
  <si>
    <t>Iretha Lilly</t>
  </si>
  <si>
    <t>3201 E State Highway 6</t>
  </si>
  <si>
    <t>McLennan County Sheriff’s Office</t>
  </si>
  <si>
    <t>The Texas Rangers are investigating the death of a 37-year-old woman who died Monday night after she was shocked with an electric stun gun while deputies tried to take her into custody earlier in the day.</t>
  </si>
  <si>
    <t>Latandra Ellington</t>
  </si>
  <si>
    <t>11120 Northwest Gainesville Road</t>
  </si>
  <si>
    <t>Florida Department of Corrections</t>
  </si>
  <si>
    <t>The inmate, Latandra Ellington, turned up dead on Oct. 1, 10 days after writing a letter to her aunt that detailed how a Lowell corrections officer — she knew him only as “Sgt. Q” — had repeatedly threatened to beat and kill her.</t>
  </si>
  <si>
    <t>Aljarreau Cross</t>
  </si>
  <si>
    <t>http://thumbnail.newsinc.com/27570190.sf.jpg</t>
  </si>
  <si>
    <t>700 Miller Ave</t>
  </si>
  <si>
    <t>89030</t>
  </si>
  <si>
    <t>Cross reportedly was running from an officer and fired gun shots at the officer. the officer then shot and killed Cross.</t>
  </si>
  <si>
    <t>O’Shaine Evans</t>
  </si>
  <si>
    <t>http://www.workers.org/articles/wp-content/uploads/2014/12/evans_1218.jpg</t>
  </si>
  <si>
    <t>400 Bryant St</t>
  </si>
  <si>
    <t>94107</t>
  </si>
  <si>
    <t>Evans pointed a gun at an officer, the officer responded by shooting/killing Evans. Evans was with a couple people that were suspected of burglarizing a vehicle.</t>
  </si>
  <si>
    <t>http://www.sfgate.com/crime/article/S-F-police-ID-officer-in-fatal-shooting-of-5815475.php</t>
  </si>
  <si>
    <t>Armondo Ochoa</t>
  </si>
  <si>
    <t>5900 Bonhomme Rd</t>
  </si>
  <si>
    <t>77036</t>
  </si>
  <si>
    <t>Ochoa kidnapped his estranged wife. Officers and SWAT surrounded his parked vehicle, that he barricaded him and his wife in. Ochoa ultimately exited the vehicle, pointed a gun at officers resulting in him being shot and killed.</t>
  </si>
  <si>
    <t>http://www.houstontx.gov/police/nr/2014/oct/nr141008-1.htm</t>
  </si>
  <si>
    <t>Balantine Mbegbu</t>
  </si>
  <si>
    <t>http://tribexmarketing.com/wp-content/uploads/2014/10/arizona.jpg</t>
  </si>
  <si>
    <t>7001 N 27th Ave</t>
  </si>
  <si>
    <t>Police responded to a 911 call about a fight in a home. When police arrived, things quickly escalated, and by the end of the night, Mbegbu was in a hospital morgue. Police said Mbegbu became physical with responding officers and forced them to react. Mbegbu fought with officers, spilled liquid on them and kicked an officer in the groin, according to investigators. Mbegdu was then tasered, shortly after he died.</t>
  </si>
  <si>
    <t>http://www.azcentral.com/story/news/local/phoenix/2014/10/15/phoenix-police-taser-death-abrk/17321969/</t>
  </si>
  <si>
    <t>Tino Martinez</t>
  </si>
  <si>
    <t>http://www.fatalencounters.org/wp-content/uploads/2013/10/Tino-Martinez.jpg</t>
  </si>
  <si>
    <t>S Shields St &amp; W Drake Rd</t>
  </si>
  <si>
    <t>80526</t>
  </si>
  <si>
    <t>A police officer was responding to conduct a "welfare check" on a man who was found passed out on a landing in an outside stairwell of the apartment building between the first and second floors, police said. Police said the officer and the suspect carried on a conversation until the officer asked Martinez to remove his backpack. At that point, the suspect jumped up, pulled out revolver from the backpack and fired at least one round -- possibly two or more -- at the officer, according to police.The officer returned fire, hitting the suspect and killing him.</t>
  </si>
  <si>
    <t>http://www.thedenverchannel.com/news/local-news/reports-officer-suspect-shot-in-fort-collins</t>
  </si>
  <si>
    <t>Lashano J. Gilbert</t>
  </si>
  <si>
    <t>http://i.dailymail.co.uk/i/pix/2014/10/06/1412558100593_Image_galleryImage_Connecticut_state_police_.JPG</t>
  </si>
  <si>
    <t>5 Governor Winthrop Boulevard</t>
  </si>
  <si>
    <t>New London</t>
  </si>
  <si>
    <t>06320</t>
  </si>
  <si>
    <t>New London Police Department</t>
  </si>
  <si>
    <t>Gilbert, while in an 'altered state of mind' and 'speaking in a bizarre manner,' attempted a carjacking. Gilbert reportedly told police he was hearing voices and when he behaved in a threatening manner toward them, they used the stun gun. He was taken to a hospital and treated, then taken to a New London police station.Police say while in a holding cell Gilbert began twisting his pants as if to make a noose. He rushed police when they opened the cell to take the pants. He was tasered a second time. He was rushed to the hospital again and died.</t>
  </si>
  <si>
    <t>http://www.dailymail.co.uk/news/article-2781767/Medical-school-graduate-dies-tasered-twice-police.html</t>
  </si>
  <si>
    <t>Michael Abney</t>
  </si>
  <si>
    <t>3200 Wheeler Rd SE</t>
  </si>
  <si>
    <t>20032</t>
  </si>
  <si>
    <t>D.C. police were helping U.S. marshals execute an arrest warrant, when a man brandished a handgun and refused to comply with orders to drop it. One member of the Marshal’s Service and one police officer shot and killed the suspect.</t>
  </si>
  <si>
    <t>Jashavius Everick Williams</t>
  </si>
  <si>
    <t>Robinson Church Road and Alanbrook Road</t>
  </si>
  <si>
    <t>28215</t>
  </si>
  <si>
    <t>Cabarrus County Sheriff's Office</t>
  </si>
  <si>
    <t>Williams led deputies on a chase spanning two counties, ranging up to 90 MPHs, before Williams lost control of his Jaguar and wrapped it around a tree, killing him. Deputies declined to say why they'd gone after him to begin with.</t>
  </si>
  <si>
    <t>http://www.crimeincharlotte.com/high-speed-chase-led-to-fatal-crash-suspect-dead/</t>
  </si>
  <si>
    <t>Johnny Martinez</t>
  </si>
  <si>
    <t>http://www.fatalencounters.org/wp-content/uploads/2013/10/JohnnyMartinez.jpg</t>
  </si>
  <si>
    <t>1000 Block 75th Street</t>
  </si>
  <si>
    <t>Gunshot, Taser, Pepper spray</t>
  </si>
  <si>
    <t>Police were called to break up a fight and, after using a stun gun and pepper spray, shot the suspect, killing him.</t>
  </si>
  <si>
    <t>http://losangeles.cbslocal.com/2014/10/04/suspect-injured-during-deputy-involved-shooting-in-los-angeles/</t>
  </si>
  <si>
    <t>Carl Blossomgame</t>
  </si>
  <si>
    <t>685 West 6th Street</t>
  </si>
  <si>
    <t>92410</t>
  </si>
  <si>
    <t>Blossomgame was suspected of trying to break into a woman's motel room. An officer saw Blossomgame in the parking lot and tried to detain him, but Blossomgame was uncooperative. Blossomgame got away on foot after being tasered. He got in another scruffle with officers during the chase. Blossomgame took an officer's taser and tried to use it. That is when an officer shot and killed Blossomgame.</t>
  </si>
  <si>
    <t>http://www.pe.com/articles/officer-751213-officers-police.html</t>
  </si>
  <si>
    <t>Denis Volchkin</t>
  </si>
  <si>
    <t>E. 26th St. and Avenue X</t>
  </si>
  <si>
    <t>A domestic disturbance call brought police to Volchkin's mother's residence -- her son had choked her, then fled. Ninety minutes later he returned, ransacked the place, and sat on the sofa with three knives. Increasingly agitated, Volchkin lunged at the police and was fatally shot.</t>
  </si>
  <si>
    <t>http://www.nydailynews.com/new-york/nyc-crime/nypd-fatally-shoots-knife-wielding-brooklyn-man-previous-altercation-kim-kardashian-entourage-article-1.1963112</t>
  </si>
  <si>
    <t>Michael Daryle Rose</t>
  </si>
  <si>
    <t>911 E. Sawmill Rd</t>
  </si>
  <si>
    <t>Flagstaff</t>
  </si>
  <si>
    <t>Cococino</t>
  </si>
  <si>
    <t>Coconino County Sheriff’s Office</t>
  </si>
  <si>
    <t>At the jail, the joint release states that Rose continued to be non-compliant with detention officers who were trying to search him. Detention officers put him in a holding cell and put him on the floor to make the search. “Michael became more compliant, but within minutes detention officers realized he was no longer breathing and had no pulse,” stated the release.</t>
  </si>
  <si>
    <t>http://azdailysun.com/news/local/crime-and-courts/agitated-man-tasered-then-dies-while-being-booked-into-jail/article_27fac382-ad99-5014-bdb1-dc3a75d55719.html</t>
  </si>
  <si>
    <t>Miguel Benton</t>
  </si>
  <si>
    <t>3630 Camp Circle</t>
  </si>
  <si>
    <t>Detectives Phillip Christy and Eddie Stubbs were transporting two inmates to jail after a court appearance on drug and armed robbery charges. One of the inmates, identified as 19-year-old Miguel Benton, managed to get an officer's gun and shot Christy twice. Stubbs then shot Benton, killing him.</t>
  </si>
  <si>
    <t>http://www.ajc.com/news/news/local/two-shot-at-dekalb-court/nhbFh/?icmp=ajc_internallink_textlink_homepage</t>
  </si>
  <si>
    <t>Larry Allen Miller</t>
  </si>
  <si>
    <t>Heather Dr NW</t>
  </si>
  <si>
    <t>Christiansburg</t>
  </si>
  <si>
    <t>24073</t>
  </si>
  <si>
    <t>Police responded to a domestic situation call and report that Miller exited the home with a gun and pointed it at them. They say they then "engaged with him," shot at him several times, and that he died "in the garage." A witness claims about ten shots were fired, and a person reported that Miller may have had Alzheimer's disease.</t>
  </si>
  <si>
    <t>http://www.nbc4i.com/story/26688677/man-killed-in-christiansburg-house-shooting</t>
  </si>
  <si>
    <t>Tracy Ann Oglesby Wade</t>
  </si>
  <si>
    <t>http://ak-cache.legacy.net/legacy/images/Cobrands/Louisville/Photos/LCJ016202-1_20141004.jpg</t>
  </si>
  <si>
    <t>5020 Roaming Plains Ct</t>
  </si>
  <si>
    <t>40229</t>
  </si>
  <si>
    <t>When police tried to serve a warrant to Wade, she reportedly locked herself with a gun and 18-month-old child inside her home for seven hours because she did not want to go back to jail. Police state that she surrendered and a SWAT team entered the home. They claim she pointed the gun at them. Sgts. Eric Culver and Paul Humphrey, Ofcr Brad Harris and Det. Michael Simpson shot at her multiple times.</t>
  </si>
  <si>
    <t>Rafael Mejia</t>
  </si>
  <si>
    <t>7000 Osbun Road</t>
  </si>
  <si>
    <t>92404</t>
  </si>
  <si>
    <t>County Sheriffs responded to a call from a husband that his wife Rosy Mejia, 27, and their three children were held hostage in a home by Rafael Mejia. A SWAT team arrived and an hour later Mejia "was shot and killed after negotiations failed." Rosy was found in the home fatally shot.</t>
  </si>
  <si>
    <t>http://www.fontanaheraldnews.com/news/article_f1643ab0-4b1a-11e4-93e9-db1f2e3a177f.html</t>
  </si>
  <si>
    <t>Ryan Kyle Champ</t>
  </si>
  <si>
    <t>11703 Kirkmeadow Dr</t>
  </si>
  <si>
    <t>77089</t>
  </si>
  <si>
    <t>Police responded to a call on a man with a gun. They report that the man led them on a 26 mile chase back to his home. When he exited the vehicle in his driveway, he reportedly pointed a gun at an officer, who fired at him. The man then fired back, a shootout ensued, and he was shot. Witnesses say they heard 40-50 gunshots.</t>
  </si>
  <si>
    <t>http://www.southbeltleader.com/Leader10-2-14.pdf</t>
  </si>
  <si>
    <t>Marlon S. Woodstock</t>
  </si>
  <si>
    <t>http://cbsmiami.files.wordpress.com/2012/04/marlon_woodstock.jpg?w=600&amp;h=349&amp;crop=1</t>
  </si>
  <si>
    <t>2301 N. University Drive</t>
  </si>
  <si>
    <t>Sunrise</t>
  </si>
  <si>
    <t>33322</t>
  </si>
  <si>
    <t>Sunrise Police Department</t>
  </si>
  <si>
    <t>Woodstock's brother called 911 to report that his brother was "mentally ill, off of his medications and acting frantic, hostile, and aggressive." Police said that when they found him, he had a knife, ran, and ignored orders to stop. They report that a stun gun and police dog used did not subdue him. Officer Gregory Loor shot and killed him.</t>
  </si>
  <si>
    <t>http://www.sun-sentinel.com/local/broward/fl-sunrise-cop-shooting-911-call-20141106-story.html</t>
  </si>
  <si>
    <t>Javonta Darden</t>
  </si>
  <si>
    <t>http://media.cmgdigital.com/shared/img/photos/2014/09/30/01/36/By0n4TUIQAAfW1N.jpg</t>
  </si>
  <si>
    <t>22 Skelton Rd</t>
  </si>
  <si>
    <t>Athens</t>
  </si>
  <si>
    <t>30605</t>
  </si>
  <si>
    <t>Bureau of Alcohol, Tobacco, Firearms and Explosives</t>
  </si>
  <si>
    <t>During a drug-related investigation that turned into a struggle, Darden may have shot and wounded an ATF agent with his own weapon. The agent reportedly shot Darden twice in the stomach during the struggle. Steven Maurice McKinley, 21, may or may not have shot the agent.</t>
  </si>
  <si>
    <t>http://www.ajc.com/news/news/atf-agent-shot-by-his-weapon-after-killing-suspect/nhb3F/</t>
  </si>
  <si>
    <t>Stevan Cortes</t>
  </si>
  <si>
    <t>http://ak-cache.legacy.net/legacy/images/cobrands/houstonchronicle/photos/w0116775-1_20141004.jpgx?w=130&amp;h=180&amp;option=1&amp;v=0x000000002e3f54ab</t>
  </si>
  <si>
    <t>19210 Gulf Fwy</t>
  </si>
  <si>
    <t>Friendswood</t>
  </si>
  <si>
    <t>77546</t>
  </si>
  <si>
    <t>Police state that during an area investigation, Officer Q. Vu and his partner pulled over a suspicious vehicle. The male passenger reportedly produced a gun and shot at Vu's partner, and during a struggle the gun was fired "several times." Vu says he repeatedly told the man to drop the gun, and then shot him. The female driver was uninjured.</t>
  </si>
  <si>
    <t>Randall Garfield Williams</t>
  </si>
  <si>
    <t>http://bloximages.chicago2.vip.townnews.com/trib.com/content/tncms/assets/v3/editorial/e/99/e9995c1f-3659-5fd3-8f09-d72542b73160/54344be5ec7a1.image.jpg</t>
  </si>
  <si>
    <t>1421 Hornchurch Ave</t>
  </si>
  <si>
    <t>82609</t>
  </si>
  <si>
    <t>Officer Benjamin Flake and another officer responded to a domestic violence call from William's son. Williams allegedly met them at the door with a gun and made suicidal statements. He got another gun, pointed both at his head, and allegedly made a remark about shooting the police then pointed a gun at them. Flake shot him twice in the abdomen. He died in the hospital 10/02/14.</t>
  </si>
  <si>
    <t>http://trib.com/news/local/crime-and-courts/authorities-man-threatened-police-with-gun-before-being-fatally-shot/article_fb208c59-5984-5d63-88ef-7aadf77741b4.html</t>
  </si>
  <si>
    <t>David Kedra</t>
  </si>
  <si>
    <t>http://cdn.bearingarms.com/uploads/2014/10/trooper-david-kedra.jpg</t>
  </si>
  <si>
    <t>1175 Conshohocken Road</t>
  </si>
  <si>
    <t>Conshohocken</t>
  </si>
  <si>
    <t>19428</t>
  </si>
  <si>
    <t>State Trooper Kedra was shot in the abdomen by his instructor during a training session at a Public Safety Training Campus. As of 12/13/2014 the shooter's name has not been released.</t>
  </si>
  <si>
    <t>http://articles.philly.com/2014-10-17/news/55112674_1_gunshot-wound-homicide-abdomen</t>
  </si>
  <si>
    <t>Rafael Laureano</t>
  </si>
  <si>
    <t>http://assets.nydailynews.com/polopoly_fs/1.1960363.1412219976!/img/httpImage/image.jpg_gen/derivatives/article_970/copshoot2n-1-web.jpg?enlarged</t>
  </si>
  <si>
    <t>820 Ocean Parkway</t>
  </si>
  <si>
    <t>11230</t>
  </si>
  <si>
    <t>Rafael Laureano died when he was hit by a bullet from police officers who were firing at Francisco Carvajal who had attacked Laureano and his girlfriend with a knife.</t>
  </si>
  <si>
    <t>http://www.huffingtonpost.com/2014/10/02/nypd-rafael-laureano_n_5922608.html</t>
  </si>
  <si>
    <t>Francisco Carvajal</t>
  </si>
  <si>
    <t>Carvajal was killed when he was shot by police officers as he attacked Rafael Laureano and his girlfriend with a knife. Laureano was accidentally shot and killed as well.</t>
  </si>
  <si>
    <t>Oliver Jarrod Gregoire</t>
  </si>
  <si>
    <t>http://bloximages.chicago2.vip.townnews.com/baytownsun.com/content/tncms/assets/v3/editorial/8/89/8896d42e-4a99-11e4-93c2-5f7e2d2f9ef0/542df6bba5ae8.image.jpg?resize=300%2C405</t>
  </si>
  <si>
    <t>4400 Wood Duck Ln</t>
  </si>
  <si>
    <t>77523</t>
  </si>
  <si>
    <t>Chambers County Sheriff’s Office</t>
  </si>
  <si>
    <t>A woman called 911 to report that Gregoire had kicked in her back door, which may have been his own residence, and attacked her with a pole. He reportedly left and returned again. Deputy Bradley Hasley spotted Gregoire exiting the house and tasered him. Gregoire fell, reportedly removed the probes and then "charged" Bradley, who then tasered him again. When EMS arrived to treat the woman, Hasley says he noticed Gregoire appeared "unresponsive." He was transported to the hospital where he was pronounced dead.</t>
  </si>
  <si>
    <t>Scott Alan Trimble</t>
  </si>
  <si>
    <t>2118 W 148th St S</t>
  </si>
  <si>
    <t>Mitchellville</t>
  </si>
  <si>
    <t>50169</t>
  </si>
  <si>
    <t>Mitchellville Police Department</t>
  </si>
  <si>
    <t>Trimble was reported for speeding by a driver and was pursued by Polk County deputies then by Mitchellville Police, who placed stop sticks on the highway. Trimble ran over them, lost control of his vehicle, crossed the meridian, hit a truck and died. His passenger and the truck driver were uninjured.</t>
  </si>
  <si>
    <t>http://www.newtondailynews.com/2014/09/28/update-deadly-weekend-i-80-crash-began-with-speeder-near-altoona/a6vy9e7/</t>
  </si>
  <si>
    <t>Nancy Joyce Garrett</t>
  </si>
  <si>
    <t>http://d3vs4613l1445x.cloudfront.net/archive/x782593741/NancyGarrett1-JPG/g30e220000000000000429f5120fede2ad42145b785fac7d92a3392a5cc.jpg</t>
  </si>
  <si>
    <t>2300 N Chester Ave</t>
  </si>
  <si>
    <t>Deputy Nicholas Clerico was responding to a call and driving with lights and sirens when his vehicle struck Garret's. She died from her injuries. Her son Mark McGowan retained a law firm. As of 10/07/14, the family is considering filing a lawsuit.</t>
  </si>
  <si>
    <t>http://www.bakersfieldcalifornian.com/archive/x1020047943/First-Look-Woman-killed-in-crash-involving-deputy-was-glue-that-kept-the-family-together</t>
  </si>
  <si>
    <t>Eugene Williams</t>
  </si>
  <si>
    <t>https://fbexternal-a.akamaihd.net/safe_image.php?d=AQBFNZcM6k-0ZytN&amp;w=470&amp;h=246&amp;url=http%3A%2F%2Flocaltvwdaf.files.wordpress.com%2F2014%2F10%2Fpromo2365568891.jpg&amp;cfs=1&amp;upscale=1&amp;sx=0&amp;sy=8&amp;sw=640&amp;sh=335</t>
  </si>
  <si>
    <t>Cleveland Ave</t>
  </si>
  <si>
    <t>64137</t>
  </si>
  <si>
    <t>Williams was reportedly naked and on PCP when he was tasered by officers. When EMS arrived Williams was cuffed and had no pulse.</t>
  </si>
  <si>
    <t>http://fox4kc.com/2014/10/02/woman-who-witnessed-man-get-tased-by-police-speaks-out/</t>
  </si>
  <si>
    <t>2100 SE 1st St</t>
  </si>
  <si>
    <t>33033</t>
  </si>
  <si>
    <t>Homestead Police Department</t>
  </si>
  <si>
    <t>Very little is known about this case. Police responded to a 911 call from a boy whose mother was being beaten by her ex-boyfriend. When police arrived, the man allegedly "armed himself." Officers shot at him from outside the home, entered the home and shot him again.</t>
  </si>
  <si>
    <t>http://www.miamiherald.com/news/local/community/miami-dade/homestead/article2289540.html</t>
  </si>
  <si>
    <t>Shad Gerken</t>
  </si>
  <si>
    <t>South Chester Road</t>
  </si>
  <si>
    <t>04457</t>
  </si>
  <si>
    <t>Penobscot</t>
  </si>
  <si>
    <t>A state police tactical team found Gerken along Route 116 carrying a knife and acting erratically. A standoff reportedly lasted from mid-morning through about 6 p.m. One of the troopers suffered a superficial knife wound. Gerken was shot dead.</t>
  </si>
  <si>
    <t>http://bangordailynews.com/2014/09/27/news/bangor/game-warden-stabbed-in-standoff-in-chester-sheriff-says/</t>
  </si>
  <si>
    <t>Dilon Chadwick McGee</t>
  </si>
  <si>
    <t>http://www.gannett-cdn.com/-mm-/0eaa77d7f1f1341aaac4c4471ad9717123ddc2c2/c=12-0-239-302&amp;r=537&amp;c=0-0-534-712/local/-/media/JacksonTN/2014/09/29/dillonchadwickmcgee.jpg</t>
  </si>
  <si>
    <t>18 Three Way Lane</t>
  </si>
  <si>
    <t>Three Way</t>
  </si>
  <si>
    <t>38343</t>
  </si>
  <si>
    <t>Madison County Sheriff's Office</t>
  </si>
  <si>
    <t>Officials say McGee, along with his passenger, 19-year-old Robert Aspiranti were approached by deputies with the Madison County Sheriff's Office in the parking lot of 18 Three Way Lane. According to TBI Public Information Officer Susan Niland, they were individuals they wanted to speak with regarding an on-going investigation. McGee attempted to run over the officers, according to Niland. The deputy shot and killed McGee.</t>
  </si>
  <si>
    <t>http://www.wbbjtv.com/news/local/UPDATE-TBI-investigating-Deputy-involved-shooting-277318201.html</t>
  </si>
  <si>
    <t>Cody Dempsey</t>
  </si>
  <si>
    <t>http://wfmj.images.worldnow.com/images/4882508_G.jpg</t>
  </si>
  <si>
    <t>Tibbetts Wick Road and Ohio 11</t>
  </si>
  <si>
    <t>Girard</t>
  </si>
  <si>
    <t>44420</t>
  </si>
  <si>
    <t>Trumbull County Sheriff’s Office, Weathersfield Police and the Ohio State Highway Patrol</t>
  </si>
  <si>
    <t>Police from three Trumbull County agencies chased a blue 1983 Cadillac Eldorado that was reported stolen from a Kinsman auto yard. The Ohio State Highway Patrol set up stop spikes, near the Tibbetts Wick Road exit of Route 11 southbound. According to officials at an OSHP news conference, the spikes stopped the car. When officers approached the vehicle, Dempsey pulled out a semiautomatic handgun, and police shot and killed him.</t>
  </si>
  <si>
    <t>http://wkbn.com/2014/09/26/police-and-suspect-exchange-gunfire-along-route-11/</t>
  </si>
  <si>
    <t>Steven Paul Presley</t>
  </si>
  <si>
    <t>Walnut St</t>
  </si>
  <si>
    <t>Blossom</t>
  </si>
  <si>
    <t>75416</t>
  </si>
  <si>
    <t>Lamar</t>
  </si>
  <si>
    <t>Lamar County Sheriff's Office</t>
  </si>
  <si>
    <t>Lamar County Sheriff Deputies were dispatched to disturbance regarding a man with a gun at a residence.When deputies arrived they made contact with the female homeowner at the front door who said that there was a man with a gun inside. Deputies removed the woman from the residence and were told that her child was still inside. Deputies then were confronted by an armed man who started shooting at the deputies. The deputies engaged him outside the residence and he was shot and died of gunshot wounds on scene.</t>
  </si>
  <si>
    <t>https://www.eparisextra.com/911/92484/update-on-officer-involved-shooting</t>
  </si>
  <si>
    <t>Giovany Contreras Sandoval</t>
  </si>
  <si>
    <t>California St and Battery St</t>
  </si>
  <si>
    <t>94111</t>
  </si>
  <si>
    <t>Contreras reportedly carjacked an SUV and drove it across three counties, pursued by the CHP. He crashed in San Francisco after a chase by SFPD. While police were waiting for a less-lethal beanbag shotgun, Contreras fired his antique Russian revolver at a man who attempted to help him out of the car, and then reportedly turned his gun at the officers. They then fired 32 rounds at him, killing him.</t>
  </si>
  <si>
    <t>http://sanfrancisco.cbslocal.com/2014/10/07/carjacking-suspect-killed-by-police-in-san-francisco-financial-district-identified/</t>
  </si>
  <si>
    <t>David Hooks</t>
  </si>
  <si>
    <t>http://img.opposingviews.com/sites/default/files/imagecache/350x250/featured_image/alts/100314/hooks.jpeg</t>
  </si>
  <si>
    <t>1184 US Highway 319 N</t>
  </si>
  <si>
    <t>31021</t>
  </si>
  <si>
    <t>Laurens</t>
  </si>
  <si>
    <t>Laurens County Sheriff's Office</t>
  </si>
  <si>
    <t>A Georgia man was killed by police executing a search warrant obtained after a car thief told police he stole methamphetamine from the dead man’s vehicle, media reports say. The sheriff says Hooks, age 59, got a firearm and "demonstrated aggression" toward officers.</t>
  </si>
  <si>
    <t>http://www.13wmaz.com/story/news/local/dublin/2014/09/25/e-dublin-man-shot-killed-by-laurens-deputy/16201305/</t>
  </si>
  <si>
    <t>Nolan Anderson</t>
  </si>
  <si>
    <t>http://imgick.nola.com/home/nola-media/pgmain/img/tpphotos/photo/2014/09/24/nolan-anderson-c2005b79c90c729a.jpg</t>
  </si>
  <si>
    <t>261 Pine St</t>
  </si>
  <si>
    <t>LaPlace</t>
  </si>
  <si>
    <t>70068</t>
  </si>
  <si>
    <t>St. John the Baptist</t>
  </si>
  <si>
    <t>St. John the Baptist Parish Sheriff's Office</t>
  </si>
  <si>
    <t>On-duty Deputy Lt. Anderson called his own Sheriff's Office to report a domestic disturbance at his daughter's home. WSDU TV states that Anderson was holding his wife hostage and hit her with his gun. He allegedly shot several times at the deputies who arrived. They state they tried to persuade him to drop the gun but when he continued pointing it at him and holding it to his wife's head, they shot him several times.</t>
  </si>
  <si>
    <t>http://theadvocate.com/news/neworleans/neworleansnews/10436480-123/state-police-release-initial-findings</t>
  </si>
  <si>
    <t>Matthew L. Stoddard</t>
  </si>
  <si>
    <t>http://kndu.images.worldnow.com/images/4834194_G.jpg</t>
  </si>
  <si>
    <t>W Lewis St &amp; S 6th Ave</t>
  </si>
  <si>
    <t>Stoddard ran from a stolen car after him and two other men were pulled over. Police chased after Stoddard. Stoddard pulled out a gun, officers told him to drop it, Stoddard refused and was subsequently shot and killed.</t>
  </si>
  <si>
    <t>http://www.tri-cityherald.com/2014/09/24/3168462_man-shot-killed-by-police-after.html?rh=1</t>
  </si>
  <si>
    <t>John Jolley Jr.</t>
  </si>
  <si>
    <t>900 Esquire Alley</t>
  </si>
  <si>
    <t>An officer responding to a domestic disturbance call found Jolley and his fiance arguing loudly outside their apartment. Jolley allegedly pointed a handgun at the officer, causing him to fatally shoot Jolley.</t>
  </si>
  <si>
    <t>http://www.wdrb.com/story/26600585/officer-involved-shooting-in-west-louisville</t>
  </si>
  <si>
    <t>Cameron Tillman</t>
  </si>
  <si>
    <t>http://www.rawstory.com/rs/wp-content/uploads/2014/09/wwltv_tillman_140924a-3-800x430.jpg</t>
  </si>
  <si>
    <t>100 Kirkglen Loop</t>
  </si>
  <si>
    <t>70363</t>
  </si>
  <si>
    <t>Terrebonne Parish Sheriff's Department</t>
  </si>
  <si>
    <t>James A. Cave</t>
  </si>
  <si>
    <t>http://bloximages.chicago2.vip.townnews.com/qctimes.com/content/tncms/assets/v3/editorial/5/ae/5ae56afd-94fc-56f9-b512-2c35b3979b9f/5421f3f7aeda0.preview-620.jpg</t>
  </si>
  <si>
    <t>2814 Fair Ave.</t>
  </si>
  <si>
    <t>Davenport</t>
  </si>
  <si>
    <t>52803</t>
  </si>
  <si>
    <t>Scott</t>
  </si>
  <si>
    <t>Davenport Police Department</t>
  </si>
  <si>
    <t>Davenport Police Department responded to a report of a man who was waving guns and threatening to harm himself. The man began to drink and became more irrational and agitated. The man aggressively advanced toward officers with one weapon in his hand and another in his waistband. Police fired multiple rounds killing the man.</t>
  </si>
  <si>
    <t>http://qctimes.com/news/local/crime-and-courts/authorities-identify-man-killed-in-officer-involved-shooting/article_a72890f4-107b-57f2-b459-5e6c64323fb4.html</t>
  </si>
  <si>
    <t>John Wayne Gill</t>
  </si>
  <si>
    <t>http://www.gannett-cdn.com/-mm-/58bc45bd72e8a97510d9a92c9eeb7685a8d5132a/c=0-3-285-383&amp;r=537&amp;c=0-0-534-712/local/-/media/JacksonMS/None/2014/09/23/1411494900000-JWGill.png</t>
  </si>
  <si>
    <t>2109 Jesse Hall Memorial Rd</t>
  </si>
  <si>
    <t>Magnolia</t>
  </si>
  <si>
    <t>John, an inmate, was found dead. Coroner could not rule out the possibility of a beating.</t>
  </si>
  <si>
    <t>http://www.clarionledger.com/story/news/2014/09/23/family-dead-inmate-questions-reports-died/16101043/</t>
  </si>
  <si>
    <t>Thomas E. Klessig</t>
  </si>
  <si>
    <t>http://tribcw33.files.wordpress.com/2014/09/thomas_e_klessig.jpg</t>
  </si>
  <si>
    <t>3900 Lovers Ln</t>
  </si>
  <si>
    <t>75225</t>
  </si>
  <si>
    <t>University Park Police Department</t>
  </si>
  <si>
    <t>Police said Klessig was uncooperative when a University Park officer found him and attempted to talk with him. Four other officers were called to the scene. Police said Klessig again became physically confrontational when officers attempted to restrain him. During the scuffle, officers used pepper spray. Klessig became unresponsive and was given CPR. He was transported to the hospital, where he was pronounced dead.</t>
  </si>
  <si>
    <t>Brian Eugene Rice</t>
  </si>
  <si>
    <t>http://www.killedbypolice.net/victims/140808.jpg</t>
  </si>
  <si>
    <t>501 McClain St</t>
  </si>
  <si>
    <t>Goose Creek</t>
  </si>
  <si>
    <t>29445</t>
  </si>
  <si>
    <t>Berkeley County Sheriff’s Office / Goose Creek Police Department</t>
  </si>
  <si>
    <t>SC State Constable Rice's wife called 911 to report a domestic disturbance with a firearm. LE state that when they arrived, Rice was on the front porch with a gun, and that he fired 2- 3 shots, and that after the Goose Creek Police announced themselves, he fired 2- 3 more shots. SWAT was called in and a standoff occurred. LE states that "as tactical teams were assembling," a deputy and police officer encountered Rice behind his home, "gunfire was exchanged" and Rice was shot. He died 4 hours later.</t>
  </si>
  <si>
    <t>http://www.live5news.com/story/26611115/emergency-officials-police-on-scene-at-incident-in-goose-creek</t>
  </si>
  <si>
    <t>Joseph Adam Lee</t>
  </si>
  <si>
    <t>http://www.elkharttruth.com/image/2014/09/22/635x500/JosephLee-jpg.jpg</t>
  </si>
  <si>
    <t>403 E. Chapman Ave</t>
  </si>
  <si>
    <t>Elkhart</t>
  </si>
  <si>
    <t>46516</t>
  </si>
  <si>
    <t>Elkhart Police Department</t>
  </si>
  <si>
    <t>Lee, 32, who was wanted on warrants in Elkhart and St. Joseph counties, was killed after he raised a gun towards Elkhart police officers on Tuesday, Sept. 23, in the Washington Gardens apartment complex, according to an Indiana State Police account of the incident. The investigation into Lee’s death and the officers’ actions is ongoing, but witness accounts and evidence at the scene do not match the official sequence of events provided by the state police, which was asked to handle the case.</t>
  </si>
  <si>
    <t>Gustavo Segura Acosta</t>
  </si>
  <si>
    <t>http://media.fresnobee.com/smedia/2014/09/23/14/39/W5zfa.AuHeEm.8.jpg</t>
  </si>
  <si>
    <t>2500 South Kirk Avenue</t>
  </si>
  <si>
    <t>93706</t>
  </si>
  <si>
    <t>Acosta had mental health issues, a drug problem, a criminal record, and a protective order to stay away from his wife. She happened to be a civilian employee of the Fresno PD. While trying to apprehend him police used pepper spray and a Taser, neither of which worked. When he threatened officers with a four-foot metal police he was shot to death.</t>
  </si>
  <si>
    <t>http://www.fresnobee.com/2014/09/23/4140230_man-shot-by-fresno-police-had.html?rh=1</t>
  </si>
  <si>
    <t>Shane Lambert</t>
  </si>
  <si>
    <t>http://media2.newsnet5.com/photo/2014/09/22/shane-lambert-tall_1411414092851_8311501_ver1.0_640_480.jpg</t>
  </si>
  <si>
    <t>225 Herman Ave</t>
  </si>
  <si>
    <t>44903</t>
  </si>
  <si>
    <t>Sgt. Patrick Williams and Officer Orlando Chatman went to a vacant house behind Lamberts' house, looking for him for questioning regarding a homicide or 1-3 separate breaking and enterings. They state that when they entered the house, Lambert "confronted" them. They reportedly shot him multiple times. His two sons may or may not have been present.</t>
  </si>
  <si>
    <t>http://www.mansfieldnewsjournal.com/story/news/crime/2014/10/01/review-clears-two-officers-involved-fatal-shooting/16563299/</t>
  </si>
  <si>
    <t>Daniel Diaz</t>
  </si>
  <si>
    <t>NW Blossom Drive</t>
  </si>
  <si>
    <t>97526</t>
  </si>
  <si>
    <t>Grants Pass Police Department</t>
  </si>
  <si>
    <t>Local police were called on reports of a man "going crazy", gradually learning he was armed, that he'd fired multiple shots inside a house, and that he'd barricaded himself in. SWAT officers arrived in the late evening and exchanged gunfire with Diaz for about an hour. He was found shot to death inside.</t>
  </si>
  <si>
    <t>http://www.mailtribune.com/article/20140923/News/140929863</t>
  </si>
  <si>
    <t>Steen Parker III</t>
  </si>
  <si>
    <t>3300 E La Palma Ave</t>
  </si>
  <si>
    <t>92806</t>
  </si>
  <si>
    <t>After robbing an electronic store, Parker allegedly began firing at the officers without warning. Officers returned fire, police said, and Parker was struck and killed.</t>
  </si>
  <si>
    <t>http://www.ocregister.com/articles/police-636083-parker-vehicle.html</t>
  </si>
  <si>
    <t>Daniel Satre</t>
  </si>
  <si>
    <t>Saratoga Avenue</t>
  </si>
  <si>
    <t>Ballston Spa</t>
  </si>
  <si>
    <t>12020</t>
  </si>
  <si>
    <t>Saratoga</t>
  </si>
  <si>
    <t>Ballston Spa Police Department, Saratoga County Sheriff's Department, New York State Police</t>
  </si>
  <si>
    <t>Six officers from city, county and state attempted to subdue Satre in his unprompted 11 p.m. freak-out, as he screamed, jumped in front of cars, and fought them off. He was tasered multiple times, lost consciousness, and died at the scene.</t>
  </si>
  <si>
    <t>http://www.timesunion.com/local/article/Police-to-hold-press-conference-about-Ballston-5770775.php#media-139933</t>
  </si>
  <si>
    <t>Kela Souter</t>
  </si>
  <si>
    <t>https://a1-images.myspacecdn.com/images03/29/a0115a5286234ca189ed17e6121fa6a2/300x300.jpg</t>
  </si>
  <si>
    <t>4288 South Alita Terrace</t>
  </si>
  <si>
    <t>Homosassa</t>
  </si>
  <si>
    <t>34446</t>
  </si>
  <si>
    <t>Souter had reportedly fired a gun in a home right before deputies responded to a suicide call there. Deputies report that after removing the caller from the home, Souter was repeatedly told to drop the gun. When she pointed it at a deputy, he shot her.</t>
  </si>
  <si>
    <t>http://www.wfla.com/story/26587294/armed-homosassa-woman-shot-dead-by-citrus-co-deputy</t>
  </si>
  <si>
    <t>Edward P. Miller</t>
  </si>
  <si>
    <t>http://i0.huffpost.com/gen/2092046/thumbs/n-EDWARD-MILLER-large.jpg</t>
  </si>
  <si>
    <t>722 N Segrave St</t>
  </si>
  <si>
    <t>Daytona Beach</t>
  </si>
  <si>
    <t>32114</t>
  </si>
  <si>
    <t>Edwards was deaf. He had a licensed gun on him. A deputy told him to put the weapon down, but Edwards could not hear him. The deputy felt threatened and shot and killed Edwards.</t>
  </si>
  <si>
    <t>http://www.clickorlando.com/news/offduty-deputy-involved-in-shooting/28169234</t>
  </si>
  <si>
    <t>http://extras.mnginteractive.com/live/media/site559/2014/0919/20140919__TDH-L-CHASE-0919~p2_200.jpg</t>
  </si>
  <si>
    <t>190 Avenida de Mesilla</t>
  </si>
  <si>
    <t>88005</t>
  </si>
  <si>
    <t>Las Cruces Police Department</t>
  </si>
  <si>
    <t>After a high-speed chase Smith had a standoff with officers. It ended with Williams being shot and killed.</t>
  </si>
  <si>
    <t>Courtney James VanRiper</t>
  </si>
  <si>
    <t>Highway 260 and State Route 87</t>
  </si>
  <si>
    <t>Pine</t>
  </si>
  <si>
    <t>85544</t>
  </si>
  <si>
    <t>Gila</t>
  </si>
  <si>
    <t>United States Forest Service</t>
  </si>
  <si>
    <t>VanRiper may have been camping illegally. He sprayed an investigating officer with bear spray. The officer shot and killed him.</t>
  </si>
  <si>
    <t>http://www.paysonroundup.com/news/2014/sep/24/new-details-fatal-shooting/</t>
  </si>
  <si>
    <t>Levi Weaver</t>
  </si>
  <si>
    <t>666 Hillside Dr</t>
  </si>
  <si>
    <t>Cedartown</t>
  </si>
  <si>
    <t>30125</t>
  </si>
  <si>
    <t>Polk County sheriff’s Department</t>
  </si>
  <si>
    <t>Weaver reportedly lunged toward a deputy with a pat and a kitchen knife. The deputy shot and killed Weaver</t>
  </si>
  <si>
    <t>Kenneth "Kenny" William Umpierre</t>
  </si>
  <si>
    <t>http://www.duluthnewstribune.com/sites/default/files/styles/vert_350/public/fieldimages/7/obits/1001/dntkennethumpierre_1.jpg?itok=75dJX7mz</t>
  </si>
  <si>
    <t>5700 St Louis River Road</t>
  </si>
  <si>
    <t>Hermantown</t>
  </si>
  <si>
    <t>Hermantown Police Department</t>
  </si>
  <si>
    <t>The man continued to shout and demand that officers shoot him, while ignoring officers' commands to get on the ground. After the man put his hands in the air, the officer "made the decision to de-escalate the use of force by holstering his handgun and instead drawing his department-issued Taser," the report said. The man continued to ignore commands to get on the ground, before finally lunging at the officer, who used his Taser on the man.</t>
  </si>
  <si>
    <t>Michael M. Willis Jr.</t>
  </si>
  <si>
    <t>http://bloximages.newyork1.vip.townnews.com/stltoday.com/content/tncms/assets/v3/editorial/e/e9/ee90632a-7099-59cc-b16b-ac9d8cebcb44/541cb1f2adb4b.preview-620.jpg</t>
  </si>
  <si>
    <t>8803 Lucas and Hunt Rd</t>
  </si>
  <si>
    <t>St. Louis County Police Department</t>
  </si>
  <si>
    <t>When police responded to a second report of "man with shotgun", they say Willis' vehicle drove directly toward them and hit two police vehicles. He then jumped out of the car and after a short foot chase he reportedly pointed his rifle or shot at them. Two officers shot at him approx. 25 times, killing him.</t>
  </si>
  <si>
    <t>http://www.stltoday.com/news/local/crime-and-courts/police-kill-man-they-say-pointed-rifle-at-them-in/article_19aa9b16-4c48-53ae-ae13-eff2ff5c0682.html</t>
  </si>
  <si>
    <t>Charles Smith</t>
  </si>
  <si>
    <t>http://s2.legalinsurrection.com/wp-content/uploads/2014/09/Charles-Smith-620x389.png</t>
  </si>
  <si>
    <t>Augusta Road and Eagle Street</t>
  </si>
  <si>
    <t>31415</t>
  </si>
  <si>
    <t>Savannah-Chatham Metropolitan Police Department</t>
  </si>
  <si>
    <t>Police had arrested Smith on outstanding warrants and put him in a patrol car with his hands cuffed behind his back, Police said in a written statement. Smith was able to move his hands to the front of his body and kick out a window of the patrol car. According to the police, officers noticed that Smith had a gun when he tried exiting the patrol car, and he was shot by an officer. A gun was found under Smith’s body.</t>
  </si>
  <si>
    <t>Ricky Lynn Bunch Jr</t>
  </si>
  <si>
    <t>http://www.gannett-cdn.com/-mm-/a4302d8d6f61f32a05e6fc4b714e0f0356e75aa6/c=0-174-480-446&amp;r=x1803&amp;c=3200x1800/local/-/media/WBIR/WBIR/2014/09/19/1411159213000-Ricky-Lynn-Bunch.jpg</t>
  </si>
  <si>
    <t>3200 TN-131</t>
  </si>
  <si>
    <t>Washburn</t>
  </si>
  <si>
    <t>37888</t>
  </si>
  <si>
    <t>Grainger</t>
  </si>
  <si>
    <t>Clairborne County Sheriff's Office AND/OR Grainger County Sheriff's Department</t>
  </si>
  <si>
    <t>Bunch's relative reported that Bunch had stolen his car. Clairborne County deputies spotted and pursued Bunch, who allegedly fired shots. Multiple LE agencies pursued until Bunch stopped, exited and allegedly created a standoff which included hostage negotiators. Bunch allegedly got in and out of his car several times with a pistol and a shotgun. "During the confrontation, Bunch was shot by law enforcement." Which agency shot him has not been reported.</t>
  </si>
  <si>
    <t>http://www.local8now.com/home/headlines/Officers-negotiate-with-armed-suspect-attempting-to-flee-in-Grainger-Co--275659561.html</t>
  </si>
  <si>
    <t>Brian Lee Beeler</t>
  </si>
  <si>
    <t>http://localtvwhotv.files.wordpress.com/2014/09/brian-beeler.jpg</t>
  </si>
  <si>
    <t>6700 SE 5th St</t>
  </si>
  <si>
    <t>50315</t>
  </si>
  <si>
    <t>Officers Peter Wilson and Cody Willis responded to a domestic disturbance and report that Beeler had two knives in his waistband and wouldn't show his hands or follow their instructions. They state that they tried to taser him but missed, and that he advanced toward them brandishing a knife. Both officers fired, hitting him in the chest or torso. Beeler died in the hospital 09/21/2014.</t>
  </si>
  <si>
    <t>http://www.desmoinesregister.com/story/news/crime-and-courts/2014/09/21/brian-beeler-police-involved-shooting-dies/16033091/</t>
  </si>
  <si>
    <t>Thomas "Tommy" McClain</t>
  </si>
  <si>
    <t>http://cdn.inquisitr.com/wp-content/uploads/2014/09/Tommy-McClain-police-shooting.jpg</t>
  </si>
  <si>
    <t>1600 Allard Avenue</t>
  </si>
  <si>
    <t>Eureka</t>
  </si>
  <si>
    <t>95503</t>
  </si>
  <si>
    <t>Eureka Police Department</t>
  </si>
  <si>
    <t>From the EPD press release: Officers from the Eureka Police Department were looking for two subjects wanted on felony warrants.An officer observed two men arguing. One of the men appeared have a handgun. Fearing the argument was escalating, he summoned additional officers who then confronted the man with the gun. As officers gave commands to the man with the gun which was now visible, the subject grabbed for the gun. A Eureka Police officer fired his weapon killing him.</t>
  </si>
  <si>
    <t>http://thefreethoughtproject.com/family-man-killed-police-week-checking-facebook-shot/</t>
  </si>
  <si>
    <t>Kashad Ashford</t>
  </si>
  <si>
    <t>http://www.northjersey.com/polopoly_fs/1.1129823.1415516362!/fileImage/httpImage/image.jpg_gen/derivatives/landscape_300/110914ashford3.jpg</t>
  </si>
  <si>
    <t>Ridge Road</t>
  </si>
  <si>
    <t>Rutherford</t>
  </si>
  <si>
    <t>07070</t>
  </si>
  <si>
    <t>New Jersey State Police and Lyndhurst Police Department</t>
  </si>
  <si>
    <t>After an aborted attempt to steal a car, Ashford and passenger Jemmaine T. Bynes, 30, were spotted speeding by police and were pursued. Their SUV struck a guardrail and police vehicles blocked it from escaping. Ashford allegedly reversed the SUV and rammed a police vehicle. One state trooper and two Lynd­hurst police officers fired 5-15 shots, killing Ashford.</t>
  </si>
  <si>
    <t>http://www.northjersey.com/news/crime-and-courts/mother-wants-answers-in-son-s-lyndhurst-shooting-1.1132449?page=all</t>
  </si>
  <si>
    <t>Matthew Porraz</t>
  </si>
  <si>
    <t>http://www.kmjnow.com/media/featured_image/0/paired_modules/5/1406400117_stretch.png</t>
  </si>
  <si>
    <t>First Street and Clinton Ave.</t>
  </si>
  <si>
    <t>93703</t>
  </si>
  <si>
    <t>Porraz was wanted for suspicion of murder. A tip led police to find Porraz at his girlfriend's house. Officers allege that they felt threatened before firing 6 rounds at Matthew Porraz. No weapon was found on the victim.</t>
  </si>
  <si>
    <t>William "Billy Buck" Buchanan Stingley Jr.</t>
  </si>
  <si>
    <t>http://www.ottandleefuneralhome.com/fh_live/11500/11527/images/obituaries/2689858_wlpp.jpg</t>
  </si>
  <si>
    <t>100 Burnham Dr</t>
  </si>
  <si>
    <t>Pelahatchie</t>
  </si>
  <si>
    <t>39145</t>
  </si>
  <si>
    <t>Rankin County Sheriff's Department</t>
  </si>
  <si>
    <t>Sheriff's deputies were called to a domestic disturbance at Stingley's neighbor's home and encountered Stingley outside with a handgun. Reportedly, when he pointed it at them, a deputy shot him once.</t>
  </si>
  <si>
    <t>http://www.clarionledger.com/story/news/2014/09/17/sheriff-more-details-rankin-deputy-shooting/15767767/</t>
  </si>
  <si>
    <t>Michael Bonty</t>
  </si>
  <si>
    <t>http://www.alaskanfuneral.com/sitemaker/memsol_data/1526/1427437/1427437_profile_pic.png?1417751805</t>
  </si>
  <si>
    <t>1201 N Jack Nicklaus Dr</t>
  </si>
  <si>
    <t>Wasilla</t>
  </si>
  <si>
    <t>99623</t>
  </si>
  <si>
    <t>Matanuska-Susitna</t>
  </si>
  <si>
    <t>Wasilla Police Department</t>
  </si>
  <si>
    <t>Responding to a possible domestic disturbance, Officer Andrew Kappler and another officer found Bonty "hurting himself" in his home with one or two steak knives. When he "made a threatening move" toward his mother Cynthia Bonty, Kappler shot him once. Mrs. Bonty, who has retained a lawyer, claims the police tasered him twice, which they deny.</t>
  </si>
  <si>
    <t>http://www.frontiersman.com/news/attorney-no-evidence-of-second-gunshot-at-bonty-scene/article_572a7d38-51cd-11e4-af3b-9b6f833b11a4.html</t>
  </si>
  <si>
    <t>Kerry Lynn Brown</t>
  </si>
  <si>
    <t>http://www.fatalencounters.org/wp-content/uploads/2013/10/KerryBrown.jpg</t>
  </si>
  <si>
    <t>4700 Lacey Blvd SE</t>
  </si>
  <si>
    <t>Lacey</t>
  </si>
  <si>
    <t>98503</t>
  </si>
  <si>
    <t>Thurston</t>
  </si>
  <si>
    <t>Lacey Police Department</t>
  </si>
  <si>
    <t>Police responded to a domestic disturbance call from his wife Taquisha, who said Brown, a Special Operations Army Sergeant, was having a mental "episode" in their home. Police said Brown exited the house and fired one shot from a handgun, then ran behind a building. When he allegedly reappeared with the gun, an officer shot him once in the abdomen with a rifle.</t>
  </si>
  <si>
    <t>http://www.theolympian.com/2014/09/17/3323520_man-fatally-shot-by-lacey-police.html?sp=%2F99%2F224%2F&amp;rh=1</t>
  </si>
  <si>
    <t>Caesar Adams</t>
  </si>
  <si>
    <t>901 Gretna Boulevard</t>
  </si>
  <si>
    <t>70053</t>
  </si>
  <si>
    <t>Adams and another suspect shot an officer. The officer shot and killed Adams and injured the other suspect. The motive is not clear why Adams and the other suspect shot the officer.</t>
  </si>
  <si>
    <t>Richard “Pedie” Perez III</t>
  </si>
  <si>
    <t>http://richmondconfidential.org/wp-content/uploads/2014/09/IMG_5935.JPG-620x786.jpeg</t>
  </si>
  <si>
    <t>3322 Cutting Boulevard</t>
  </si>
  <si>
    <t>94804</t>
  </si>
  <si>
    <t>The shooting death of Richard “Pedie” Perez, 24, during a scuffle with a Richmond police officer, According to police, the officer fired when Perez attempted to grab his gun, but at least one witness says he did not see Perez do so.</t>
  </si>
  <si>
    <t>http://richmondconfidential.org/2014/09/17/friends-and-family-paint-a-picture-of-richard-perez-as-sometimes-troublesome-but-not-dangerous/</t>
  </si>
  <si>
    <t>Fredi Morales</t>
  </si>
  <si>
    <t>http://cdn.abclocal.go.com/content/wls/images/cms/automation/images/309334_1280x720.jpg</t>
  </si>
  <si>
    <t>McHenry Rd</t>
  </si>
  <si>
    <t>Wheeling</t>
  </si>
  <si>
    <t>60090</t>
  </si>
  <si>
    <t>Wheeling Police Department</t>
  </si>
  <si>
    <t>A Wheeling officer was speeding to catch up to a traffic violator. The officer had not activated his sirens yet, when he accidentally struck Morales with the squad car.</t>
  </si>
  <si>
    <t>http://abc7chicago.com/news/wheeling-police-officer-on-leave-after-crash-that-killed-pedestrian/309311/</t>
  </si>
  <si>
    <t>300 Rosemont Ave</t>
  </si>
  <si>
    <t>45204</t>
  </si>
  <si>
    <t>Mitchell was shooting a gun in his neighborhood. Neighbors were fearful and call authorities. When police arrived Mitchell was pointing the gun to his head. He then pointed the gun at officers, prompting the officers to shoot and kill Mitchell.</t>
  </si>
  <si>
    <t>http://www.cincinnati.com/story/news/crime/2014/09/15/officer-involved-shooting/15679715/</t>
  </si>
  <si>
    <t>Christopher Lee Lucas</t>
  </si>
  <si>
    <t>http://www.killedbypolice.net/victims/2231.jpg</t>
  </si>
  <si>
    <t>14425 South Bitterbrush Lane</t>
  </si>
  <si>
    <t xml:space="preserve">Utah Department of Corrections </t>
  </si>
  <si>
    <t>The Utah Medical Examiner's Office has ruled the death of state prison inmate Christopher Lee Lucas a homicide. The death occurred last fall after corrections officers used pepper spray to break up a fight between Lucas and another inmate. Officers deployed pepper spray after their verbal orders were ignored. Lucas collapsed as he was being walked out of the cell.</t>
  </si>
  <si>
    <t>http://kuer.org/post/utah-prison-inmate-death-homicide-autopsy-finds</t>
  </si>
  <si>
    <t>Ricky Deangelo Hinkle</t>
  </si>
  <si>
    <t>809 Richard Arrington Jr., Blvd</t>
  </si>
  <si>
    <t>Jefferson County Sheriff’s Office</t>
  </si>
  <si>
    <t>Ricky, a Jefferson County jail inmate, died after a sheriff's deputy used a Taser on him when he allegedly became combative with officers. He had been jailed based on a minor parole violation.</t>
  </si>
  <si>
    <t>Jesse Gibbons</t>
  </si>
  <si>
    <t>http://media.graytvinc.com/images/353*198/jesse+gibbons+web.jpg</t>
  </si>
  <si>
    <t>Lancaster Avenue</t>
  </si>
  <si>
    <t>40508</t>
  </si>
  <si>
    <t>Lexington Police Department, Madison County Sheriff's Office, and Kentucky State Police Department</t>
  </si>
  <si>
    <t>Lexington Police say Gibbons punched Officer James Winter. Police say the hit stunned him long enough for Gibbons to steal his taser and get away. After leaving the scene, police say Gibbons led Lexington officers on a chase that took them to Richmond. After Gibbons's car crashed, they exchanged gunfire. Gibbons was hit several times and that eight officers with either Lexington Police, the Madison County Sheriff's Office or State Police fired at Gibbons.</t>
  </si>
  <si>
    <t>James Bradley Phillips</t>
  </si>
  <si>
    <t>http://mediaassets.knoxnews.com/photo/2014/10/09/cleared_8895019_ver1.0_640_480.jpg</t>
  </si>
  <si>
    <t>3644 Parkway</t>
  </si>
  <si>
    <t>Pigeon Forge</t>
  </si>
  <si>
    <t>37863</t>
  </si>
  <si>
    <t>Pigeon Forge Police Department</t>
  </si>
  <si>
    <t>Phillips was wanted in connection to a murder. He was found at a Wendy's. During the arrest Phillips reportedly acted as if he had a weapon. The officer responded by shooting and killing Phillips. Phillips had no real weapon, but a cellphone and hair brush.</t>
  </si>
  <si>
    <t>http://www.knoxnews.com/news/watchful-eye/pigeon-forge-officer-cleared-in-fatal-shooting-of-slaying-suspect_17102946</t>
  </si>
  <si>
    <t>Darrien Nathaniel Hunt</t>
  </si>
  <si>
    <t>http://i1.huffpost.com/gen/2057758/thumbs/n-DARRIEN-HUNT-large570.jpg</t>
  </si>
  <si>
    <t>Crossroads Boulevard and Redwood Road</t>
  </si>
  <si>
    <t>Saratoga Springs</t>
  </si>
  <si>
    <t>84043</t>
  </si>
  <si>
    <t>Saratoga Springs Police</t>
  </si>
  <si>
    <t>Hunt was outside a fast food restaurant playing with a souvenir sword and someone called the police. Police arrived and claim Hunt lunged at them so they shot him. Witnesses say Hunt was shot in back while fleeing. Hunt family attorney says independent autopsy shows multiple gunshot wounds in back.</t>
  </si>
  <si>
    <t>http://www.deseretnews.com/article/865610896/Investigators-Saratoga-Springs-man-was-shot-after-lunging-at-officers-with-sword.html</t>
  </si>
  <si>
    <t>Elijah Jackson</t>
  </si>
  <si>
    <t>http://www.gannett-cdn.com/-mm-/bcef3913a9a4abe8a4ba8f15ad49fb3b85ffc32c/c=0-0-534-712&amp;r=537&amp;c=0-0-534-712/local/-/media/WBIR/WBIR/2014/09/12/1410537066000-elijah-jackson.jpg</t>
  </si>
  <si>
    <t>Mountain Mist Ln</t>
  </si>
  <si>
    <t>37918</t>
  </si>
  <si>
    <t>According to deputies, 33-year-old Elijah Jackson was wanted for aggravated assault and violation of probation following an August stabbing at Farragut Market. Officers spotted him in North Knox County and followed him to East Beaver Creek Road, where they tried to pull him over. Deputies say the suspect rammed three police cars and attempted to run over several officers. Officers fired at Jackson and hit him.</t>
  </si>
  <si>
    <t>http://www.local8now.com/home/headlines/Shots-fired-in-North-Knox-County-subdivision-274895741.html</t>
  </si>
  <si>
    <t>Jeffrey Johnson</t>
  </si>
  <si>
    <t>http://www.bigcountryhomepage.com/media/lib/203/8/1/5/8156af68-cf5e-43bb-90f5-d4b0aeb8e1f9/Story.jpg</t>
  </si>
  <si>
    <t>7457 West Lake Road</t>
  </si>
  <si>
    <t>Abilene</t>
  </si>
  <si>
    <t>79601</t>
  </si>
  <si>
    <t>Taylor</t>
  </si>
  <si>
    <t>Abilene Police Department</t>
  </si>
  <si>
    <t>Officers responded to a check welfare call at the Best Western Hotel. The caller indicated a known person was possibly suicidal and requested patrol officers make contact with him at the hotel. Upon arrival, officers contacted Jeffrey Johnson. Johnson fled, was chased by police, and arrived at a cemetery. Johnson charged his vehicle towards a K9 unit and reached for a gun. An officer then shot and killed Johnson.</t>
  </si>
  <si>
    <t>http://www.bigcountryhomepage.com/story/d/story/investigation-continues-in-officer-involved-shooti/80145/zXzP5go_C0KyOvY6UKWyeQ</t>
  </si>
  <si>
    <t>Gerald S. Cole</t>
  </si>
  <si>
    <t>2508 Sweetbriar Dr</t>
  </si>
  <si>
    <t>San Angelo</t>
  </si>
  <si>
    <t>76904</t>
  </si>
  <si>
    <t>Tom Green</t>
  </si>
  <si>
    <t>San Angelo Police Department</t>
  </si>
  <si>
    <t>Officers responded to a domestic violence call and spotted Cole circling the area in his truck. He reportedly led them on a brief low-speed chase and "was stopped." Cole allegedly exited his vehicle with a handgun and was shot at least once.</t>
  </si>
  <si>
    <t>http://sanangelolive.com/news/crime/2014-09-19/suspect-sept-11-officer-involved-shooting-dies</t>
  </si>
  <si>
    <t>Benjamin Jay Schroff</t>
  </si>
  <si>
    <t>http://local.sltrib.com/charts/shootings/images/thumbs/2.jpg</t>
  </si>
  <si>
    <t>1575 South and Heritage Fields Drive</t>
  </si>
  <si>
    <t>Washington City</t>
  </si>
  <si>
    <t>84780</t>
  </si>
  <si>
    <t>St. George Police</t>
  </si>
  <si>
    <t>Schroff allegedly robbed a St. George bank at gunpoint and took two employees hostage, forcing one to drive him away in her car. As he fled, police said, he fired on their cruisers with a shotgun and handgun. He ran into a field. When police found him, he was “taking a shooting position toward officers,” who then shot him, investigators said.</t>
  </si>
  <si>
    <t>James Nicholas</t>
  </si>
  <si>
    <t>http://www.click2houston.com/image/view/-/28029826/highRes/1/-/7l8tehz/-/Nicholas-CormierMUGS-jpg.jpg</t>
  </si>
  <si>
    <t>14200 Nimitz St</t>
  </si>
  <si>
    <t>Channelview</t>
  </si>
  <si>
    <t>Nicholas and Kimberly Cormier, suspected in 4 homicides, led officers on a high-speed chase and crashed their vehicle. Nicholas then allegedly "exchanged a hail of gunfire" with the officers, who shot and killed him. Cormier was uninjured and arrested.</t>
  </si>
  <si>
    <t>http://abc13.com/news/couple-involved-in-shoot-out-with-us-marshals/306661/</t>
  </si>
  <si>
    <t>Shawn Brown</t>
  </si>
  <si>
    <t>564 N Pennsylvania Ave</t>
  </si>
  <si>
    <t>08401</t>
  </si>
  <si>
    <t>Police responded to the city's ShotSpotter gunfire alert system and subsequent 911 calls reporting shots fired. Three plain-clothes detectives encountered Shawn Brown, 20, of Atlantic City, who was armed with a handgun, according to police. The officers shot and killed Brown.</t>
  </si>
  <si>
    <t>http://www.nj.com/south/index.ssf/2014/09/atlantic_city_police_fatally_shoot_armed_suspect.html</t>
  </si>
  <si>
    <t>Christopher James Roskelley</t>
  </si>
  <si>
    <t>http://www.standard.net/image/2014/09/14/630x_a16-9_b0_q80/sngproc01-f-Inqueue-Announcements-Roskelley-Chris-jpg.jpg</t>
  </si>
  <si>
    <t>147 N Harrison Blvd</t>
  </si>
  <si>
    <t>84404</t>
  </si>
  <si>
    <t>Ogden Police Department</t>
  </si>
  <si>
    <t>Gang detectives or a narcotics task force, suspecting Roskelley of a prior non-fatal shooting, waited outside a home or followed his car to the home. When Roskelley pulled his car into the driveway, "multiple officers closed in" and "multiple shots were fired". Police claim he had a gun. Roskelley was killed; his male passenger was unhurt, arrested and released.</t>
  </si>
  <si>
    <t>http://www.standard.net/Police/2014/09/09/UPDATE-Officer-involved-shooting</t>
  </si>
  <si>
    <t>Alphonse Edward Perkins</t>
  </si>
  <si>
    <t>1100 West 81st Place</t>
  </si>
  <si>
    <t>Patrol officers responded to a domestic violence call at a home. The 911 operator said that gunshots were heard in the background. When officers arrived, they were confronted by Perkins, who allegedly fired a gun. Police shot and killed him.</t>
  </si>
  <si>
    <t>http://homicide.latimes.com/post/alphonse-edward-perkins/</t>
  </si>
  <si>
    <t>Benito Gonzalez</t>
  </si>
  <si>
    <t>300 N Rachal St</t>
  </si>
  <si>
    <t>Sinton</t>
  </si>
  <si>
    <t>78387</t>
  </si>
  <si>
    <t>San Patricio</t>
  </si>
  <si>
    <t>San Patricio County Sheriff's Office</t>
  </si>
  <si>
    <t>Gonzalez rammed his truck into the county sheriff's office building, jumped out, and shot at several windows. He pointed his gun at a deputy, who shot him in the chest and head. Niece Vanessa Jo Deleon commented that he had just discovered he had cancer. Sheriff Leroy Moody stated that he thought Gonzalez wanted somebody to kill him.</t>
  </si>
  <si>
    <t>http://www.kristv.com/news/suspected-case-of-suicide-by-cop-leaves-man-dead-in-sinton/</t>
  </si>
  <si>
    <t>Christopher Shane LeBlanc</t>
  </si>
  <si>
    <t>http://ak-cache.legacy.net/legacy/images/Cobrands/TheTownTalk/Photos/ATT020205-1_20140911.jpg</t>
  </si>
  <si>
    <t>500 Cummins St</t>
  </si>
  <si>
    <t>Pineville Police Department</t>
  </si>
  <si>
    <t>Officers received a report that someone had threatened another person with a weapon. When officers arrived, they found LeBlanc in the street with a machete. The Rapides Parish Sheriff's Office said Pineville officers ordered LeBlanc to drop his weapon. He then charged toward one of the officers, and the officer fired on him, killing him.</t>
  </si>
  <si>
    <t>http://www.thetowntalk.com/story/news/local/2014/09/08/rpso-pineville-man-killed-charging-police/15316907/</t>
  </si>
  <si>
    <t>Michael D. Oswald</t>
  </si>
  <si>
    <t>http://www.gannett-cdn.com/-mm-/db62cb712679717ded2c2f58579a660279d4a239/c=43-0-1047-1338&amp;r=537&amp;c=0-0-534-712/local/-/media/Indianapolis/2014/09/15/oswaldmug.jpg</t>
  </si>
  <si>
    <t>1840 Carriage Lane</t>
  </si>
  <si>
    <t>29407</t>
  </si>
  <si>
    <t>Charleston County Sheriff's Office</t>
  </si>
  <si>
    <t>Deputy Joseph Matuskovic was fatally shot through a door while responding to a report of a drunk man Michael Donovan Oswald at an apartment. Oswald was also killed by gunfire. Bullets from the weapon, which was similar to an AK-47, punctured the protective vest of the slain deputy.</t>
  </si>
  <si>
    <t>http://ninjapundit.blogspot.com/2014/09/deputy-joseph-matuskovic-and-suspect.html</t>
  </si>
  <si>
    <t>Joel Allen</t>
  </si>
  <si>
    <t>1550 Empire Central Drive</t>
  </si>
  <si>
    <t>75235</t>
  </si>
  <si>
    <t>Officer Michael DeWilde, investigating an unrelated incident and possibly not in uniform, saw Allen participating in what he thought was a drug deal and approached Allen's vehicle as he got in. Allen pulled away, hitting DeWilde, who landed on the hood of the moving vehicle. From the hood, DeWilde shot Allen and was then thrown off. Allen soon hit another vehicle on a highway. He died in the hospital a week later.</t>
  </si>
  <si>
    <t>http://crimeblog.dallasnews.com/2014/09/police-investigating-possible-officer-involved-shooting.html/</t>
  </si>
  <si>
    <t>Tyler Caraway</t>
  </si>
  <si>
    <t>http://ak-cache.legacy.net/legacy/Images/Cobrands/DignityMemorial/Photos/35cbb627-071f-4316-b953-4a41a0a6a4bd.jpg</t>
  </si>
  <si>
    <t>13700 Maye Place</t>
  </si>
  <si>
    <t>78728</t>
  </si>
  <si>
    <t>Two PD officers and the FBI were serving a warrant on Caraway, who was in his car with Jessica Schoonover. Police claim that when they approached the car, Caraway jumped out, pulled a gun and opened fired at them. Round Rock Police Detective Shawn Scott and APD detectives Scott Glasgow and Phillip Hogue shot and killed him. Schoonover claims Caraway did not have a gun and did not get out of the car.</t>
  </si>
  <si>
    <t>http://kxan.com/2014/09/10/police-chief-maintains-man-killed-by-officers-was-armed/</t>
  </si>
  <si>
    <t>Thomas Carberry</t>
  </si>
  <si>
    <t>http://www.local10.com/image/view/-/27934560/highRes/1/-/maxh/240/maxw/320/-/52xq0n/-/Thomas-Carberry.jpg</t>
  </si>
  <si>
    <t>Northwest 29th Street and Northwest Ninth Terrace</t>
  </si>
  <si>
    <t>Wilton Manors</t>
  </si>
  <si>
    <t>Wilton Manors Police Department</t>
  </si>
  <si>
    <t>Troubled Carberry, hosted by friends in a relatively affulent neighborhood in an attempt to get his life back on track, triggered a police visit as he threatened the two homeowners. Once in the driveway, gun in hand and surrounded by police, he opened challenged them to shoot him to death.</t>
  </si>
  <si>
    <t>http://www.sun-sentinel.com/local/broward/fl-wilton-manors-shooting-folo-20140908-story.html</t>
  </si>
  <si>
    <t>Aaron Ray</t>
  </si>
  <si>
    <t>http://wfla.images.worldnow.com/images/4672888_G.jpg</t>
  </si>
  <si>
    <t>2600 Race Track Rd</t>
  </si>
  <si>
    <t>32259</t>
  </si>
  <si>
    <t>Deputies responded to a report of a domestic disturbance involving shots fired. Responding deputies were advised by the female victim that the male suspect had possibly barricaded himself inside the residence. While establishing a perimeter, deputies encountered the armed suspect, who refused to drop the weapon and shots were fired, killing Ray</t>
  </si>
  <si>
    <t>http://staugustine.com/news/local-news/2014-09-06/st-johns-county-deputy-shoots-kills-man-home#.VKxencaZFg1</t>
  </si>
  <si>
    <t>Steven Lee Howell</t>
  </si>
  <si>
    <t>http://media-cdn.timesfreepress.com/img/photos/2014/09/05/Steven_Howell_mug_t755_hd1fbc4275d88523069da5f680888b33e7a07507b.jpg</t>
  </si>
  <si>
    <t>9400 Rhea County Highway</t>
  </si>
  <si>
    <t>37321</t>
  </si>
  <si>
    <t>Rhea</t>
  </si>
  <si>
    <t>Rhea County Sheriff's Office</t>
  </si>
  <si>
    <t>Howell had some injuries when he was booked at the Rhea County Jail, so two deputies took him to the hospital for treatment. At the hospital, Potter said, Howell "became belligerent" and was "aggressive physically and verbally."Howell struggled with one deputy in a treatment room and managed to get his service weapon, Potter said."The second officer that entered the room at that time had to fire a shot at Mr. Howell," he said. Emergency room staff pronounced Howell dead.</t>
  </si>
  <si>
    <t>http://www.timesfreepress.com/news/local/story/2014/sep/06/man-killed-by-deputy-in-struggle-for-gun-at-rhea/266455/</t>
  </si>
  <si>
    <t>Thomas Davis</t>
  </si>
  <si>
    <t>http://accidentdatacenter.com/sites/default/files/styles/thumbnail/public/externals/fa9801de183188ce48b6c364847a0aef.jpg?itok=Y_LDJTcV</t>
  </si>
  <si>
    <t>91-1077 Enterprise St</t>
  </si>
  <si>
    <t>Kapolei</t>
  </si>
  <si>
    <t>96707</t>
  </si>
  <si>
    <t>An officer was driving on Enterprise Avenue hit Davis with his vehicle. It was dark, the street was poorly lit, and Davis was reportedly in the traffic lane.</t>
  </si>
  <si>
    <t>http://accidentdatacenter.com/us/hawaii/honolulu-hi/barbers-point-housing/14/09/05/wheelchair-pedestrian-thomas-davis-44-struck-and-killed-police-car-driven-34-year-old-officer-oahu</t>
  </si>
  <si>
    <t>Bien Cam Tran</t>
  </si>
  <si>
    <t>East 12th Street at Third Avenue</t>
  </si>
  <si>
    <t>Bien Cam Tran was in a crosswalk walking northbound across East 12th Street at Third Avenue about 1:30 p.m. Aug. 30 when he was hit by a black-and-white Ford Crown Victoria driven by Officer Devin Underwood</t>
  </si>
  <si>
    <t>http://www.sfgate.com/bayarea/article/Oakland-police-sued-by-family-of-man-hit-by-6050029.php</t>
  </si>
  <si>
    <t>Karen Cifuentes</t>
  </si>
  <si>
    <t>N Rockwell Ave &amp; Melrose Ln</t>
  </si>
  <si>
    <t>73127</t>
  </si>
  <si>
    <t>Victim was speeding away from the scene of a drug deal sting and hit an officer who then opened fired and shot the driver of the vehicle.</t>
  </si>
  <si>
    <t>http://kfor.com/2014/09/04/okc-police-officer-kills-teen-following-alleged-drug-deal/</t>
  </si>
  <si>
    <t>Ronald David Henry Jr.</t>
  </si>
  <si>
    <t>2800 E Glenn St</t>
  </si>
  <si>
    <t>85716</t>
  </si>
  <si>
    <t>Henry pointed a gun at a family member at a convenience store. Police later arrived at Henry's residence where he was threatening to take his own life. He pointed his gun at officers. Henry was shot and killed.</t>
  </si>
  <si>
    <t>http://www.kvoa.com/news/man-id-d-in-tucson-police-involved-shooting/</t>
  </si>
  <si>
    <t>James Bowman</t>
  </si>
  <si>
    <t>East Ninth Street and Sutro Street</t>
  </si>
  <si>
    <t>89512</t>
  </si>
  <si>
    <t>Sparks Police Department, Washoe County Sheriff's Office</t>
  </si>
  <si>
    <t>Details are sketchy, but media reports say Bowman was a convicted felon and being tailed by police prior to the shooting.</t>
  </si>
  <si>
    <t>Brian Lipp</t>
  </si>
  <si>
    <t>http://www.fatalencounters.org/wp-content/uploads/2013/10/BrianLipp.png</t>
  </si>
  <si>
    <t>Bancroft Street exit on I-75</t>
  </si>
  <si>
    <t>43615</t>
  </si>
  <si>
    <t>Toledo Police Department, Ohio Highway Patrol, and FBI</t>
  </si>
  <si>
    <t>Lipp was engaged in a car chase with police and was a suspect in a robbery that occured earlier. After a three hour car chase, Lipp was killed by police who had accidentally killed Larry Collins in the chase.</t>
  </si>
  <si>
    <t>http://www.toledoblade.com/local/2011/09/07/Friend-says-fugitive-went-out-as-he-wanted.html</t>
  </si>
  <si>
    <t>Kendrick Brown</t>
  </si>
  <si>
    <t>http://imgick.cleveland.com/home/cleve-media/pgmain/img/plain-dealer/photo/2014/09/02/cleveland-police-fatal-shooting-b20a0b71f201f510.jpg</t>
  </si>
  <si>
    <t>3400 E.140th</t>
  </si>
  <si>
    <t>44120</t>
  </si>
  <si>
    <t>Officer ordered suspect to lower weapon. He refused shot him 3 times.</t>
  </si>
  <si>
    <t>Mark Allen Kelley</t>
  </si>
  <si>
    <t>http://media2.kjrh.com/photo/2014/09/02/Officer_involved_shooting__brother_speak_1976100000_7700925_ver1.0_640_480.jpg</t>
  </si>
  <si>
    <t>300 N 25th W Ave</t>
  </si>
  <si>
    <t>Officers were responding to a report of a man with a self-inflicted stab wound in a home. As they arrived, Kelley was standing in the driveway holding the knife. Police said he refused repeated commands to drop the knife and then approached the officers. Three of them opened fire, striking Kelley several times.</t>
  </si>
  <si>
    <t>http://www.newson6.com/story/26423710/tulsa-police-shoot-kill-man-holding-eight-inch-knife</t>
  </si>
  <si>
    <t>Larry Collins</t>
  </si>
  <si>
    <t>Brian Lipp was engaged in a car chase with police and was a suspect in a robbery that occured earlier. Larry Collins was killed by Toledo police when they pursued Lipp the wrong way up I-75.</t>
  </si>
  <si>
    <t>http://www.nbc24.com/news/story.aspx?id=942105#.VVkZ4PlViko</t>
  </si>
  <si>
    <t>Jesse Castillo Jr.</t>
  </si>
  <si>
    <t>I-40</t>
  </si>
  <si>
    <t>Henryetta</t>
  </si>
  <si>
    <t>74437</t>
  </si>
  <si>
    <t>Okmulgee</t>
  </si>
  <si>
    <t>Lighthorse Police Department</t>
  </si>
  <si>
    <t>Castillo was shot and killed by Lighthorse police while driving. Castillo was being pursued after refusing to stop his car. It is unclear why he was fired at.</t>
  </si>
  <si>
    <t>http://www.tulsaworld.com/news/crimewatch/osbi-releases-identity-of-man-killed-in-officer-involved-shooting/article_b16f3d46-b479-50de-8d57-e5fb822c79d9.html</t>
  </si>
  <si>
    <t>Richard Wray "Rick" Aceves</t>
  </si>
  <si>
    <t>http://ak-cache.legacy.net/legacy/images/Cobrands/AZCentral/Photos/0008279677-02-1_20140920.jpg</t>
  </si>
  <si>
    <t>W Bethany Home Rd &amp; N 15th Ave</t>
  </si>
  <si>
    <t>85015</t>
  </si>
  <si>
    <t>Aceves was shooting a gun prompting neighbors to call police. When police arrived a shootout began. Officers ultimately shot and killed Aceves.</t>
  </si>
  <si>
    <t>http://www.kpho.com/story/26424240/phoenix-police-shoot-kill-heavily-armed-man</t>
  </si>
  <si>
    <t>Eugene N. Turner III</t>
  </si>
  <si>
    <t>http://localtvwdaf.files.wordpress.com/2014/08/turnereugene.jpg?w=240&amp;h=300</t>
  </si>
  <si>
    <t>Myrtle Ave &amp; E 6 St</t>
  </si>
  <si>
    <t>64124</t>
  </si>
  <si>
    <t>Officers went to the area of Independence and Myrtle avenues to investigate a report of a suspicious person armed with a gun. Their attention soon shifted a block to the south. Turner fired several rounds at officers before being shot.</t>
  </si>
  <si>
    <t>http://fox4kc.com/2014/08/31/police-identify-28-year-old-man-who-died-during-officer-involved-shooting/</t>
  </si>
  <si>
    <t>Naim Owens</t>
  </si>
  <si>
    <t>http://assets.nydailynews.com/polopoly_fs/1.1930646!/img/httpImage/image.jpg_gen/derivatives/article_970/naim-owens.jpg</t>
  </si>
  <si>
    <t>291 Marcus Garvey Blvd</t>
  </si>
  <si>
    <t>11221</t>
  </si>
  <si>
    <t>Naim Owens, 22, grazed officer John Hirschberger in the left thigh while fleeing police. During the pursuit, cops shot Owens once in the upper back, and he was rushed to Kings County Hospital, where he suffered complications during surgery and died from internal bleeding.</t>
  </si>
  <si>
    <t>Mitch Allen Thompson</t>
  </si>
  <si>
    <t>http://d1t3gia0in9tdj.cloudfront.net/photo/tributes/t/8/r/207x207/2451402/51ee3c56-1843-429c-a16b-7712003a7e4a.jpg</t>
  </si>
  <si>
    <t>110 1st Street</t>
  </si>
  <si>
    <t>Claude</t>
  </si>
  <si>
    <t>79019</t>
  </si>
  <si>
    <t>Armstrong</t>
  </si>
  <si>
    <t>Armstrong Sheriff's Office</t>
  </si>
  <si>
    <t>Mitch Thompson, 52, was shot and killed after Thompson attacked Sheriff J.R. Walker, Potter-Randall Special Crimes Unit Lt. Erick Bohannon told the Globe-News. Earlier, Thompson was drinking and threatening his wife.</t>
  </si>
  <si>
    <t>http://amarillo.com/news/local-news/2014-09-23/armstrong-deputy-no-billed-fatal-shooting</t>
  </si>
  <si>
    <t>Royal Shawn Bingamen</t>
  </si>
  <si>
    <t>Hubbard and South Virginia street</t>
  </si>
  <si>
    <t>89502</t>
  </si>
  <si>
    <t>Reno Police Department</t>
  </si>
  <si>
    <t>Officers appeared to have shot the man during a gun battle that ensued after he was chased from a CVS Pharmacy, where the man allegedly shot a patron and robbed the store.</t>
  </si>
  <si>
    <t>http://www.rgj.com/story/news/crime/2014/09/01/reno-robbery-suspect-fatally-shot-police/14933497/</t>
  </si>
  <si>
    <t>Jose Walter Garza</t>
  </si>
  <si>
    <t>5301 Santa Maria Ave</t>
  </si>
  <si>
    <t>Garza pulled a pellet gun, a replica of a semiautomatic weapon, on officers at a truck stop at 2 a.m. Six officers killed him with over 80 rounds. Garza had a history of schizophrenia. His grandmother was forced to change burial plans because the 80 shots had essentially removed his face.</t>
  </si>
  <si>
    <t>http://www.nydailynews.com/news/national/police-fired-61-shots-killing-man-bb-gun-laredo-truck-stop-article-1.1930058</t>
  </si>
  <si>
    <t>George Carson</t>
  </si>
  <si>
    <t>NW 50 Ave and NW 190 Rd</t>
  </si>
  <si>
    <t>Hoisington</t>
  </si>
  <si>
    <t>67544</t>
  </si>
  <si>
    <t>Barton</t>
  </si>
  <si>
    <t>Kansas Highway Patrol</t>
  </si>
  <si>
    <t>Officers responding to a domestic battery call were confronted by an armed suspect. Gunfire was exchanged. Carson was transported to the Hoisington hospital where he later died of his wounds.</t>
  </si>
  <si>
    <t>http://www.kwch.com/news/local-news/one-killed-in-officer-involved-shooting/27812968</t>
  </si>
  <si>
    <t>Justin Burch</t>
  </si>
  <si>
    <t>91 Hattie Lane</t>
  </si>
  <si>
    <t>Hattiesburg</t>
  </si>
  <si>
    <t>39401</t>
  </si>
  <si>
    <t>Marion County Sheriff's Office</t>
  </si>
  <si>
    <t>County police responding to a domestic violence call found Burch inside, wielding a long gun. Burch refused to obey police commands to drop his weapon, the situation escalated, and Burch was shot and killed.</t>
  </si>
  <si>
    <t>http://www.hattiesburgamerican.com/story/news/crime/2014/09/02/justin-burch-marion-county/14959659/</t>
  </si>
  <si>
    <t>Stephen Johnston</t>
  </si>
  <si>
    <t>314 W. Prospect Street</t>
  </si>
  <si>
    <t>98119</t>
  </si>
  <si>
    <t>Local police were called to the Johnston residence multiple times, ultimately finding Johnston outside with a rifle in hand. He retreated into the house but the re-emerged and started a firefight with officers, which he lost. Neighbors were at a loss to reconcile the seemingly affable Johnston they knew with the heavily armed man in a house with an "arsenal of weapons, ammunition, body armor and hardened fighting positions" that police described.</t>
  </si>
  <si>
    <t>Ronald Singleton</t>
  </si>
  <si>
    <t>51st Street and Fifth Avenue</t>
  </si>
  <si>
    <t>Police said the 45-year-old was acting erratically in a taxi July 13 when officers responding to a 911 call restrained him, placing him in a protective body wrap.</t>
  </si>
  <si>
    <t>Jeremy Lewis</t>
  </si>
  <si>
    <t>http://media.cmgdigital.com/shared/img/photos/2014/08/29/a9/3f/Jeremy_Lewis_booking_mug_full.jpg</t>
  </si>
  <si>
    <t>25th Street</t>
  </si>
  <si>
    <t>32805</t>
  </si>
  <si>
    <t>County deputies attempted to serve a warrant to Lewis at his apartment complex, as the climax of a two-week narcotics investigation. According to police, at his doorway Lewis pointed a gun, and at least two officers responded with gunfire. He was shot several times and died at the scene.</t>
  </si>
  <si>
    <t>http://www.wesh.com/news/deputies-suspect-shot-while-deputies-serving-warrant-in-orlando/27788560</t>
  </si>
  <si>
    <t>Enebelio Garcia</t>
  </si>
  <si>
    <t>http://a-a-abailbonds.com/wp-content/gallery/most-wanted/enebelio-garcia1.jpg</t>
  </si>
  <si>
    <t>1400 Krause Lane</t>
  </si>
  <si>
    <t>New Braunfels</t>
  </si>
  <si>
    <t>78130</t>
  </si>
  <si>
    <t>Guadalupe County Sheriff's Department</t>
  </si>
  <si>
    <t>County officers on a domestic dispute call were confronted with Garcia and a carpenter's hatchet in his hand. Pepper-sprayed, Garcia refused to back down, and was fatally shot.</t>
  </si>
  <si>
    <t>http://seguingazette.com/alert/article_12cc2a72-3041-11e4-b02a-001a4bcf887a.html</t>
  </si>
  <si>
    <t>Jayson Matthew Withers</t>
  </si>
  <si>
    <t>http://media.oregonlive.com/pacific-northwest-news/photo/withers2jpeg-80a04c3cc234c7c0.jpeg</t>
  </si>
  <si>
    <t>2500 Westgate</t>
  </si>
  <si>
    <t>Pendleton</t>
  </si>
  <si>
    <t>Umatilla</t>
  </si>
  <si>
    <t>Umatilla County Sheriff's Office</t>
  </si>
  <si>
    <t>Officer shot and killed an inmate Friday morning after he and another prisoner wouldn't stop attacking a third inmate.</t>
  </si>
  <si>
    <t>http://www.oregonlive.com/pacific-northwest-news/index.ssf/2014/08/inmate_shot_and_killed_at_east.html</t>
  </si>
  <si>
    <t>John O'Connell</t>
  </si>
  <si>
    <t>http://www.stgeorgeutah.com/wp-content/uploads/2014/09/Michael-John-OConnell.jpg</t>
  </si>
  <si>
    <t>I-15</t>
  </si>
  <si>
    <t>Littlefield</t>
  </si>
  <si>
    <t>86432</t>
  </si>
  <si>
    <t>Sheriff's deputies describe O'Connell, a former engineering professor, fleeing from a traffic stop on his motorcycle in the remote Arizona strip. Officers tasered him twice; he stopped breathing while being led in handcuffs to a patrol car.</t>
  </si>
  <si>
    <t>http://www.stgeorgeutah.com/news/archive/2014/09/01/kss-sheriffs-office-ids-man-who-fled-deputies-died-felony-warrants-for-lewd-acts/</t>
  </si>
  <si>
    <t>Guillermo Culajay Canas</t>
  </si>
  <si>
    <t>Wabasha St S &amp; Plato Blvd</t>
  </si>
  <si>
    <t>55107</t>
  </si>
  <si>
    <t>Officers responded to frantic 911 calls about Canas, who was caught attacking cars with a pipe and throwing rocks. Two officers fired and killed Canas after he ignored orders to stop and approached the pair seemingly intent on throwing a large rock.</t>
  </si>
  <si>
    <t>http://www.startribune.com/local/stpaul/273013851.html</t>
  </si>
  <si>
    <t>Chaz Michael Havenor</t>
  </si>
  <si>
    <t>http://www.lakesidememorialchapel.com/fh_live/12400/12415/images/obituaries/2660106.jpg</t>
  </si>
  <si>
    <t>6139 157th Lane NW</t>
  </si>
  <si>
    <t>55303</t>
  </si>
  <si>
    <t>Ramsey Police Department</t>
  </si>
  <si>
    <t>Police said officers responded to a call of a suspicious vehicle outside the Learning Lodge day care center in Ramsey. When they arrived, Havenor jumped out of the car and began running away. According to police reports, Havenor pulled a gun as the officers chased him. Dixon and Webb told him to stop and drop the gun. When he didn't, they shot him. The toxicology report for Havenor showed he had amphetamine and methamphetamine in his blood. A round was found in the chamber of his pistol, according to the attorney's office.</t>
  </si>
  <si>
    <t>Erik Charles Lebak</t>
  </si>
  <si>
    <t>28000 Fig Tree Lane</t>
  </si>
  <si>
    <t>Redding</t>
  </si>
  <si>
    <t>96002</t>
  </si>
  <si>
    <t>Shasta</t>
  </si>
  <si>
    <t>Redding Police Department</t>
  </si>
  <si>
    <t>Erik Charles Lebak was suicidal. He was armed with a handgun and a shotgun and shot multiple times by two Redding Police Department officers who responded to the scene.</t>
  </si>
  <si>
    <t>Terry Sellars</t>
  </si>
  <si>
    <t>http://dailyhaze.com/wp-content/uploads/2014/08/Summary-of-Police-Related-Shootings-From-August-2014-Terry-Sellers.jpg</t>
  </si>
  <si>
    <t>5800 Garden Lakes Fern</t>
  </si>
  <si>
    <t>34203</t>
  </si>
  <si>
    <t>Manatee County Sheriff's Department</t>
  </si>
  <si>
    <t>Sellars' own mother called police for help after he assaulted her. County officers arrived only to be swiftly attacked by Sellars with a "very large samurai sword." He was fatally shot. Reporting noted his criminal and prison record, and that he also used the spelling "Sellers".</t>
  </si>
  <si>
    <t>http://www.bradenton.com/2014/08/28/5326434_manatee-deputy-shoots-person-in.html?sp=/99/100/&amp;rh=1</t>
  </si>
  <si>
    <t>Kerry Wesson</t>
  </si>
  <si>
    <t>12200 Santa Fe Avenue</t>
  </si>
  <si>
    <t>Lynwood</t>
  </si>
  <si>
    <t>90262</t>
  </si>
  <si>
    <t>L.A. county detectives were completing a burglary investigation when Wesson, apparently unprompted, emerged from his apartment and opened fire on them. One was wounded. The SWAT team responded for a two-hour standoff with Wesson, who eventually showed himself and was shot to death.</t>
  </si>
  <si>
    <t>http://www.crimevoice.com/man-shoots-detective-for-no-apparent-reason-swat-team-gets-involved/</t>
  </si>
  <si>
    <t>Sergio Ramos</t>
  </si>
  <si>
    <t>http://tribcw33.files.wordpress.com/2014/08/sergio-ramos1.jpeg?w=1200</t>
  </si>
  <si>
    <t>13729 N Central Expy</t>
  </si>
  <si>
    <t>75243</t>
  </si>
  <si>
    <t>Ramos attempted to rob an acquaintance at a gas station, then shot and killed him. An off-duty local officer just finishing up a private security shift at the adjacent Wal-Mart approached Ramos, saw his handgun, and fatally shot him as Ramos went for the weapon.</t>
  </si>
  <si>
    <t>http://cw33.com/2014/08/27/not-again-off-duty-dpd-officer-shoots-kills-murder-suspect/</t>
  </si>
  <si>
    <t>John Rogers</t>
  </si>
  <si>
    <t>http://extras.mnginteractive.com/live/media/site567/2014/1110/20141110__TDT-L-ROGERS-1111~p1.jpg</t>
  </si>
  <si>
    <t>414 Ruth Lane</t>
  </si>
  <si>
    <t>Bloomfield</t>
  </si>
  <si>
    <t>87413</t>
  </si>
  <si>
    <t>Bloomfield Police Department</t>
  </si>
  <si>
    <t>Local police responding to a domestic dispute call said they were confronted with Rogers holding a deadly weapon, so they shot him to death. Rogers' large family and wife of 40 years disputed practically every element of the police narrative: they said Rogers had no gun and there was no domestic dispute to begin with.</t>
  </si>
  <si>
    <t>http://www.daily-times.com/four_corners-news/ci_26425361/family-bloomfield-man-shot-by-police-claims-shooting</t>
  </si>
  <si>
    <t>Mark Jeffery Sharpe</t>
  </si>
  <si>
    <t>4700 Broadway</t>
  </si>
  <si>
    <t>Live Oak</t>
  </si>
  <si>
    <t>95953</t>
  </si>
  <si>
    <t>Sutter</t>
  </si>
  <si>
    <t>Sutter County Sheriff Department</t>
  </si>
  <si>
    <t>Officers responded to reported assault or suicide attempt; claim Sharpe had a gun refusing to put it down, that he said he wanted to end his life, that when they used a stun gun Sharpe pointed a gun at the officers and they shot him twice.</t>
  </si>
  <si>
    <t>http://www.sacbee.com/2014/08/29/6665290/sheirffs-officials-sutter-county.html</t>
  </si>
  <si>
    <t>Freddie LeBlanc</t>
  </si>
  <si>
    <t>http://d1t3gia0in9tdj.cloudfront.net/photo/tributes/t/8/r/207x207/2449189/b3361865-bf96-40c6-b5a2-c2eb25a0fb90.jpg</t>
  </si>
  <si>
    <t>31000 Old Baton Rouge Hwy</t>
  </si>
  <si>
    <t>Hammond</t>
  </si>
  <si>
    <t>70403</t>
  </si>
  <si>
    <t>Livingston Parish Sheriff's Office</t>
  </si>
  <si>
    <t>According to parish officials, their forces responded to reports of an attempted suicide. They found LeBlanc, who is said to have turned his gun on police. He was fatally shot.</t>
  </si>
  <si>
    <t>http://www.wafb.com/story/26388288/officials-investigate-deputy-involved-shooting-in-livingston-parish</t>
  </si>
  <si>
    <t>Cortez Washington</t>
  </si>
  <si>
    <t>http://bloximages.newyork1.vip.townnews.com/omaha.com/content/tncms/assets/v3/editorial/0/22/022c14aa-2e27-11e4-a687-001a4bcf6878/53fe3c944a054.image.jpg</t>
  </si>
  <si>
    <t>Dodge St &amp; N 43rd St</t>
  </si>
  <si>
    <t>68131</t>
  </si>
  <si>
    <t>Washington was holding up the Wendy's with an Airsoft replica gun when an OPD unit fired at least 30 shots into the restaurant. Washington exited the building and fell to the ground.</t>
  </si>
  <si>
    <t>http://www.omaha.com/news/crime/chief-id-s-wendy-s-robbery-suspect-says-he-fired/article_f64dc75c-2e06-11e4-9add-0017a43b2370.html</t>
  </si>
  <si>
    <t>Roshad McIntosh</t>
  </si>
  <si>
    <t>http://cdn.abclocal.go.com/content/wls/images/cms/287387_630x354.jpg</t>
  </si>
  <si>
    <t>2800 West Polk Street</t>
  </si>
  <si>
    <t>60612</t>
  </si>
  <si>
    <t>Police responded to a complaint of armed men near Chicago's East Garfield Park neighborhood. When officers approached McIntosh, he ran into a gangway and pulled a gun from his waistband. When he was told to drop the weapon, officers said the suspect got into an elevated position and pointed the gun at them. McIntosh was shot and taken to a local hospital where he was later pronounced dead.</t>
  </si>
  <si>
    <t>http://abc7chicago.com/news/funeral-to-be-held-for-19-year-old-shot-by-chicago-police/297327/</t>
  </si>
  <si>
    <t>Bryce Dion</t>
  </si>
  <si>
    <t>http://bloximages.newyork1.vip.townnews.com/omaha.com/content/tncms/assets/v3/editorial/1/58/15869db2-2e2d-11e4-90bd-0017a43b2370/53fe46dd3a484.image.jpg</t>
  </si>
  <si>
    <t>4308 Dodge St</t>
  </si>
  <si>
    <t>Bryce was a crew member of the "Cops" TV show filming police response to an armed robbery at a fast food restaurant. Bryce was killed by crossfire from police shooting at the robbery suspect.</t>
  </si>
  <si>
    <t>http://www.nbcnews.com/news/crime-courts/cops-crew-member-bryce-dion-killed-omaha-police-shootout-n190301</t>
  </si>
  <si>
    <t>Luke Baber</t>
  </si>
  <si>
    <t>http://i1.huffpost.com/gen/750924/thumbs/s-LUKE-BABER-large.jpg</t>
  </si>
  <si>
    <t>I-79</t>
  </si>
  <si>
    <t>Wallback</t>
  </si>
  <si>
    <t>25285</t>
  </si>
  <si>
    <t>Roane County Sheriff's Departments</t>
  </si>
  <si>
    <t>Baber was handcuffed and apparently shot two state troopers with a gun State Police said may have been hidden in his pants. Both troopers died (one on scene and one two weeks later). Baber was killed in a shootout with deputies from Clay and Roane counties.</t>
  </si>
  <si>
    <t>http://www.huffingtonpost.com/2012/08/29/luke-baber-marshall-bailey-dead_n_1840781.html</t>
  </si>
  <si>
    <t>Desean Pittman</t>
  </si>
  <si>
    <t>http://assets.dnainfo.com/generated/chicago_photo/2014/08/pittman-1409185986.png/extralarge.jpg</t>
  </si>
  <si>
    <t>Pittman was supposedly involved in a shoot out with two other men. When police arrived he was standing over a body and he pointed a gun at officers. Officers fired and killed Pittman.</t>
  </si>
  <si>
    <t>http://chicagoist.com/2014/08/26/two_weekend_shootings_involving_pol.php</t>
  </si>
  <si>
    <t>Steven Lashone Douglas</t>
  </si>
  <si>
    <t>http://crimeblog.dallasnews.com/files/2014/08/Steven_Douglas-239x300.jpg</t>
  </si>
  <si>
    <t>Lake June and Prairie Creek Roads</t>
  </si>
  <si>
    <t>75217</t>
  </si>
  <si>
    <t>An officer shot Douglas as he ran from police this morning in Pleasant Grove. Douglas was a kidnapping suspect who snatched his two children from their mother after ramming her car.</t>
  </si>
  <si>
    <t>http://crimeblog.dallasnews.com/2014/08/suspect-shot-after-brief-police-chase-in-pleasant-grove.html/</t>
  </si>
  <si>
    <t>Guadalupe Esquivel</t>
  </si>
  <si>
    <t>http://www.everythinglubbock.com/media/lib/197/0/d/d/0dd46e98-7fc0-4c57-a677-e414ee9fc6e9/Story.jpg</t>
  </si>
  <si>
    <t>2800 Cornell Street</t>
  </si>
  <si>
    <t>79415</t>
  </si>
  <si>
    <t>Lubbock Police Department</t>
  </si>
  <si>
    <t>Local police pursued Esquivel multiple times in the same evening as he threatened an estranged girlfriend and her children. When confronted at the laundromat where she worked, Esquivel appeared to reach for his gun, and was killed with eleven shots within the officer's first 15 seconds of contact.</t>
  </si>
  <si>
    <t>http://www.everythinglubbock.com/Story/d/story/police-release-911-call-related-to-deadly-shooting/29096/rAw-GFDO4UyvgHsu4qhuiA</t>
  </si>
  <si>
    <t>Joshua Crawford</t>
  </si>
  <si>
    <t>1720 Grand Ave</t>
  </si>
  <si>
    <t>Grand Junction Police Department received a call to remove Crawford from a home on Grand Avenue. The Daily Sentinel reports that a police log entry on the shooting says that a "known male threatened officers with a handgun."</t>
  </si>
  <si>
    <t>http://www.denverpost.com/news/ci_26474305/2-cops-cleared-fatal-grand-junction-shooting</t>
  </si>
  <si>
    <t>Rondre Hornbeak</t>
  </si>
  <si>
    <t>http://www.ardmoreite.com/storyimage/OK/20140829/NEWS/140829618/AR/0/Rondre-Lamar-Hornbeak.jpg&amp;MaxW=315&amp;MaxH=315</t>
  </si>
  <si>
    <t>1109 Holiday Drive</t>
  </si>
  <si>
    <t>73401</t>
  </si>
  <si>
    <t>Police were called for a domestic assault. Hornbeak was arrested and was transported to jail. Upon arrival Hornbeak was unresponsive. Cause of death is pending until autopsy.</t>
  </si>
  <si>
    <t>http://www.ardmoreite.com/article/20140824/NEWS/140829830/10054/NEWS</t>
  </si>
  <si>
    <t>Mark Salazar</t>
  </si>
  <si>
    <t>http://www.koco.com/image/view/-/27738110/highRes/2/-/maxh/480/maxw/640/-/6mwfp6z/-/Salazar-Mark-jpg.jpg</t>
  </si>
  <si>
    <t>Johnny Bench Dr</t>
  </si>
  <si>
    <t>73104</t>
  </si>
  <si>
    <t>Local police responding to a burglary call flushed out Salazar, who led them on a high-speed chase. After his vehicle came to a stop on the side of the interstate Salazar continued to flee on foot. Officers set a police dog on him, which he stabbed, causing officers to fatally shoot him in the back. Physical evidence from Salazar's autopsy contradicted the police story. Much of the press focused on the suffering and death of the heroic dog.</t>
  </si>
  <si>
    <t>http://newsok.com/autopsy-details-differ-from-okahoma-city-police-account-in-dog-death/article/5344932</t>
  </si>
  <si>
    <t>Stephen Andrew McMilon</t>
  </si>
  <si>
    <t>http://www.kdrv.com/wp-content/uploads/2014/08/mcmilon-web.jpg</t>
  </si>
  <si>
    <t>Stewart Ave &amp; Cherry St.</t>
  </si>
  <si>
    <t>Veteran Marine with PTSD was ranting and carrying a shotgun. The police arrived in armored vehicles and surrounded him. He was shot in the back 6 times.The police were originally called over because of reports of an altercation between Stephen Andrew McMilon and a woman inside his house.</t>
  </si>
  <si>
    <t>http://www.mailtribune.com/article/20140825/News/140829614</t>
  </si>
  <si>
    <t>Timothy Shad Griffis</t>
  </si>
  <si>
    <t>http://www.mentalhealthportland.org/wp-content/uploads/2014/09/Timothy-Griffis-300x225.jpg</t>
  </si>
  <si>
    <t>100 Southwest Jamie Glen</t>
  </si>
  <si>
    <t>Lake City</t>
  </si>
  <si>
    <t>32055</t>
  </si>
  <si>
    <t>Columbia County Sheriff's Office</t>
  </si>
  <si>
    <t>Griffis threw a metal pipe at an elderly woman. Deputy Bradely showed up, Griffis threatened to kill him. Griffis was tasered and died. Deputy could not resuscitate.</t>
  </si>
  <si>
    <t>http://www.actionnewsjax.com/news/news/fdle-investigates-fatal-columbia-county-police-inc/ng8Nh/</t>
  </si>
  <si>
    <t>Randy Matheny</t>
  </si>
  <si>
    <t>East Fork 12 Pole Creek Road</t>
  </si>
  <si>
    <t>Dingess</t>
  </si>
  <si>
    <t>25671</t>
  </si>
  <si>
    <t>Mingo</t>
  </si>
  <si>
    <t>State police visited Matheny at his home following a wreck at which he allegedly discharged a firearm in the air to disperse a crowd. Upon arrival, Matheny allegedly threatened police with a handgun, and was shot. There are no other eyewitness accounts aside from those of the police.</t>
  </si>
  <si>
    <t>http://www.wowktv.com/story/26358824/wvsp-troopers-shoot-and-kill-a-suspect-in-mingo-county-west-virginia</t>
  </si>
  <si>
    <t>Anthony Lamar Brown</t>
  </si>
  <si>
    <t>http://www.wpbf.com/image/view/-/27706740/highRes/2/-/maxh/480/maxw/640/-/hv3a3oz/-/Anthony-Lamar-Brown-copy-jpg.jpg</t>
  </si>
  <si>
    <t>500 15th St</t>
  </si>
  <si>
    <t>33407</t>
  </si>
  <si>
    <t>West Palm Beach Police Department</t>
  </si>
  <si>
    <t>Brown reportedly stole a bike from someone at gunpoint. Brown was pulled over by and officer. Brown shot at the officer. The officer fired back, killing Brown.</t>
  </si>
  <si>
    <t>http://www.wpbf.com/news/west-palm-beach-police-investigating-officerinvolved-shooting/27701500</t>
  </si>
  <si>
    <t>Briant Paula</t>
  </si>
  <si>
    <t>http://bloximages.chicago2.vip.townnews.com/eagletribune.com/content/tncms/assets/v3/editorial/b/7f/b7fc7fe1-f3e7-5677-bd1f-454204f5829d/53f9562c12ae0.image.jpg?crop=685%2C462%2C9%2C0&amp;resize=300%2C203&amp;order=crop%2Cresize</t>
  </si>
  <si>
    <t>Riverside Drive and Strathmore Road</t>
  </si>
  <si>
    <t>Methuen</t>
  </si>
  <si>
    <t>01844</t>
  </si>
  <si>
    <t>Lowell Police Department</t>
  </si>
  <si>
    <t>A 19-year-veteran of the local police was not only drunk during his head-on collision, unlicensed, with an open container and drunk-driving priors, but witnesses saw him trying to flee the scene, then he provided a false name to an investigator in another department. Paula died in the crash and his sister was seriously injured. The officer was charged with felony motor-vehicle homicide and lesser charges.</t>
  </si>
  <si>
    <t>http://www.lowellsun.com/todaysheadlines/ci_26407340/witness-cop-charged-drunk-drive-fataltried-flee-accident</t>
  </si>
  <si>
    <t>Hernan Milton Ossorio</t>
  </si>
  <si>
    <t>5000 Montgomery Road</t>
  </si>
  <si>
    <t>Ellicott City</t>
  </si>
  <si>
    <t>21043</t>
  </si>
  <si>
    <t>County police were called to Friedman's residence on reports of him being suicidal. Efforts to communicate with the victim failed, he reportedly approached officers with a knife in a threatening way, and he was shot to death. One of two similar incidents within four days.</t>
  </si>
  <si>
    <t>http://www.baltimoresun.com/news/maryland/howard/ellicott-city/ph-ho-cf-police-shooting-20140826,0,1216215.story</t>
  </si>
  <si>
    <t>Mauricio Herrera-Garcia</t>
  </si>
  <si>
    <t>35th Avenue and Camelback Road</t>
  </si>
  <si>
    <t>Involved in hit-and-run. Fired several shots in air out of car window. Seen by cops several hours later; followed by helicoptor and police cars for 30 min. Pulled into gas station, blocked in by police. According to police accounts pulled gun out of his waistband. Was ordered to drop gun, but pointed it at an officer. 3 officers fired.</t>
  </si>
  <si>
    <t>http://www.azcentral.com/story/news/local/phoenix/2014/08/24/phoenix-police-officer-involved-shooting/14526153/</t>
  </si>
  <si>
    <t>Joseph Jennings</t>
  </si>
  <si>
    <t>http://kctv.images.worldnow.com/images/26355241_BG2.jpeg</t>
  </si>
  <si>
    <t>2008 Princeton Road</t>
  </si>
  <si>
    <t>Ottawa</t>
  </si>
  <si>
    <t>66067</t>
  </si>
  <si>
    <t>Ottawa Police Department/Franklin County Sheriff's Office</t>
  </si>
  <si>
    <t>Officers called to the scene where a suicidal young man reportedly had a gun. Officers shot him multiple times despite his family's pleas to take into consideration his mental illness.</t>
  </si>
  <si>
    <t>http://www.kctv5.com/story/26355241/ottawa-police-involved-in-shooting</t>
  </si>
  <si>
    <t>Raymond Villarreal</t>
  </si>
  <si>
    <t>FM 1069</t>
  </si>
  <si>
    <t>Aransas Pass</t>
  </si>
  <si>
    <t>78336</t>
  </si>
  <si>
    <t>San Patricio County Sheriff's Department</t>
  </si>
  <si>
    <t>County deputies responded to a man-with-a-gun call. They found Villarreal on his own property, in a pickup, agitated and freshly informed that his wife filed for divorce. At some point Villarreal left the vehicle with a handgun and reportedly fired a shot. Officers returned fire and killed him.</t>
  </si>
  <si>
    <t>http://www.caller.com/news/local-news/man-shot-by-san-pat-co-deputy-dies-thursday_69123088</t>
  </si>
  <si>
    <t>Vernicia Woodard</t>
  </si>
  <si>
    <t>http://wgcl.images.worldnow.com/images/26391514_BG2.jpg</t>
  </si>
  <si>
    <t>Elm Street</t>
  </si>
  <si>
    <t>Hapeville</t>
  </si>
  <si>
    <t>30354</t>
  </si>
  <si>
    <t>Woodard was fatally shot multiple times by her former boyfriend, an Atlanta police officer named Tahreem Zeus Rana. After being caught trying to fly to Mexico, Rana faced charges of murder, kidnapping, and a charge of arson for setting Woodard's dead body on fire in an attempt to obscure evidence.</t>
  </si>
  <si>
    <t>http://www.cbs46.com/story/26391514/atlanta-police-officer-suspected-in-womans-death</t>
  </si>
  <si>
    <t>Alex Alvarado</t>
  </si>
  <si>
    <t>http://assets.nydailynews.com/polopoly_fs/1.1918222.1409102835!/img/httpImage/image.jpg_gen/derivatives/article_970/san-bernardino-police-department.jpg</t>
  </si>
  <si>
    <t>North Garner Avenue</t>
  </si>
  <si>
    <t>92411</t>
  </si>
  <si>
    <t>Officers approaching a small group of men were fired upon, injuring one of the officers. Another officer shot and killed one of the men, Alvarado</t>
  </si>
  <si>
    <t>http://ktla.com/2014/08/26/update-expected-on-shootout-that-injured-san-bernardino-police-officer-left-alleged-gunman-dead/</t>
  </si>
  <si>
    <t>Austin Dukette</t>
  </si>
  <si>
    <t>http://www.gannett-cdn.com/-mm-/cabbe24fad981be7ffdb8262b85fc733a1c0bda2/c=133-93-398-446&amp;r=537&amp;c=0-0-534-712/local/-/media/FortMyers/2014/08/27/dukette.jpg</t>
  </si>
  <si>
    <t>626 Kismet Pkwy</t>
  </si>
  <si>
    <t>Cape Coral</t>
  </si>
  <si>
    <t>33909</t>
  </si>
  <si>
    <t>Lee County Sheriff's Office</t>
  </si>
  <si>
    <t>Dukette was riding his bike to school when a deputy hit him with his car, killing him. After a two-month-long investigation, Cape Coral police announced sheriff's Deputy Douglas E. Hood was at fault in the crash that killed the Cape Coral teen. Hood was cited for careless driving. According to a Cape police statement, this concludes the investigation.</t>
  </si>
  <si>
    <t>Not Guilty</t>
  </si>
  <si>
    <t>Found Not Guilty</t>
  </si>
  <si>
    <t>http://www.news-press.com/story/news/local/cape-coral/2014/10/17/deputy-at-fault-crash-killed-cape-15-year-old/17448899/</t>
  </si>
  <si>
    <t>Arvel Douglas Williams</t>
  </si>
  <si>
    <t>http://www.williamcbrownfh.com/sitemaker/memsol_data/2236/1507534/1507534_profile_pic.jpg</t>
  </si>
  <si>
    <t>9233 Cowenton Ave</t>
  </si>
  <si>
    <t>Perry Hall</t>
  </si>
  <si>
    <t>21128</t>
  </si>
  <si>
    <t>Williams led police on a car chase from Joppa to Perry Hall died late Wednesday after he was stunned with Tasers by Harford County sheriff's deputies, police said.The deputies used Tasers on 30-year-old Arvel Douglas Williams "in an effort to safely place [him] under arrest," Baltimore County Police said Thursday.Williams was in handcuffs, police said, when he "suddenly began to have a medical emergency.Police removed the handcuffs, rendered first aid and called paramedics, they said. William was taken to a local hospital, where he was pronounced dead shortly after 9 p.m.</t>
  </si>
  <si>
    <t>Jacob A. Navarre</t>
  </si>
  <si>
    <t>http://kplc.images.worldnow.com/images/4844713_G.jpg</t>
  </si>
  <si>
    <t>LA-1147</t>
  </si>
  <si>
    <t>DeRidder</t>
  </si>
  <si>
    <t>70634</t>
  </si>
  <si>
    <t>Beauregard</t>
  </si>
  <si>
    <t>Beauregard Parish Sheriff’s Office</t>
  </si>
  <si>
    <t>Navarre allegedly attempted to strike officers with his vehicle.Deputies then fired at Navarre, killing him.</t>
  </si>
  <si>
    <t>http://www.kplctv.com/story/26628027/authorities-identify-man-fatally-shot-by-deputies</t>
  </si>
  <si>
    <t>Darren Friedman</t>
  </si>
  <si>
    <t>7600 Coachlight Lane</t>
  </si>
  <si>
    <t>Friedman was attempting to commit suicide with a knife. Police responded to find he did in fact half self-inflicted stab wounds and shot him after he "confronted them" with said knife.</t>
  </si>
  <si>
    <t>http://www.wjla.com/articles/2014/08/man-shot-by-howard-county-md-police-after-stabbing-self-with-knife-106292.html</t>
  </si>
  <si>
    <t>Darius Colegarrit</t>
  </si>
  <si>
    <t>http://assets.dnainfo.com/generated/chicago_photo/2014/08/police-involved-shooting-1408555680.JPG/larger.jpg</t>
  </si>
  <si>
    <t>13200 South Forrestville</t>
  </si>
  <si>
    <t>60827</t>
  </si>
  <si>
    <t>Police confronted him based on tip about "armed bicyclist"; according to police he pulled a gun after they shone a spotlight on him. He then ran and turned to fire, police fired and killed him.</t>
  </si>
  <si>
    <t>http://voices.suntimes.com/news/breaking-news/male-shot-by-police-on-far-south-side/</t>
  </si>
  <si>
    <t>Kajieme Powell</t>
  </si>
  <si>
    <t>http://media0.faz.net/ppmedia/aktuell/gesellschaft/685718610/1.3109554/article_multimedia_overview/kajieme-powell-kurz-vor-seinem-tod-er-geht-vor-dem-eintreffen-der-polizei-auf-dem-gehweg-auf-und-ab.jpg</t>
  </si>
  <si>
    <t>8701 Riverview Blvd.</t>
  </si>
  <si>
    <t>63147</t>
  </si>
  <si>
    <t>Two officers responded to a shoplifting call. Another call said Powell had a knife and was acting erratically. He raised the knife at the officers, and they shot and killed him.</t>
  </si>
  <si>
    <t>http://www.huffingtonpost.com/2014/08/20/kajieme-powell-shooting_n_5696546.html</t>
  </si>
  <si>
    <t>David Ellis</t>
  </si>
  <si>
    <t>Magee St and Torresdale Ave</t>
  </si>
  <si>
    <t>19135</t>
  </si>
  <si>
    <t>Victim shot at police officers who returned fire, killing him.</t>
  </si>
  <si>
    <t>Maria Fernanda Godinez</t>
  </si>
  <si>
    <t>http://i.dailymail.co.uk/i/pix/2014/08/20/article-0-20AA910700000578-766_634x628.jpg</t>
  </si>
  <si>
    <t>118 South Orange Avenue</t>
  </si>
  <si>
    <t>32801</t>
  </si>
  <si>
    <t>Orlando police said the woman who was shot and killed in a club in downtown Orlando was struck by a stray bullet from an officer's gun.</t>
  </si>
  <si>
    <t>http://www.clickorlando.com/news/woman-killed-police-officer-shot-at-orlando-nightclub/27608730</t>
  </si>
  <si>
    <t>Chad A. Leichhardt</t>
  </si>
  <si>
    <t>http://www.kansas.com/news/local/crime/mpdas0/picture1264931/alternates/FREE_960/leichhardt.jpg</t>
  </si>
  <si>
    <t>401 Sarah Lane</t>
  </si>
  <si>
    <t>Haysville</t>
  </si>
  <si>
    <t>Haysville Police Deartmentt</t>
  </si>
  <si>
    <t>Three Haysville police officers responding to the report of an active domestic violence incident in a ground-floor apartment at Village Green Apartments on Tuesday came upon a suspect barricaded in a bedroom, holding a woman at knife point, Haysville police said Wednesday. When the armed man – identified by police as 40-year-old Chad A. Leichhardt – refused numerous commands to drop the knife and continued to threaten the woman, one of the officers fired a single shot, killing him.</t>
  </si>
  <si>
    <t>http://www.kansas.com/news/local/crime/article1263892.html</t>
  </si>
  <si>
    <t>Miranda Michelle Guy</t>
  </si>
  <si>
    <t>http://www.gannett-cdn.com/-mm-/598da7356008c5c35b1e16d02bf53a95fa08736f/c=17-0-314-397&amp;r=183&amp;c=0-0-180-238/local/-/media/WBIR/WBIR/2014/08/19/1408502199000-miranda2.jpg</t>
  </si>
  <si>
    <t>Fairchild Street</t>
  </si>
  <si>
    <t>Harriman</t>
  </si>
  <si>
    <t>37748</t>
  </si>
  <si>
    <t>Roane</t>
  </si>
  <si>
    <t>Harriman Police Department, Roane County Sheriff Department</t>
  </si>
  <si>
    <t>The incident stemmed from a burglary call at a storage unit earlier that day. Officers said Miranda Michelle Guy, 28, was spotted driving a suspicious car and fled from officers. She then drove to her home, ran inside, grabbed a gun, and pointed it at officers, according to authorities. That is when officers said they shot Guy. Harriman Police Chief Randy Heidle said the officers inside the home included a Roane County deputy and a Harriman police officer. Crews took Guy to Roane County Medical Center in Harriman where doctors pronounced her dead.</t>
  </si>
  <si>
    <t>http://www.wbir.com/story/news/local/kingston-harriman-roane/2014/08/19/developing-officer-involved-shooting-in-harriman/14295099/</t>
  </si>
  <si>
    <t>Luther Lathron Walker</t>
  </si>
  <si>
    <t>8800 Artesia Blvd</t>
  </si>
  <si>
    <t>Bellflower</t>
  </si>
  <si>
    <t>90706</t>
  </si>
  <si>
    <t>Police received a 5:30 a.m. call about a hostage situation. Walker held his girlfriend against her will for the following six hours in a Bellflower apartment complex, until the girlfriend threw down her keys to police. When she went to escape, he tried to stop her, a struggle ensued, and SWAT members fatally shot him.</t>
  </si>
  <si>
    <t>http://homicide.latimes.com/post/luther-lathron-walker/</t>
  </si>
  <si>
    <t>Andre Maurice Jones</t>
  </si>
  <si>
    <t>http://homicide.latimes.com.s3.amazonaws.com/media/homicide/defe03bd-5412-4f10-a0ad-531a59d0699e.jpeg</t>
  </si>
  <si>
    <t>3700 South Grand Avenue</t>
  </si>
  <si>
    <t>Jones and the driver of the gold Tahoe he rode in fled from an early-morning traffic stop, beginning a rolling three-hour firefight ultimately involving SWAT forces, helicopters, and a BearCat police assault vehicle. The driver was apprehened and charged with attempted murder. An LAPD officer had his leg shattered by gunfire. Jones was fatally shot.</t>
  </si>
  <si>
    <t>Joshua Paul</t>
  </si>
  <si>
    <t>http://www.dailyherald.com/storyimage/DA/20140823ews/140829216/AR/0/AR-140829216.jpg</t>
  </si>
  <si>
    <t>251 Springhill Road</t>
  </si>
  <si>
    <t>Carpentersville</t>
  </si>
  <si>
    <t>60110</t>
  </si>
  <si>
    <t>Kane</t>
  </si>
  <si>
    <t>Carpentersville Police Department</t>
  </si>
  <si>
    <t>Police pulled Paul over on suspicion of driving on a revoked license and that he had a warrant out for his arrest regarding a previous traffic violation. Paul reportedly got into a physical struggle with the officers as they placed him under arrest.</t>
  </si>
  <si>
    <t>http://www.dailyherald.com/article/20141126/news/141128863/</t>
  </si>
  <si>
    <t>Jeffrey Towe</t>
  </si>
  <si>
    <t>411 Elliot St</t>
  </si>
  <si>
    <t>95695</t>
  </si>
  <si>
    <t>Yolo</t>
  </si>
  <si>
    <t>Police called to disturbance at apartment, Towe wielding long knife, charged police, who shot him.</t>
  </si>
  <si>
    <t>http://www.sacbee.com/2014/08/18/6636671/officer-kills-man-allegedly-charging.html</t>
  </si>
  <si>
    <t>Levon Leroy Love</t>
  </si>
  <si>
    <t>4600 Eisenhauer Rd</t>
  </si>
  <si>
    <t>Love was found passed out in a car on a highway. When EMTs began to administer first aid he resisted, drove away, crashed into a truck, then fled on foot. Officers caught him and tasered him twice. He was given a dose of Versed by EMTs because he was resistant to their second attempt at treatment. "A few moments" after his legs were shackled to a gurney, he died. In Sept. 2014 police were awaiting a toxicology report from the medical examiner.</t>
  </si>
  <si>
    <t>http://www.mysanantonio.com/news/local/article/Report-Kicking-pantsless-suspect-was-drugged-5791417.php</t>
  </si>
  <si>
    <t>Steven R. Piirainen</t>
  </si>
  <si>
    <t>http://www.pressherald.com/wp-content/uploads/2014/08/487621_Steve-Piirainen-e1408424237829.jpg</t>
  </si>
  <si>
    <t>72 Main Street</t>
  </si>
  <si>
    <t>Mexico</t>
  </si>
  <si>
    <t>04257</t>
  </si>
  <si>
    <t>Oxford</t>
  </si>
  <si>
    <t>Piirainen stole a pickup truck in Paris and led police on a chase which ended at the Circle K convenience store on Main Street in Mexico, Maine. Piirainen was killed after he exchanged fire with a state trooper and a Mexico police officer.</t>
  </si>
  <si>
    <t>http://www.wmtw.com/news/standoff-underway-in-mexico/27566894</t>
  </si>
  <si>
    <t>Frederick R. Miller</t>
  </si>
  <si>
    <t>4600 Branch Ave</t>
  </si>
  <si>
    <t>Temple Hills</t>
  </si>
  <si>
    <t>20748</t>
  </si>
  <si>
    <t>Prince George Police Department</t>
  </si>
  <si>
    <t>Miller killed 3 people, including his 3 year old daughter. After a pursuit with officers, Miller was shot and killed.</t>
  </si>
  <si>
    <t>http://www.washingtonpost.com/local/crime/lailas-father-shot-her-at-close-range-before-battle-with-officers-pr-geos-police-say/2014/08/18/af83e1ec-2700-11e4-958c-268a320a60ce_story.html</t>
  </si>
  <si>
    <t>Travis Donald Wegener</t>
  </si>
  <si>
    <t>http://mediaassets.knoxnews.com/photo/2014/08/16/Screen%20Shot%202014-08-16%20at%205.38.38%20PM_1408227286767_7404272_ver1.0_640_480.png</t>
  </si>
  <si>
    <t>5206 E Inskip Rd</t>
  </si>
  <si>
    <t>37912</t>
  </si>
  <si>
    <t>Knoxville Police Department</t>
  </si>
  <si>
    <t>Little, a police cadet, opened fire at the home of his former girlfriend, first shooting her 47-year-old mother and family friend Wegener in the driveway, then shooting the girlfriend. Wegener died, the mother seriously wounded, the girlfriend wounded in the leg. In turn the cadet was shot and killed at the scene by the girlfriend's brother.</t>
  </si>
  <si>
    <t>http://www.knoxnews.com/news/watchful-eye/police-cadet-dies-after-shooting-his-ex-and-her-mom-and-killing-a-family-friend_50591543</t>
  </si>
  <si>
    <t>Wally Flex</t>
  </si>
  <si>
    <t>West 80th Street and South Lowe Avenue</t>
  </si>
  <si>
    <t>60620</t>
  </si>
  <si>
    <t>Flex was killed as the passenger of a Monte Carlo chased by local plainclothes police in connection with gang activity. His neck was broken.</t>
  </si>
  <si>
    <t>Michelle Cusseaux</t>
  </si>
  <si>
    <t>http://mugshots-directory.com/offender-image/a8f/AZP986728-Michelle-Cusseaux.jpg</t>
  </si>
  <si>
    <t>3810 N. Maryvale Parkway</t>
  </si>
  <si>
    <t>85031</t>
  </si>
  <si>
    <t>Police were asked to assist with bringing subject in for mental health treatment. Subject answered the door to her apartment with a hammer that she allegedly held over her head in an attempt to attack the officers. She was shot by one of the officers and died at the hospital.</t>
  </si>
  <si>
    <t>http://www.azcentral.com/story/news/local/phoenix/2014/08/14/phoenix-officer-involved-shooting-mental-health-abrk/14085607/</t>
  </si>
  <si>
    <t>Diana Showman</t>
  </si>
  <si>
    <t>http://ak-cache.legacy.net/legacy/images/cobrands/mercurynews/photos/wb0073759-1_20140818.jpgx?w=200&amp;h=200&amp;option=1&amp;fc=fff</t>
  </si>
  <si>
    <t>700 Blossom Hill Road</t>
  </si>
  <si>
    <t>95123</t>
  </si>
  <si>
    <t>http://www.sfgate.com/crime/article/Teen-shot-by-San-Jose-cop-while-holding-drill-ID-d-5696601.php</t>
  </si>
  <si>
    <t>Sonny Wagner</t>
  </si>
  <si>
    <t>http://www.kansas.com/news/local/crime/i2uy6a/picture1237105/alternates/FREE_960/sonny%20wagner.jpg</t>
  </si>
  <si>
    <t>2107 Singletree Drive</t>
  </si>
  <si>
    <t>67114</t>
  </si>
  <si>
    <t>Newton Police Department</t>
  </si>
  <si>
    <t>Police got a 911 call at 4:08 p.m. from Wagner's wife, Leona Wagner, 52, reporting her husband was battering her. An officer met her in the front yard of the couple's home at 2107 Single Tree Dr. in Prairie Estates mobile home park at 4:11 p.m., Walton said. The officer then went into the house where Sonny Wagner confronted him in the living room, brandishing a knife. There was less than 10 feet between the officer and Wagner, a "very confined space," Walton said. The officer told Wagner repeatedly to put the weapon down. "Wagner raised the knife up and moved forward toward the officer," Walton said. "The officer dispatched two rounds from a service firearm and Wagner collapsed to the floor."</t>
  </si>
  <si>
    <t>http://www.thekansan.com/article/20140815/NEWS/140819570</t>
  </si>
  <si>
    <t>Corey Levert Tanner</t>
  </si>
  <si>
    <t>http://assets.nydailynews.com/polopoly_fs/1.1902153.1407949408!/img/httpImage/image.jpg_gen/derivatives/article_970/corey-levert-tanner.jpg?enlarged</t>
  </si>
  <si>
    <t>Espanola Rd</t>
  </si>
  <si>
    <t>Bunnell</t>
  </si>
  <si>
    <t>32110</t>
  </si>
  <si>
    <t>Flagler</t>
  </si>
  <si>
    <t>Tanner was being served a warrant for attempted murder. Marshals entered Tanner's room and shot him. It was not reported what prompted the shooting. During the shooting, four children were at the house ages 8 through 12.</t>
  </si>
  <si>
    <t>Michael Louis Vargas</t>
  </si>
  <si>
    <t>http://vazquezfuneralhome.com/wp-content/uploads/2014/08/michael-vargas1.jpg</t>
  </si>
  <si>
    <t>11900 Airline Drive</t>
  </si>
  <si>
    <t>77076</t>
  </si>
  <si>
    <t>Police were called because a man was smoking pot near a bus stop.A struggle happened and both the suspect and the officer were shot.</t>
  </si>
  <si>
    <t>http://www.chron.com/houston/article/Officer-shot-in-north-Houston-5686792.php</t>
  </si>
  <si>
    <t>Jacinto Zavala</t>
  </si>
  <si>
    <t>1300 Fourth Street</t>
  </si>
  <si>
    <t>An intoxicated Zavala confronted officers at his home at 3 a.m. and was fatally shot by police. Family statements decried the behavior and differed sharply with the police news release: instead of being heavily armed with multiple weapons, family claimed only a BB gun was found at the scene, and the police apparently also sought to dispute Zavala's status as a veteran.</t>
  </si>
  <si>
    <t>Ruben Lujano</t>
  </si>
  <si>
    <t>http://ak-cache.legacy.net/legacy/Images/Cobrands/DignityMemorial/Photos/314951cf-5d56-4183-a107-5db3eda1174c.jpg</t>
  </si>
  <si>
    <t>14700 Redbud Ln</t>
  </si>
  <si>
    <t>Officers report that they recognized a stolen truck on the road and pulled it over. When they approached the vehicle, the driver, a man described as mid 20s-30s and Hispanic, allegedly reached for a gun and pointed it at them. Officer Alton Baker shot and killed him.</t>
  </si>
  <si>
    <t>http://www.chron.com/houston/article/Police-shoot-and-kill-another-suspect-5688219.php</t>
  </si>
  <si>
    <t>Alvin Curtis Jennings</t>
  </si>
  <si>
    <t>http://bloximages.chicago2.vip.townnews.com/qctimes.com/content/tncms/assets/v3/editorial/4/ea/4ead70c1-9af6-5094-8b70-34fbbf14399c/53ed106297060.preview-620.jpg</t>
  </si>
  <si>
    <t>602 W. 9th St</t>
  </si>
  <si>
    <t>Victim was drinking and threatening Aubrey Jordan (AJ) with a knife. AJ (lifelong friend of the victim) locked himself in a bedroom and called the police. When police arrived the victim came at them with a knife and the officers fired 4 shots. Alvin Jennings' became disabled after suffering both a stroke and aneurysm in 2006. Surgeons removed a portion of his skull, his son said, and the injury contributed to his mental health issues in recent years.</t>
  </si>
  <si>
    <t>http://qctimes.com/news/local/crime-and-courts/they-shot-a-disabled-man-neighbor-says-of-fatal-officer/article_6543e8a7-ce13-504d-b3a4-33cdfd994a1b.html</t>
  </si>
  <si>
    <t>Jeremy M. House</t>
  </si>
  <si>
    <t>http://kctv.images.worldnow.com/images/26267872_BG2.jpg</t>
  </si>
  <si>
    <t>East 45th Terrace and Pittman Road</t>
  </si>
  <si>
    <t>64133</t>
  </si>
  <si>
    <t>House lost control of his car during a brief high-speed police chase, after he fled an early-morning traffic stop. He was killed; his female passenger was seriously wounded.</t>
  </si>
  <si>
    <t>http://www.kansascity.com/news/local/crime/article1210555.html</t>
  </si>
  <si>
    <t>Reagan Lee Jones</t>
  </si>
  <si>
    <t>600 Firestone Ave.</t>
  </si>
  <si>
    <t>35661</t>
  </si>
  <si>
    <t>Florence, Al Police</t>
  </si>
  <si>
    <t>Florence PD called to assist Muscle Shoals PD after Jones shot and wounded his sister Christy Jones Gregory. Colbert County Coroner Carlton Utley aid Jones was angry over being denied an immediate appointment at a mental health facility Wednesday.</t>
  </si>
  <si>
    <t>http://www.al.com/news/huntsville/index.ssf/2014/08/muscle_shoals_gunman_killed_in.html</t>
  </si>
  <si>
    <t>Morgan Lee</t>
  </si>
  <si>
    <t>http://kcbd.images.worldnow.com/images/7545570_G.jpg</t>
  </si>
  <si>
    <t>3600 Landmark Lane</t>
  </si>
  <si>
    <t>Student Lee was killed in a head-on collision with a marked local police vehicle. A police investigation held that the vehicles were traveling in opposite directions and both had a green traffic signal. Lee's parents filed a wrongful death suit against the city.</t>
  </si>
  <si>
    <t>http://www.kcbd.com/story/28881137/parents-of-ttu-student-killed-in-officer-involved-crash-file-wrongful-death-lawsuit</t>
  </si>
  <si>
    <t>Dante Parker</t>
  </si>
  <si>
    <t>http://www.vvdailypress.com/storyimage/VV/20140813/NEWS/140819920/AR/0/AR-140819920.jpg&amp;MaxW=650</t>
  </si>
  <si>
    <t>12900 Luna Road</t>
  </si>
  <si>
    <t>Victorville</t>
  </si>
  <si>
    <t>92392</t>
  </si>
  <si>
    <t>Victorville Police Department</t>
  </si>
  <si>
    <t>Parker matched the description of a burglar suspect in the area. He was stopped and supposedly became resistant. He was then tasered and later died.</t>
  </si>
  <si>
    <t>http://www.vvdailypress.com/article/20140813/News/140819920</t>
  </si>
  <si>
    <t>Gabriel Lopez-Gonzalez</t>
  </si>
  <si>
    <t>http://bloximages.chicago2.vip.townnews.com/sanfernandosun.com/content/tncms/assets/v3/editorial/9/77/97724cfc-2a47-11e4-92c3-001a4bcf887a/53f7bd89a31e9.image.jpg</t>
  </si>
  <si>
    <t>800 South Brand Blvd</t>
  </si>
  <si>
    <t>San Fernando</t>
  </si>
  <si>
    <t>91340</t>
  </si>
  <si>
    <t>Responding to a "man with gun" call, police say that Lopez' girlfriend ran out of her house, Lopez followed, and then shot her in the back with a handgun. They state he pointed his gun or shot at them; a witness says he shot once in the air, put his hands up and fell to his knees. They "riddled him with bullets" according to his family.</t>
  </si>
  <si>
    <t>http://www.sanfernandosun.com/news/article_67bcc65e-2a47-11e4-b0c3-001a4bcf887a.html</t>
  </si>
  <si>
    <t>Jordan Keith Willis</t>
  </si>
  <si>
    <t>162 Rolling Hills Cir</t>
  </si>
  <si>
    <t>39350</t>
  </si>
  <si>
    <t>Neshoba</t>
  </si>
  <si>
    <t>Choctaw Police Department</t>
  </si>
  <si>
    <t>A Choctaw Police Department senior officer responded to a call for help on Aug. 12 in the Pearl River community that resulted in the officer being wounded and the death of Tribal member Jordan Willis, Misty Brescia Dreifuss, director of the Office of Public Information, said in a statement emailed to the media."The officer has received medical treatment and is expected to make a full recovery. As per protocol, the Federal Bureau of Investigations was called in to conduct a weapons discharge investigation which is ongoing at this time." She went on to say that, "No employee will speak on this matter."</t>
  </si>
  <si>
    <t>Rick Ronald Pifer</t>
  </si>
  <si>
    <t>12850 Treat Highway</t>
  </si>
  <si>
    <t>Fairfield Township</t>
  </si>
  <si>
    <t>49248</t>
  </si>
  <si>
    <t>Lenawee</t>
  </si>
  <si>
    <t>Lenawee County Sheriff's Department</t>
  </si>
  <si>
    <t>Police in Monroe said, deputies responded to 12850 Treat Highway to enforce a court order for hospitalizing the man, who, according to family members, was paranoid and delusional. Deputies were allowed into the residence, where they immediately encountered the man armed with a shotgun. The man ignored repeated warnings from deputies to lower the weapon and deputies shot him.</t>
  </si>
  <si>
    <t>http://www.lenconnect.com/article/20140813/NEWS/140819616/0/SEARCH</t>
  </si>
  <si>
    <t>James B. DeVito</t>
  </si>
  <si>
    <t>Interstate 87 and North Airmont Road</t>
  </si>
  <si>
    <t>Suffern</t>
  </si>
  <si>
    <t>10901</t>
  </si>
  <si>
    <t>DeVito was the blameless victim of a head-on auto crash with an eight-year veteran of the NYPD, driving full-speed southbound in the northbound lanes of the state Thruway. The officer also died. Contrary to initial police reports, the officer had a blood-alcohol level of 0.21 percent at 7 a.m. and on his way to work.</t>
  </si>
  <si>
    <t>http://www.lohud.com/story/news/traffic/2014/08/12/rockland-wrong-way-crash-thruawy/13940789/</t>
  </si>
  <si>
    <t>Dustin Keith Glover</t>
  </si>
  <si>
    <t>Joe Louis Avenue</t>
  </si>
  <si>
    <t>Port Arthur</t>
  </si>
  <si>
    <t>Port Arthur Police Department</t>
  </si>
  <si>
    <t>Officer Otis tased Glover once in the chest, but it did not have an effect on him. Shortly afterward, officers George Clark and Gerald Bush arrived on scene and Clark Tased Glover five times. Video shows Otis with a choke hold on Glover, and Bernsen says Otis punched Glover as well. After his arrest, Glover was taken to the Port Arthur Police Station, but then to Christus hospital St. Mary hospital. Once he was released from the hospital, he was taken to the Jefferson County Jail. He vomited and was bleeding, so he was taken to Baptist Hospital in Beaumont where he died two days later.</t>
  </si>
  <si>
    <t>Ezell Ford</t>
  </si>
  <si>
    <t>http://media.nbclosangeles.com/images/485*273/ezell+ford+lapd+ois+victim.PNG</t>
  </si>
  <si>
    <t>S Broadway &amp; W 65th St</t>
  </si>
  <si>
    <t>90003</t>
  </si>
  <si>
    <t>LAPD says that on Aug. 11, shortly after 8:10 p.m., two anti-gang officers shot Ford after a struggle ensued during an "investigative stop" and they claim that Ford tried to grab one of their firearms. Witnesses disputed the police story.</t>
  </si>
  <si>
    <t>http://www.huffingtonpost.com/2014/08/19/ezell-ford-autopsy_n_5690060.html</t>
  </si>
  <si>
    <t>Robert Baltimore</t>
  </si>
  <si>
    <t>http://www.gannett-cdn.com/-mm-/5c99ee7e6f7e429d4611dd33fe33e2fbf4c2c7f3/c=0-26-207-181&amp;r=x404&amp;c=534x401/local/-/media/Shreveport/2014/08/11/robertbaltimore.jpg</t>
  </si>
  <si>
    <t>670 Par Road 244</t>
  </si>
  <si>
    <t>Homer</t>
  </si>
  <si>
    <t>Claiborne</t>
  </si>
  <si>
    <t>Claiborne Parish Sheriff’s Office</t>
  </si>
  <si>
    <t>Louisiana State Police and the Federal Bureau of Investigations are jointly investigating the death of an inmate who died while in restraints at David Wade Correctional Center.</t>
  </si>
  <si>
    <t>Torrez Harris</t>
  </si>
  <si>
    <t>http://wlbt.images.worldnow.com/images/26249119_BG10.jpg</t>
  </si>
  <si>
    <t>1216 W Peace St</t>
  </si>
  <si>
    <t>Canton</t>
  </si>
  <si>
    <t>39046</t>
  </si>
  <si>
    <t>Canton Police Department, Madison County Sheriff's Department</t>
  </si>
  <si>
    <t>Harris fatally shot his 29-year-old stepdaughter, then fled about a block away to a nearby coin laundry. Local and county officers tracked and killed him there after he refused to surrender.</t>
  </si>
  <si>
    <t>http://www.msnewsnow.com/story/26249119/breaking</t>
  </si>
  <si>
    <t>Eddie Davis</t>
  </si>
  <si>
    <t>http://www.arklatexhomepage.com/media/lib/186/e/f/9/ef922245-8846-4009-97cc-ea534740be7a/Story.jpg</t>
  </si>
  <si>
    <t>300 Pecan Street.</t>
  </si>
  <si>
    <t>75559</t>
  </si>
  <si>
    <t>Dekalb Police Department</t>
  </si>
  <si>
    <t>Officers called to scene of disturbance. Man inside house fired at officers who returned fire, killing suspect.</t>
  </si>
  <si>
    <t>Jose Manuel Gonzalez</t>
  </si>
  <si>
    <t>3600 Espanola Dr</t>
  </si>
  <si>
    <t>75220</t>
  </si>
  <si>
    <t>Responding to a report that Gonzalez had stabbed his parents and grandmother, Senior Cpl. Kevin Gladden found him outside his home with two knives. When he was told to drop the knives and didn't, Gladden shot him. Gonzalez tried to get up and was tasered. He died on the way to the hospital.</t>
  </si>
  <si>
    <t>http://blogs.dallasobserver.com/unfairpark/2014/08/dallas_police_department_officer_guns_down_teenager_wielding_knives.php</t>
  </si>
  <si>
    <t>Melvin Leblanc</t>
  </si>
  <si>
    <t>Crawford Ave</t>
  </si>
  <si>
    <t>Crowley</t>
  </si>
  <si>
    <t>70526</t>
  </si>
  <si>
    <t>Acadia</t>
  </si>
  <si>
    <t>Crowley Police Department</t>
  </si>
  <si>
    <t>Leblanc fire shots at officers. Officers responded by firing back, killing Leblanc.</t>
  </si>
  <si>
    <t>Andrew Scott Gaynier</t>
  </si>
  <si>
    <t>http://crimeblog.dallasnews.com/files/2014/08/Andy.jpeg</t>
  </si>
  <si>
    <t>100 N. Windomere Ave</t>
  </si>
  <si>
    <t>75208</t>
  </si>
  <si>
    <t>A few blocks away, in the 400 block of S. Rosemont Avenue, police said Hudson witnessed the man stop a passing van and try to climb in, alongside the family inside. "For the safety of the family, the officer gave loud verbal commands, but the suspect refused to comply," said Maj. Jeff Cotner. "The suspect moved toward the officer in a manner perceived to be dangerous to the officer. The officer shot the suspect."</t>
  </si>
  <si>
    <t>http://www.nbcdfw.com/news/local/Man-Dies-In-Dallas-Officer-Involved-Shooting-270705511.html</t>
  </si>
  <si>
    <t>Juan Garcia Ahuezoteco</t>
  </si>
  <si>
    <t>http://cdn.abclocal.go.com/content/ktrk/images/cms/081114-ktrk-Juan-Garcia-Ahuezoteco.JPG</t>
  </si>
  <si>
    <t>W FM 646 Rd and Ohio Ave</t>
  </si>
  <si>
    <t>League City</t>
  </si>
  <si>
    <t>77539</t>
  </si>
  <si>
    <t>Dickinson Police Department</t>
  </si>
  <si>
    <t>http://www.galvestondailynews.com/free/article_59690302-2104-11e4-a858-001a4bcf6878.html</t>
  </si>
  <si>
    <t>Alejandro Molina</t>
  </si>
  <si>
    <t>Tyrone "Ty" Bandy</t>
  </si>
  <si>
    <t>1200 SW 160th St</t>
  </si>
  <si>
    <t>Burien</t>
  </si>
  <si>
    <t>98166</t>
  </si>
  <si>
    <t>King County Sheriff's Office</t>
  </si>
  <si>
    <t>Bandy's girlfriend called 911 for a domestic dispute. Police were told he was intoxicated, removed her from the house, and tried to talk him out for 4+ hours. Witnesses say tear gas and possibly stun grenades were used. When Bandy began shooting from the house, police (possibly a sniper) shot at him multiple times.</t>
  </si>
  <si>
    <t>http://b-townblog.com/2014/10/07/inquest-ordered-into-death-of-burien-man-in-august-shootout-with-police/</t>
  </si>
  <si>
    <t>Pammi Mroczek</t>
  </si>
  <si>
    <t>http://d1t3gia0in9tdj.cloudfront.net/photo/tributes/t/8/r/207x207/2380709/64de41c4-4302-4615-bf54-7285bcd23f8d.jpg</t>
  </si>
  <si>
    <t>844 Pennsylvania Ave</t>
  </si>
  <si>
    <t>Palenville</t>
  </si>
  <si>
    <t>12463</t>
  </si>
  <si>
    <t>New York State Division of Parole</t>
  </si>
  <si>
    <t>Robert Mroczek, a 46-year-old state parole officer since 2005, confronted his estranged wife, Pammi Mroczek, and her boyfriend, Daniel Brennan, at Robert Mroczek's 844 Pennsylvania Ave. home, troopers said. Robert Mroczek shot and killed Brennan, 51, of Schenectady, in the driveway. Pammi Mroczek, 49, was found dead in the foyer. Both Pammi Mroczek and Brennan were shot multiple times with a 9mm handgun, Regan said.</t>
  </si>
  <si>
    <t>http://www.timesunion.com/local/article/No-word-on-arrests-as-cops-probe-Greene-Co-deaths-5680845.php</t>
  </si>
  <si>
    <t>Daniel Brennan</t>
  </si>
  <si>
    <t>http://www.dalyfuneralhome.com/include/storage/198640/DeathRecordStub/1928259/converted/150x215-2906395.jpg</t>
  </si>
  <si>
    <t>Malcoln Franklin</t>
  </si>
  <si>
    <t>500 Block Sibley Blvd</t>
  </si>
  <si>
    <t>Dolton</t>
  </si>
  <si>
    <t>60419</t>
  </si>
  <si>
    <t>Officers responding to shots fired at a parade pass an SUV with bullet holes and pursue. An occupant exited the vehicle and confronted an officer with weapons. The officer fired and killed the suspect.</t>
  </si>
  <si>
    <t>http://www.nbcchicago.com/news/local/Dolton-Police-Officer-Shot-Man-During-Confrontation-Police-270677211.html</t>
  </si>
  <si>
    <t>Michael Brown</t>
  </si>
  <si>
    <t>http://bloximages.newyork1.vip.townnews.com/stltoday.com/content/tncms/assets/v3/editorial/f/ed/fed5e621-f0a8-5baa-a11a-c748e5dc65cd/5407e41926d2b.preview-620.jpg</t>
  </si>
  <si>
    <t>2900 Canfield Drive</t>
  </si>
  <si>
    <t>Ferguson</t>
  </si>
  <si>
    <t>Ferguson Police Department</t>
  </si>
  <si>
    <t>Even after a grand jury hearing, details are unclear. Brown had either battered a police officer, or was innocently walking down the street with a friend. Witnesses say he was unarmed, with his hands in the air, and the officer shot him more than eight times.His death touched off months of protests around the United States.</t>
  </si>
  <si>
    <t>http://www.kmov.com/news/local/Heavy-police-presence--270609091.html</t>
  </si>
  <si>
    <t>Alberto Cornelio Morales</t>
  </si>
  <si>
    <t>2700 Grand Ave</t>
  </si>
  <si>
    <t>Walnut Park</t>
  </si>
  <si>
    <t>90255</t>
  </si>
  <si>
    <t>Morales, an alleged drug dealer, shot a deputy who approached him for "suspicious behavior". Deputies returned fire after Morales ran away on foot. Morales died on scene.</t>
  </si>
  <si>
    <t>http://abc7.com/news/alleged-drug-dealer-shot-by-deputies-in-south-los-angeles/251857/</t>
  </si>
  <si>
    <t>Dillon Taylor</t>
  </si>
  <si>
    <t>http://www.addictinginfo.org/wp-content/uploads/2014/08/1407889017-1265385697.jpg</t>
  </si>
  <si>
    <t>2102 S. State St.</t>
  </si>
  <si>
    <t>84115</t>
  </si>
  <si>
    <t>Officers recieved a report that someone was waving a gun at a convenience store. Upon arrival they mistook the suspect for Taylor, who was wearing headphones when officers told him to get on the ground. Taylor reached in his pocket and police opened fired - killing Taylor.</t>
  </si>
  <si>
    <t>http://www.sltrib.com/sltrib/news/58374380-78/taylor-lake-salt-shooting.html.csp</t>
  </si>
  <si>
    <t>Joseph Penderghest</t>
  </si>
  <si>
    <t>http://www.ephratareview.com/wp-content/uploads/2014/10/ER20141105_CObiPengerghastJoseph-300x336.jpg</t>
  </si>
  <si>
    <t>6600 Reynolds Mill Road</t>
  </si>
  <si>
    <t>Seven Valleys</t>
  </si>
  <si>
    <t>17360</t>
  </si>
  <si>
    <t>State troopers responding to Penderghest's 1 a.m. Mercedes SUV crash found him bloodied, stunned, and cutting himself with a knife. Despite verbal commands, pepper spray and a Taser he refused to come under control. Witnesses verified that troopers had been threatened by Penderghest and gave him ample warning before shooting him to death.</t>
  </si>
  <si>
    <t>http://www.yorkdispatch.com/business/ci_26309312/witness-police-shooting-cops-gave-him-every-chance?source=most_viewed</t>
  </si>
  <si>
    <t>Justin Wayne Higgins</t>
  </si>
  <si>
    <t>http://muskogeenow.com/muskogee/story_images/1407769154.jpg</t>
  </si>
  <si>
    <t>Aberdeen Circle and Brooken Hill Drive</t>
  </si>
  <si>
    <t>Fort Smith</t>
  </si>
  <si>
    <t>72908</t>
  </si>
  <si>
    <t>Sebastian</t>
  </si>
  <si>
    <t>Sebastian County Sheriff’s Office</t>
  </si>
  <si>
    <t>Higgins was car jacking a friend of an off duty deputy. Higgins had a gun pointed to her head, the deputy shot and killed Higgins.</t>
  </si>
  <si>
    <t>http://swtimes.com/news/man-killed-after-brooken-hill-shootout-id-d</t>
  </si>
  <si>
    <t>Jose Paulino Jr</t>
  </si>
  <si>
    <t>20 Center Street</t>
  </si>
  <si>
    <t>Tamaqua</t>
  </si>
  <si>
    <t>18252</t>
  </si>
  <si>
    <t>Schuylkill</t>
  </si>
  <si>
    <t>Tamaqua Police Department</t>
  </si>
  <si>
    <t>The incident began around 4:00 Friday morning. Paulino was running around, yelling obscenities, and the employee of the market and a bystander called 911. Paulino was unarmed, but he wouldn't comply with officers, so they stunned with several times with a taser gun. The man died on the way to the hospital.</t>
  </si>
  <si>
    <t>http://www.wfmz.com/news/Regional-Poconos-Coal/Local/tamaqua-man-dies-after-shot-with-tasers-by-police/27379726</t>
  </si>
  <si>
    <t>30th Street and Warren Avenue</t>
  </si>
  <si>
    <t>48210</t>
  </si>
  <si>
    <t>Two Detroit Police officers spotted the man driving the wrong way on a one-way street. According to police, during the traffic stop, officers spotted what appeared to be drugs inside the vehicle. The man sped off with the officer hanging onto the side of the car. The officer managed to fire his gun, killing the suspect.</t>
  </si>
  <si>
    <t>http://www.wxyz.com/news/region/detroit/texas-felon-crashes-and-dies-after-dragging-detroit-police-officer-on-the-side-of-his-vehicle</t>
  </si>
  <si>
    <t>Austin David Uncles</t>
  </si>
  <si>
    <t>http://media.thedenverchannel.com/photo/2014/08/13/austin-uncles_1407947315250_7358907_ver1.0_640_480.jpg</t>
  </si>
  <si>
    <t>4849 Bannock St</t>
  </si>
  <si>
    <t>80216</t>
  </si>
  <si>
    <t>Colorado State Police</t>
  </si>
  <si>
    <t>Colorado State Troopers tracked Uncles to the Ramada Plaza at West 48th Avenue and Bannock Street last Friday during an auto theft investigation. When the undercover troopers tried to make an arrest, Uncles ran and then pulled a gun on the troopers. That's when one of the troopers fired at the suspect, who then fell to the ground on Bannock Street in front of the Ramada. Uncles was pronounced dead a few minutes later at Denver Health.</t>
  </si>
  <si>
    <t>http://www.thedenverchannel.com/news/local-news/auto-theft-suspect-shot-by-undercover-trooper-had-long-criminal-record-in-utah</t>
  </si>
  <si>
    <t>Regan Marshall Wagner</t>
  </si>
  <si>
    <t>http://bloximages.chicago2.vip.townnews.com/news-journal.com/content/tncms/assets/v3/editorial/5/df/5df21367-2523-526f-8c26-e5b21e06c98b/53e5a393243e4.preview-300.jpg</t>
  </si>
  <si>
    <t>400 Delwood</t>
  </si>
  <si>
    <t>75605</t>
  </si>
  <si>
    <t>He was pulled over in a traffic stop at about 3:50 p.m. near Akin Park, where police said gunfire was exchanged. Wagner was taken to Longview Regional Medical Center after the shooting. He had a history of terroristic threats and silent or abusive calls to 911 service.</t>
  </si>
  <si>
    <t>http://www.news-journal.com/news/police/longview-man-shot-killed-by-police-had-pleaded-to-threatening/article_7e108221-3e16-5b84-a988-84327b513005.html</t>
  </si>
  <si>
    <t>DeAngelo Woods</t>
  </si>
  <si>
    <t>http://media.jrn.com/images/384*480/D'Angelo+Woods.jpg</t>
  </si>
  <si>
    <t>I-75 and 7 Mile Rd</t>
  </si>
  <si>
    <t>Hazel Park</t>
  </si>
  <si>
    <t>48203</t>
  </si>
  <si>
    <t>Hazel Park Police Department, Michigan State Police</t>
  </si>
  <si>
    <t>Woods died driving a stolen 2000 Jeep during a high-speed police chase on southbound I-75 at two in the morning.</t>
  </si>
  <si>
    <t>http://www.theoaklandpress.com/general-news/20140808/man-involved-in-hazel-parks-i-75-fatal-crash-identified</t>
  </si>
  <si>
    <t>Jose M. Reyes-Torres</t>
  </si>
  <si>
    <t>300 Montrose Dr</t>
  </si>
  <si>
    <t>Folsom</t>
  </si>
  <si>
    <t>95630</t>
  </si>
  <si>
    <t>Folsom Police Department</t>
  </si>
  <si>
    <t>Torres stabbed his aunt and her baby. Torres then charged an officer, prompting the officer to shoot Torres. Torres died late rin the hospital along with the baby.</t>
  </si>
  <si>
    <t>http://www.kcra.com/news/local-news/news-sacramento/what-led-to-deadly-folsom-infant-stabbing-police-shooting/27464968</t>
  </si>
  <si>
    <t>Michael Laray Dozer</t>
  </si>
  <si>
    <t>http://d3vs4613l1445x.cloudfront.net/archive/x983253680/michael-dozer-JPG/g30e220000000000000cd6e289ef5e4a18d0e8aeb9080943a37b8c2636a.jpg</t>
  </si>
  <si>
    <t>2100 E Brundage Ln</t>
  </si>
  <si>
    <t>93307</t>
  </si>
  <si>
    <t>Dozer was acting erratically at a gas station when he walked towards an officer. Finding him to appear "aggressive", the officer shot and killed him.</t>
  </si>
  <si>
    <t>http://www.bakersfieldnow.com/news/local/Roads-closed-after-Bakersfield-OIS-270208541.html</t>
  </si>
  <si>
    <t>James Pickard Jr.</t>
  </si>
  <si>
    <t>http://www.kitv.com/image/view/-/27435374/medRes/1/-/maxh/460/maxw/620/-/11dguk6z/-/-Pickard01-0120-jpg.jpg</t>
  </si>
  <si>
    <t>2100 Komo Mai Dr</t>
  </si>
  <si>
    <t>Pearl City</t>
  </si>
  <si>
    <t>96782</t>
  </si>
  <si>
    <t>Pickard stole a car, hit a police car and reversed towards officers. Officers then shot and killed Pickard.</t>
  </si>
  <si>
    <t>http://khon2.com/2014/08/06/hpd-investigating-early-morning-shoot-out-in-pearl-city/</t>
  </si>
  <si>
    <t>Jeremey Lake</t>
  </si>
  <si>
    <t>http://assets.nydailynews.com/polopoly_fs/1.1894247!/img/httpImage/image.jpg_gen/derivatives/article_970/tulsa7n-3-web.jpg</t>
  </si>
  <si>
    <t>100 North Maybelle</t>
  </si>
  <si>
    <t>Shannon Kepler, a 24-year veteran of the Tulsa Police Department, shot and killed Lake, his daughter's new boyfriend, in an unprovoked attack at their first meeting. Kepler had recently kicked his 14-year-old daughter out of the house; she had met Lake at a shelter. Kepler was charged with first-degree murder. His wife Gina, also a TPD officer, was charged with accessory after the fact.</t>
  </si>
  <si>
    <t>http://www.nydailynews.com/news/national/tulsparents-cops-arrested-killing-daughter-boyfriend-article-1.1894250</t>
  </si>
  <si>
    <t>John H. Crawford III</t>
  </si>
  <si>
    <t>http://hw.infowars.com/wp-content/uploads/2014/08/crawford1.jpg</t>
  </si>
  <si>
    <t>3360 Pentagon Blvd.</t>
  </si>
  <si>
    <t>Beavercreek</t>
  </si>
  <si>
    <t>45431</t>
  </si>
  <si>
    <t>Beavercreek Police Department</t>
  </si>
  <si>
    <t>Crawford was killed after police were called into a Wal-Mart for reports of a man walking through the store with a rifle. It wasn't a real gun but either a BB or pellet gun from the store</t>
  </si>
  <si>
    <t>http://www.daytondailynews.com/news/news/man-holding-realistic-looking-toy-gun-shot-killed-/ngxTX/</t>
  </si>
  <si>
    <t>Tyree Woodson</t>
  </si>
  <si>
    <t>http://www.bet.com/news/features/we-ll-never-forget/_jcr_content/misccol2/textwithimage_16.custom281x159.dimg/__1426180025350/120914-Design-Tyree-Woodson.jpg</t>
  </si>
  <si>
    <t>424 Font Hill Ave</t>
  </si>
  <si>
    <t>Baltimore police claim Tyree Woodson was able to sneak a gun past them at the time of his arrest, get the gun into a holding cell and later shoot himself while handcuffed in the bathroom. Woodson was allegedly wanted on attempted murder charges, which means the arresting police officers would have taken extra care in searching him. As such, many - including elected officials - have questioned this story and suggested that police were covering up a case of brutality against an unarmed man.</t>
  </si>
  <si>
    <t>http://www.wbaltv.com/news/police-man-shoots-himself-inside-baltimore-police-station/27327438</t>
  </si>
  <si>
    <t>Cedric Stanley</t>
  </si>
  <si>
    <t>http://www.local10.com/image/view/-/26868490/highRes/1/-/maxh/240/maxw/320/-/gnv56dz/-/Cedric-Stanley.jpg</t>
  </si>
  <si>
    <t>La Baron Drive and South Drive</t>
  </si>
  <si>
    <t>Miami Springs</t>
  </si>
  <si>
    <t>33166</t>
  </si>
  <si>
    <t>Officers pursued Stanley after a hit-and-run incident. He fled the area and hit a pedestrian with his car, pinning the victim against another vehicle. Then he hit several other cars and fled on foot. When an officer tried to apprehend him, a struggle ensued. Another officer shot and killed Stanley.</t>
  </si>
  <si>
    <t>Daniel Row</t>
  </si>
  <si>
    <t>Gilbert Avenue near Dixmont Avenue</t>
  </si>
  <si>
    <t>45207</t>
  </si>
  <si>
    <t>Two local officers pulled over a BMW SUV for a minor traffic violation at 12:30 a.m. Rowe, a passenger, dashed out of the car and attempted to escape on foot, then pulled a weapon. He was fatally shot. Rowe had served 40 months in prison for an earlier similar incident.</t>
  </si>
  <si>
    <t>Dennis Dean Morrell</t>
  </si>
  <si>
    <t>Rocky Hill Road</t>
  </si>
  <si>
    <t>24202</t>
  </si>
  <si>
    <t>Washington County Police Department</t>
  </si>
  <si>
    <t>Officers went to Morrell's house to check on him at the request of a family member. Morrell was not home but soon arrived. He went around the police cruiser. Officers tried to stop Morrell, but he went inside. Deputies knew Morrell’s wife was inside the home and thought the situation had developed into a hostage incident. Negotiations started immediately. The woman eventually left the house. Officers obtained an emergency custody order and deployed tear gas. When Morrell finally came out, police shot him with bean bags, but they had no effect on him. When Morrell pointed his weapon at one of the deputies, police shot him. He later died at Bristol Regional Medical Center.</t>
  </si>
  <si>
    <t>http://www.wcyb.com/news/standoff-underway-in-washington-county-va/26847554</t>
  </si>
  <si>
    <t>Aaron Lepak</t>
  </si>
  <si>
    <t>3910 West Highway 98</t>
  </si>
  <si>
    <t>Bay County Sheriff's Office</t>
  </si>
  <si>
    <t>Lepak was wanted by police in connection with domestic violence charges. He'd left his wife paralyzed and in critical condition. When found he engaged in a two-hour armed standoff with police from multiple agencies, holed up in a room in a down-and-out roadside motel. When he gestured his weapon towards an officer, he was fatally shot.</t>
  </si>
  <si>
    <t>Amir Brooks</t>
  </si>
  <si>
    <t>http://img.washingtonpost.com/rw/2010-2019/WashingtonPost/2014/08/06/Local/Images/IMG_190207564970797.jpg?uuid=EVPVbh18EeSC-SzW-o2lxA</t>
  </si>
  <si>
    <t>36th Street and Alabama Avenue SE</t>
  </si>
  <si>
    <t>20020</t>
  </si>
  <si>
    <t>Riding a dirt bike illegally on the street, Brooks was chased by a county officer, struck a tree, and died of the subsequent injuries. Brooks was an unarmed minor and his only crime was the moving violation. The officer claimed the chase was necessary because the bike might have been related to a recent armed robbery.</t>
  </si>
  <si>
    <t>http://www.washingtonpost.com/local/crime/teen-dies-of-injuries-from-dirt-bike-crash-in-dc-was-pursued-by-pr-georges-police/2014/08/06/6c706c9e-1d79-11e4-ab7b-696c295ddfd1_story.html</t>
  </si>
  <si>
    <t>Manuel Flores</t>
  </si>
  <si>
    <t>http://www.kob.com/kobtvimages/repository/2014-08/Picture1.jpg</t>
  </si>
  <si>
    <t>4330 Coors Blvd SW</t>
  </si>
  <si>
    <t>Bernalillo County Sheriff's Office</t>
  </si>
  <si>
    <t>Flores rammed a deputies car twice, trapping the deputy inside. The deputy feared for his life and shot and killed Flores .</t>
  </si>
  <si>
    <t>http://www.kob.com/article/stories/s3523792.shtml#.VGvPJzTF98E</t>
  </si>
  <si>
    <t>Yee Vang</t>
  </si>
  <si>
    <t>West Minnehaha Avenue at North Arundel Street</t>
  </si>
  <si>
    <t>55103</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</si>
  <si>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</si>
  <si>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</si>
  <si>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Jacorey Calhoun</t>
  </si>
  <si>
    <t>http://www.mentalhealthportland.org/wp-content/uploads/2014/09/Jacorey-Calhoun.jpg</t>
  </si>
  <si>
    <t>105th Avenue and Edes Avenue</t>
  </si>
  <si>
    <t>Alameda County Deputy Thoms fatally shot Jacorey Calhoun, 23, on Aug. 3 near 105th and Edes avenues after Calhoun allegedly fled from an Oakland police car stop. Officers had tried to stop Calhoun as he drove a 2001 Volvo near 55th and Fairfax avenues in East Oakland. The Volvo was connected to a home-invasion robbery July 12.</t>
  </si>
  <si>
    <t>Maria Rodriguez</t>
  </si>
  <si>
    <t>http://media.turnto23.com/photo/2014/08/04/Family_Remembers_Maria_Rodriguez_1873990001_7220080_ver1.0_640_480.jpg</t>
  </si>
  <si>
    <t>1601 South Union Avenue</t>
  </si>
  <si>
    <t>Maria Rodriguez was on top of a stone pile at a stone manufacturing business. Three officers arrived on the scene to persuade her to leave the business. Maria then pulled out a replica of a gun and pointed it at the officers. Officers then fired on Maria, killing her. Sheriffs initially identified the victim as Sarah Bustamante, but later retracted this name and identified the victim as Maria Rodriguez.</t>
  </si>
  <si>
    <t>http://www.officer.com/news/11611198/calif-deputies-kill-woman-with-replica-gun</t>
  </si>
  <si>
    <t>Ryan James Swearingen</t>
  </si>
  <si>
    <t>http://bloximages.chicago2.vip.townnews.com/dailydem.com/content/tncms/assets/v3/editorial/5/a6/5a67fc3a-1d90-11e4-b407-0019bb2963f4/53e267dfb0cef.image.jpg</t>
  </si>
  <si>
    <t>1527 Ave E</t>
  </si>
  <si>
    <t>Fort Madison</t>
  </si>
  <si>
    <t>52627</t>
  </si>
  <si>
    <t>Fort Madison Police Department</t>
  </si>
  <si>
    <t>Victim was slashing car tires with a knife in the alley between the 1400 block of Avenue E and Avenue D. He ran to a home at 1527 Ave E where he exited a closet and brandished a knife at the officers. In the past, he had been accused of marijuana possession, curfew violations, escape or absence of custody, past-due court fines, operating a vehicle while intoxicated, theft, child support delinquency and traffic tickets.</t>
  </si>
  <si>
    <t>http://www.connecttristates.com/news/story.aspx?id=1078563</t>
  </si>
  <si>
    <t>Andrew Chlebo</t>
  </si>
  <si>
    <t>Girvin Road and Atlantic Blvd</t>
  </si>
  <si>
    <t>32225</t>
  </si>
  <si>
    <t>For reasons unknown Chlebo squealed his vehicle's tires near an officer, caught the officer's attention, fled from an attempted traffic stop, sped away with police in pursuit and finished with a one-car crash into a utility pole, which killed him.</t>
  </si>
  <si>
    <t>http://www.news4jax.com/news/one-dead-after-high-speed-chase/27287678</t>
  </si>
  <si>
    <t>Vincent Lee Heims</t>
  </si>
  <si>
    <t>http://ak-cache.legacy.net/legacy/Images/Cobrands/DignityMemorial/Photos/0457222b-73c2-4d10-ae45-48b2d8a29679.jpg</t>
  </si>
  <si>
    <t>13400 West Road</t>
  </si>
  <si>
    <t>An armed bank robbery suspect was shot by Harris County Sheriff deputies. Officers were not identified.</t>
  </si>
  <si>
    <t>http://www.khou.com/story/news/crime/2014/08/03/hcso-responds-to-standoff-with-robbery-suspect-in-nw-houston/13545081/</t>
  </si>
  <si>
    <t>Lewis Conlogue</t>
  </si>
  <si>
    <t>http://static.bangordailynews.com/wp-content/uploads/2014/08/42BAA44413a8220937MNN137A6BD-250x250.jpg</t>
  </si>
  <si>
    <t>5572 Bennoch Rd</t>
  </si>
  <si>
    <t>Lagrange</t>
  </si>
  <si>
    <t>04453</t>
  </si>
  <si>
    <t>Conlogue was armed and held police at bay for about 3 hours outside the former Highland Farm restaurant along Route 16, through McCausland didn’t say what weapon he was armed with. Conlogue was shot and killed.</t>
  </si>
  <si>
    <t>Omar Abrego</t>
  </si>
  <si>
    <t>https://scontent-sjc.xx.fbcdn.net/hphotos-xfa1/v/t1.0-9/11274_506194952848754_9185177201341797379_n.jpg?oh=f6270d0b863a581f2a20f520f08ad8be&amp;oe=55A87FB6</t>
  </si>
  <si>
    <t>6900 South Main Street</t>
  </si>
  <si>
    <t>Two gang-unit sergeants saw a white vehicle driving erratically at high speed, just missing a pedestrian. As the sergeants reached the 6900 block of South Main Street, Abrego jumped out of the car and attempted to run on foot. A physical altercation ensued, and the sergeants were able to take the suspect into custody. Abrego sustained a laceration and was taken to a hospital where he was pronounced dead.</t>
  </si>
  <si>
    <t>http://www.latimes.com/local/lanow/la-me-ln-man-dies-lapd-arrest-altercation-20140812-story.html</t>
  </si>
  <si>
    <t>Cedric Oscar Ramirez</t>
  </si>
  <si>
    <t>http://tribktla.files.wordpress.com/2014/08/cedric-ramirez.jpg?w=278&amp;h=300</t>
  </si>
  <si>
    <t>9015 Rosehedge Drive</t>
  </si>
  <si>
    <t>Pico Rivera</t>
  </si>
  <si>
    <t>90660</t>
  </si>
  <si>
    <t>County deputies sought Cedric Oscar Ramirez on outstanding warrants. Spotting them, Raimiez fled but was caught in a residential driveway. After a physical struggle, he produced a handgun and shot at the officers. Police returned fire and killed a bystander Frank Al Mendoza. Ramirez held Mendoza's 60-year-old wife hostage for over seven hours before a tactical team fatally shot him.</t>
  </si>
  <si>
    <t>http://homicide.latimes.com/post/cedric-oscar-ramirez/</t>
  </si>
  <si>
    <t>Mark L. Lanza</t>
  </si>
  <si>
    <t>35th and Northern Avenue</t>
  </si>
  <si>
    <t>Lanza shot at officers after he burglarized a condo. Officers then shot and killed Lanza.</t>
  </si>
  <si>
    <t>http://www.azcentral.com/story/news/local/phoenix/2014/08/04/phoenix-police-shooting-mark-lanza-abrk/13587871/</t>
  </si>
  <si>
    <t>Justin Armstrong</t>
  </si>
  <si>
    <t>777 Highway 260</t>
  </si>
  <si>
    <t>Pinetop</t>
  </si>
  <si>
    <t>85935</t>
  </si>
  <si>
    <t>Navajo</t>
  </si>
  <si>
    <t>White Mountain Apache Police Department, Pinetop-Lakeside Police Department</t>
  </si>
  <si>
    <t>Armstrong got into a fight with his wife in a casino parking lot. A guard investigated, and he shot him. When police arrived, he wouldn't put down the gun, shot they shot and killed him.</t>
  </si>
  <si>
    <t>http://www.azfamily.com/news/Incident-at-Hon-Dah-casino-leads-to-lockdown-269711741.html</t>
  </si>
  <si>
    <t>Steve Matthew Doll</t>
  </si>
  <si>
    <t>East Foppiano Lane and Oneto Road</t>
  </si>
  <si>
    <t>95212</t>
  </si>
  <si>
    <t>Alerted by Doll's reckless driving and near misses with other vehicles at up to 80 MPH, a state trooper found him and his vehicle crashed into a cherry orchard. Doll approached the trooper with a knife and was shot to death.</t>
  </si>
  <si>
    <t>http://www.recordnet.com/article/20140819/News/140819647</t>
  </si>
  <si>
    <t>Anthony Callaway</t>
  </si>
  <si>
    <t>Washington Road and Desert Drive</t>
  </si>
  <si>
    <t>East Point</t>
  </si>
  <si>
    <t>30337</t>
  </si>
  <si>
    <t>Fulton County Sheriff's Office</t>
  </si>
  <si>
    <t>Callaway shot a police dog after refusing to comply with orders. Deputies then shot and killed Callaway.</t>
  </si>
  <si>
    <t>Daniel Pierre</t>
  </si>
  <si>
    <t>400 Berlin New Freedom Rd</t>
  </si>
  <si>
    <t>Berlin</t>
  </si>
  <si>
    <t>08009</t>
  </si>
  <si>
    <t>Winslow Police Department</t>
  </si>
  <si>
    <t>Pierre was shot in the head and the torso by officers. Victim killed at home.  Other details were not published.</t>
  </si>
  <si>
    <t>http://www.courierpostonline.com/story/news/local/south-jersey/2014/08/01/shooting-winslow/13454685/</t>
  </si>
  <si>
    <t>Frank Mendoza</t>
  </si>
  <si>
    <t>http://tribktla.files.wordpress.com/2014/08/mendoza.jpg?w=300&amp;h=168</t>
  </si>
  <si>
    <t>9000 Rosehedge Dr</t>
  </si>
  <si>
    <t>http://ktla.com/2014/08/07/pico-rivera-deputy-involved-shooting-autopsy-results-to-be-discussed-at-news-conference/</t>
  </si>
  <si>
    <t>Angel Luis Santana</t>
  </si>
  <si>
    <t>State Hwy 98 and Patterson Road</t>
  </si>
  <si>
    <t>27704</t>
  </si>
  <si>
    <t>Although initially compliant, suspected drug trafficker Angel Luis Santana fled from a traffic stop by local police, got back onto the road, and sped off. Less than a minute later, at an estimated speed of 120 MPH, he struck the vehicle of driver Tamara Lou White. Both were killed. Police and state police statements insisted that there'd been no chase but patrol car video proved otherwise.</t>
  </si>
  <si>
    <t>http://www.newsobserver.com/2014/08/05/4052711_durham-police-investigating-whether.html?rh=1</t>
  </si>
  <si>
    <t>900 Wakeling Street</t>
  </si>
  <si>
    <t>19124</t>
  </si>
  <si>
    <t>Two 15th District officers responded to a tripped security alarm at a home on the 900 block of Wakeling Street. When they knocked on the door a man answered and told them everything was OK with him, the other man in the home and a woman in the home. Since the man wasn’t the homeowner, the officers asked to speak to a female resident who said everything was OK but signaled to the officers that that wasn’t the case. Police said that the man then pointed a gun at the officer’s head. The suspect shot three times, said investigators. Police returned fire, killing him.</t>
  </si>
  <si>
    <t>http://www.nbcphiladelphia.com/news/local/Police-Invovled-Shooting-Burglary-Philly-269502951.html</t>
  </si>
  <si>
    <t>Donn Eastman</t>
  </si>
  <si>
    <t>http://ww3.hdnux.com/photos/31/37/74/6684438/5/622x350.jpg</t>
  </si>
  <si>
    <t>2500 Nacogdoches Rd</t>
  </si>
  <si>
    <t>78217</t>
  </si>
  <si>
    <t>Eastman tried to break into a car. When officers approached Eastman, he fired a gun at them. Officers then shot and killed Eastman.</t>
  </si>
  <si>
    <t>http://www.mysanantonio.com/news/local/article/Man-killed-by-officer-had-past-murder-conviction-5667993.php#photo-6684438</t>
  </si>
  <si>
    <t>David A. Mendoza</t>
  </si>
  <si>
    <t>Oakwood Knolls Drive</t>
  </si>
  <si>
    <t>Bedford County Sheriff’s Office</t>
  </si>
  <si>
    <t>Mendoza was the suspect in a string of crimes, a home invasion, attempted auto theft and shop break-in in one evening and evading police overnight. After midnight officers spotted a pickup driving recklessly, Mendoza at the wheel. Cornered on a dead-end road, he attempted to ram the police vehicle, and was shot to death.</t>
  </si>
  <si>
    <t>http://www.roanoke.com/news/crime/bedford_county/state-police-id-man-shot-by-bedford-county-deputy-sheriff/article_b9ed5463-3297-5b52-9cd2-d9ab3f1a764b.html</t>
  </si>
  <si>
    <t>Richard Lee Nelson</t>
  </si>
  <si>
    <t>Kuhio Ave &amp; Kapuni St</t>
  </si>
  <si>
    <t>96815</t>
  </si>
  <si>
    <t>Nelson was spotted by a police officer rear-ending a bus and drinking an alcoholic beverage behind the wheel. After the officer tried to prevent Nelson from taking off, he made U-turns and drove his car onto a sidewalk and hitting a tree, prompting police to fire and kill Nelson. Honolulu Police defended the decision to shoot Nelson, claiming it was done to prevent further safety risks.</t>
  </si>
  <si>
    <t>http://www.hawaiinewsnow.com/story/26158090/happening-now-portion-of-kuhio-avenue-closed-as-police-investigate-shooting</t>
  </si>
  <si>
    <t>Larry Andrew Flynn</t>
  </si>
  <si>
    <t>2101 N Northlake Way</t>
  </si>
  <si>
    <t>98103</t>
  </si>
  <si>
    <t>Victim was intoxicated and armed only with a broken bottle. Officers tasered Larry which had no effect and then they opened fire shooting him several times. I was unable to determine exactly how many times he was shot. He died at Harborview medical center</t>
  </si>
  <si>
    <t>http://blogs.seattletimes.com/today/2014/07/man-shot-by-seattle-police-in-gas-works-park-this-morning/</t>
  </si>
  <si>
    <t>Andrew J. Michaelis</t>
  </si>
  <si>
    <t>http://wwwcache.wral.com/asset/news/local/2014/07/30/13854873/1406932073-michaelis-640x360.jpg</t>
  </si>
  <si>
    <t>5100 New Moon Drive</t>
  </si>
  <si>
    <t>28306</t>
  </si>
  <si>
    <t>Michaelis was involved in a domestic fight with his wife. He attacked her with a knife and a gun. She escaped to her father's home, but her husband followed. Michaelis killed two family members and escaped into the nearby woods where he was killed. An autopsy report showed Michaelis suffered five gunshot wounds including one self-inflicted. The result of the autopsy was inconclusive as to whether he died from the self-inflicted wound or killed by officers.</t>
  </si>
  <si>
    <t>http://www.wate.com/story/27319931/man-who-killed-father-in-law-nephew-shot-himself-in-head</t>
  </si>
  <si>
    <t>Jesse Vigil</t>
  </si>
  <si>
    <t>Horizon Drive and Boulder Highway</t>
  </si>
  <si>
    <t>89002</t>
  </si>
  <si>
    <t>Vigil was asked questions by officers when he became combative and stabbed an officer in the thigh. Vigil was shot and killed.</t>
  </si>
  <si>
    <t>Emilio Solis</t>
  </si>
  <si>
    <t>http://static2.nydailynews.com/polopoly_fs/1.2051008.1419008379!/img/httpImage/image.jpg_gen/derivatives/article_635/hedwig20n-3-web.jpg</t>
  </si>
  <si>
    <t>Hedwig</t>
  </si>
  <si>
    <t>Hedwig Village Police Department</t>
  </si>
  <si>
    <t>At first, it appeared, on the video, that Solis was about to give himself.  Solis then pulled a gun from his waistband and immediately fired at least three shots.  Gibson fired back.  Police said a total of 17 shots were fired</t>
  </si>
  <si>
    <t>http://www.click2houston.com/news/hedwig-village-police-to-release-video-of-officerinvolved-in-shooting/30298286</t>
  </si>
  <si>
    <t>Brad D. Jensen</t>
  </si>
  <si>
    <t>4200 Desert Pl</t>
  </si>
  <si>
    <t>Jensen refused orders to drop a knife. Officers shot and killed Jensen.</t>
  </si>
  <si>
    <t>Josh A. Edwards</t>
  </si>
  <si>
    <t>1400 E 350 North Rd.</t>
  </si>
  <si>
    <t>Pana</t>
  </si>
  <si>
    <t>62557</t>
  </si>
  <si>
    <t>Christian County Sheriff's Office</t>
  </si>
  <si>
    <t>Christian County deputies went to Edwards' home to investigate "an unlawful use of weapons." Residents allowed the officers to come into the house. Police called for backup after seeing drug paraphernalia. Edwards shot at the police and jumped out of a window onto the roof. There was a standoff for hours. Edwards finally set the roof on fire with a cigarette lighter. While the roof was smoldering, he fired at SWAT officers who returned fire and killed him.</t>
  </si>
  <si>
    <t>http://herald-review.com/news/local/suspect-shot-to-death-during-police-standoff-identified/article_30def91d-b8d6-5052-9019-48ba72b65fe2.html</t>
  </si>
  <si>
    <t>Justin Phillip Steele</t>
  </si>
  <si>
    <t>http://www.ktvq.com/images/steele.jpg</t>
  </si>
  <si>
    <t>Blue Sky Highway</t>
  </si>
  <si>
    <t>Ethete</t>
  </si>
  <si>
    <t>82520</t>
  </si>
  <si>
    <t>Fremont County Sheriff's Department, Wind River Police Department (Bureau of Indian Affairs)</t>
  </si>
  <si>
    <t>Steele was pulled over on reservation land for a weapons offense that occurred elsewhere. Two other people in his car were compliant with the officer's commands, but Steele was not. He was fatally shot by a federal officer of the reservation police, a branch of the BIA. Stelle was not native American.</t>
  </si>
  <si>
    <t>http://oilcitywyo.com/2014/07/30/federal-officer-reportedly-involved-in-fatal-shooting-on-wind-river-indian-reservation/</t>
  </si>
  <si>
    <t>Cody David Winters</t>
  </si>
  <si>
    <t>http://www.reviewjournal.com/sites/default/files/styles/large/public/field/media/web1_web_winters_jackson_2.jpg?itok=Ei6unM5z</t>
  </si>
  <si>
    <t>Almondwood Dr.</t>
  </si>
  <si>
    <t>89120</t>
  </si>
  <si>
    <t>Cody David Winters and Natasha Galenn Jackson terrorized a southeast Las Vegas neighborhood, choosing their victims at random in a frantic attempt to escape capture. Eventually, Winters broke a window and entered a home on Almondwood Dr. He demanded car keys from the woman who lived there, shot her in the stomach and dragged her outside as a hostage. When the wounded woman fell to the ground, officers shot and killed Winters.</t>
  </si>
  <si>
    <t>http://www.reviewjournal.com/news/las-vegas/police-burglars-turned-killers-terrorized-neighborhood</t>
  </si>
  <si>
    <t>Steven Isby</t>
  </si>
  <si>
    <t>http://s8.postimg.org/977p1pdj9/Screen_Shot_2015_04_11_at_7_51_23_PM.png</t>
  </si>
  <si>
    <t>Marshfield Avenue and Wabansia Avenue</t>
  </si>
  <si>
    <t>60622</t>
  </si>
  <si>
    <t>Cop returning home from shift very late at night (off duty at the time of the shooting) and sees man in nearby construction. Officer approaches man, identifies himself as a police officer, sees something in the hand of the man, which turned out to be a screw driver. Officer fired several shots (the officer shot himself first before shooting the victim). The victim turned out to be homeless.</t>
  </si>
  <si>
    <t>http://www.chicagotribune.com/news/local/breaking/chi-man-fatally-shot-by-offduty-officer-in-bucktown-identified-20140730-story.html</t>
  </si>
  <si>
    <t>Patrick Small</t>
  </si>
  <si>
    <t>http://bloximages.newyork1.vip.townnews.com/scnow.com/content/tncms/assets/v3/editorial/0/02/0020ef3a-172c-11e4-8124-0017a43b2370/53d7aea6c7545.image.jpg</t>
  </si>
  <si>
    <t>1524 West Palmetto Street</t>
  </si>
  <si>
    <t>29501</t>
  </si>
  <si>
    <t>Florence Police Department</t>
  </si>
  <si>
    <t>Small robbed a gas station, on his way out an officer shot Small after he pointed a gun at him.</t>
  </si>
  <si>
    <t>http://www.wmbfnews.com/story/26135343/officer-involved-shooting-at-florence-gas-station</t>
  </si>
  <si>
    <t>Charles Mozdir</t>
  </si>
  <si>
    <t>http://www.gannett-cdn.com/-mm-/832d1ccb99f03d3282a43ae2ca6833178979815f/c=0-138-306-368&amp;r=x383&amp;c=540x380/local/-/media/USATODAY/USATODAY/2014/07/28/1406574382000-charles-mozdir1.jpg</t>
  </si>
  <si>
    <t>45 Christopher St</t>
  </si>
  <si>
    <t>10014</t>
  </si>
  <si>
    <t>Suspected child molester killed in gunfight with NYPD at Greenwich Village smoke shop.</t>
  </si>
  <si>
    <t>http://www.dnainfo.com/new-york/20140730/greenwich-village/detective-hurt-during-greenwich-village-shootout-leaves-hospital</t>
  </si>
  <si>
    <t>Paul Burkons</t>
  </si>
  <si>
    <t>Adams Boulevard and Buckingham Road</t>
  </si>
  <si>
    <t>90016</t>
  </si>
  <si>
    <t>Burkons was lying naked in the street (looking for a reportedly naked man) when the officers accidentally ran him over - killing him.</t>
  </si>
  <si>
    <t>http://stage.sfvmedia.com/sfv/naked-man-fatally-run-police/</t>
  </si>
  <si>
    <t>Matthew Robinson</t>
  </si>
  <si>
    <t>http://mediaassets.redding.com/photo/2014/07/28/Robinson_cropped_1406591440591_7107493_ver1.0_900_675.jpg</t>
  </si>
  <si>
    <t>2750 Eureka Way</t>
  </si>
  <si>
    <t>96001</t>
  </si>
  <si>
    <t>Robinson was being transported to Restpadd Psychiatric in Redding, CA. Law enforcement was called to assist. Upon removal from the transport vehicle, he punched an officer in the face. He was then taken to the ground where he continued to resist until other officers could help take him into custody. A short time later, officers recognized he was suffering some kind of medical distress and not breathing. Officers attempted CPR before he was transported to Mercy Medical Center where he died.</t>
  </si>
  <si>
    <t>http://www.krcrtv.com/news/local/mental-health-patient-dies-a-week-after-rpd-incident/27196236</t>
  </si>
  <si>
    <t>Ronald Carden</t>
  </si>
  <si>
    <t>http://mediaassets.knoxnews.com/photo/2014/07/28/carden_7104802_ver1.0_640_480.jpg</t>
  </si>
  <si>
    <t>214 Vanosdale Rd</t>
  </si>
  <si>
    <t>37909</t>
  </si>
  <si>
    <t>Carden had a flat tire when an officer stopped. Shortly after Carden attacked the officer, yelling he wouldn't go back to prison (he had narcotics on him). The officer pulled out his weapon and shot and killed Carden.</t>
  </si>
  <si>
    <t>Charles Alver Jones Jr.</t>
  </si>
  <si>
    <t>http://ak-cache.legacy.net/legacy/images/Cobrands/ShreveportTimes/Photos/SPT024924-1_20140728.jpg</t>
  </si>
  <si>
    <t>County Road 4915</t>
  </si>
  <si>
    <t>Bloomburg</t>
  </si>
  <si>
    <t>75556</t>
  </si>
  <si>
    <t>Cass</t>
  </si>
  <si>
    <t>Cass County Sheriff’s Department</t>
  </si>
  <si>
    <t>Jones was being served felony warrants for his arrest. It is unreported why the shooting took place.</t>
  </si>
  <si>
    <t>http://txktoday.com/news/deputy-involved-deadly-shooting-back-patrol/</t>
  </si>
  <si>
    <t>Robert Henderson</t>
  </si>
  <si>
    <t>2010 3rd Ave</t>
  </si>
  <si>
    <t>Huntington</t>
  </si>
  <si>
    <t>25703</t>
  </si>
  <si>
    <t>Cabell</t>
  </si>
  <si>
    <t>Huntington Police Department</t>
  </si>
  <si>
    <t>Henderson was arguing with someone at a restaurant. When police arrived he was waving a gun around. police feared for their lives, Henderson was shot and killed.</t>
  </si>
  <si>
    <t>http://www.wsaz.com/home/headlines/Suspect-Shot-and-Killed-by-Huntington-Police-268698962.html</t>
  </si>
  <si>
    <t>John Wrana</t>
  </si>
  <si>
    <t>http://i.huffpost.com/gen/1369198/thumbs/o-JOHN-WRANA-DEATH-facebook.jpg</t>
  </si>
  <si>
    <t>101 Main St.</t>
  </si>
  <si>
    <t>Park Forest</t>
  </si>
  <si>
    <t>60466</t>
  </si>
  <si>
    <t>Park Forest Police Department</t>
  </si>
  <si>
    <t>Bean bag</t>
  </si>
  <si>
    <t>Police were called to Mr. Wrana's assisted living facility because he was "belligerent" and refusing treatment. Wrana, who was frail and dependent on a cane or walker, was armed with his cane, a 2-foot-long metal shoehorn, and a butcher knife. Five officers responded. Wrana refused to drop the knife. After one taser failed to hit Wrana, officer Craig Taylor fired 5 beanbag rounds from a distance of 6-8 feet. No attempt was made to defuse the situation before firing. After the fifth shot, Wrana dropped the knife but remained standing. The commander on scene knocked him to the floor with a riot shield and cuffed him. Wrana died hours later in a local hospital.Officer Taylor is charged with reckless misconduct. Trial is scheduled for September 15, 2014.</t>
  </si>
  <si>
    <t>http://articles.chicagotribune.com/2014-04-02/news/chi-cop-charged-john-wrana-death-kass-20140402_1_john-wrana-craig-taylor-beanbag-rounds</t>
  </si>
  <si>
    <t>Luis Jobel</t>
  </si>
  <si>
    <t>6700 Hayvenhurst Ave</t>
  </si>
  <si>
    <t>http://www.nbclosangeles.com/news/local/Officer-Involved-Shooting-in-Van-Nuys-268572702.html</t>
  </si>
  <si>
    <t>Timothy Rice</t>
  </si>
  <si>
    <t>2200 Willow Creek Drive</t>
  </si>
  <si>
    <t>78741</t>
  </si>
  <si>
    <t>Bean bag, taser</t>
  </si>
  <si>
    <t>Responding to a call of an attempted suicide, police arrived at an apartment complex in the 2200 block of Willow Creek Drive in Southeast Austin at 9 a.m. July 24 to find Timothy Rice with what appeared to be self-inflicted wounds, police said. When the officers confronted Rice, he threatened them with a tomahawk, police said. One officer shot him with a bean-bag shotgun, they said, and a Taser was later used on him during a struggle with officers. Austin-Travis County EMS took Rice to University Medical Center Brackenridge, where he was pronounced dead the following afternoon, police said.</t>
  </si>
  <si>
    <t>http://www.austintexas.gov/news/custody-death-investigation</t>
  </si>
  <si>
    <t>Nicholas Lister</t>
  </si>
  <si>
    <t>http://ak-cache.legacy.net/legacy/images/cobrands/saltlaketribune/photos/mou0034469-1_20140730.jpgx?w=130&amp;h=180&amp;option=1&amp;v=0x000000002dd373e4</t>
  </si>
  <si>
    <t>360 E 4000 S</t>
  </si>
  <si>
    <t>84107</t>
  </si>
  <si>
    <t>Unified Police Department i</t>
  </si>
  <si>
    <t>Lister was drunk and suicidal when he threatened officers with a gun. Officers feared for their life and shot and killed Lister</t>
  </si>
  <si>
    <t>Lori Knowles</t>
  </si>
  <si>
    <t>Cobb Ct</t>
  </si>
  <si>
    <t>Hampton</t>
  </si>
  <si>
    <t>30228</t>
  </si>
  <si>
    <t>Henry</t>
  </si>
  <si>
    <t>Henry County Police Department</t>
  </si>
  <si>
    <t>Knowles was acting disturbed and had a gun at her side. She made an 'offensive' movement towards the gun and officers shot and killed her.</t>
  </si>
  <si>
    <t>http://www.wsbtv.com/news/news/local/investigators-scene-officer-involved-shooting-henr/ngnDZ/</t>
  </si>
  <si>
    <t>Harrison Carter</t>
  </si>
  <si>
    <t>http://www.wesh.com/image/view/-/27111478/highRes/1/-/maxh/480/maxw/640/-/sekpsz/-/Carter--Harrison-071814-mug-jpg.jpg</t>
  </si>
  <si>
    <t>5332 Hawford Circle</t>
  </si>
  <si>
    <t>Belle Isle</t>
  </si>
  <si>
    <t>32812</t>
  </si>
  <si>
    <t>County deputies performed a mid-morning "controlled delivery" of a package containing marijuana to Carter's residence. When USAF veteran Carter came out to retrieve it, undercover officers tried to arrest him. This developed into an armed standoff and firefight as Carter barricaded himself inside the house and police locked down the neighborhood. He was found fatally wounded in his garage around noon.</t>
  </si>
  <si>
    <t>http://www.wesh.com/news/deputies-shots-fired-suspect-barricaded-in-orange-county/27107876</t>
  </si>
  <si>
    <t>David Newmeyer</t>
  </si>
  <si>
    <t>http://www.ocalapost.com/wp-content/uploads/2014/07/David-Newmeyer.jpg</t>
  </si>
  <si>
    <t>15135 U.S. 19</t>
  </si>
  <si>
    <t>Cross City</t>
  </si>
  <si>
    <t>32628</t>
  </si>
  <si>
    <t>Dixie</t>
  </si>
  <si>
    <t>Dixie County Sheriff's Office</t>
  </si>
  <si>
    <t>Young Newmeyer, already with a criminal history and three open felony cases in which he was considered an adult, stole the keys of a black Dodge Ram pickup from a spa in the early morning and led police on a high-speed chase across four Florida counties. The pickup flipped when a county officer deliberately rammed it. The collision killed Newmeyer. Two other teen passengers were unhurt.</t>
  </si>
  <si>
    <t>http://www.ocalapost.com/high-speed-chase-in-four-counties-leaves-one-dead/</t>
  </si>
  <si>
    <t>Charles Leon Johnson II</t>
  </si>
  <si>
    <t>http://augustacrime.com/wp-content/uploads/2014/07/Charles-Leon-Johnson-II-cop-shooting-180x271.jpg</t>
  </si>
  <si>
    <t>941 Georgia 140</t>
  </si>
  <si>
    <t>Adairsville</t>
  </si>
  <si>
    <t>30103</t>
  </si>
  <si>
    <t>Adairsville Police Department</t>
  </si>
  <si>
    <t>Johnson was about to be placed under arrest after a traffic stop. Johnson tried to flee, and allegedly dragged the officer. The officer then shot and killed Johnson.</t>
  </si>
  <si>
    <t>Vamond Arqui Elmore</t>
  </si>
  <si>
    <t>http://www.postandcourier.com/storyimage/CP/20140722/PC16/140729831/AR/0/AR-140729831.jpg&amp;maxw=400&amp;q=90</t>
  </si>
  <si>
    <t>114 Winningham Rd</t>
  </si>
  <si>
    <t>St. George</t>
  </si>
  <si>
    <t>29477</t>
  </si>
  <si>
    <t>Elmore was a suspect in a Connecticut homicide, and had a long criminal record. A multi-jurisdictional team found him in a motel. As he left his room, armed with a pistol, he refused to drop his weapon and turned towards officers. He was shot to death by South Carolina state agents.</t>
  </si>
  <si>
    <t>http://www.postandcourier.com/article/20140722/PC16/140729831</t>
  </si>
  <si>
    <t>Briatay McDuffie</t>
  </si>
  <si>
    <t>http://www.fatalencounters.org/wp-content/uploads/2013/10/BriatayMcDuffie.jpg</t>
  </si>
  <si>
    <t>5500 Kathryns Ct</t>
  </si>
  <si>
    <t>White Marsh</t>
  </si>
  <si>
    <t>21162</t>
  </si>
  <si>
    <t>McDuffie was a suspect in a theft of a car. McDuffie had a struggle with officers leading to him being shot and killed.</t>
  </si>
  <si>
    <t>http://www.baltimoresun.com/news/maryland/baltimore-county/white-marsh/bs-md-co-police-involved-shooting-20140722-story.html</t>
  </si>
  <si>
    <t>Joaquin Cibrian</t>
  </si>
  <si>
    <t>http://www.revcom.us/i/355/joaquin-cibrian.jpg</t>
  </si>
  <si>
    <t>100 W 9th 1/2 St</t>
  </si>
  <si>
    <t>La Joya</t>
  </si>
  <si>
    <t>78560</t>
  </si>
  <si>
    <t>Hidalgo County Sheriff Department</t>
  </si>
  <si>
    <t>Cibrian was barricaded in a house firing at officers. Cibrian was wanted on capital murder charges. Officers rammed the door down and shot and killed Cibrian.</t>
  </si>
  <si>
    <t>http://www.brownsvilleherald.com/news/local/article_2b259a1a-11ef-11e4-a201-0017a43b2370.html</t>
  </si>
  <si>
    <t>Jeremy Robertson</t>
  </si>
  <si>
    <t>http://www.kob.com/kobtvimages/repositoryThumbs/2014-07/Jeremy-Robertson.jpg</t>
  </si>
  <si>
    <t>198 Glorieta St NE</t>
  </si>
  <si>
    <t>87123</t>
  </si>
  <si>
    <t>Robertson ran from police on foot after being served a warrant for his arrest. At one point Robertson took a gun from his waistband and pointed it at officers, prompting the officers to shoot and kill Robertson.</t>
  </si>
  <si>
    <t>Donovan Bayton</t>
  </si>
  <si>
    <t>8470 Arliss St</t>
  </si>
  <si>
    <t>20912</t>
  </si>
  <si>
    <t>The victim was inside the bank and a bank employee called the police to report the man was acting strange. Police arrived, the man didn't comply, they shot him. They found Bayton, who displayed a knife and was “acting erratically.”</t>
  </si>
  <si>
    <t>http://www.washingtonpost.com/local/crime/montgomery-police-officer-involved-in-shooting-at-silver-spring-bank/2014/07/22/db848504-11c4-11e4-9285-4243a40ddc97_story.html4243a40ddc97_story.html</t>
  </si>
  <si>
    <t>Richard Duncalf</t>
  </si>
  <si>
    <t>22915 86th Ave S</t>
  </si>
  <si>
    <t>98031</t>
  </si>
  <si>
    <t>Duncalf supposedly assaulted an officer and fled. He then reportedly fired at officers. Officers returned fire killing Duncalf. An eyewitness however disputes the official police report.</t>
  </si>
  <si>
    <t>Jeffrey Carter McMillan</t>
  </si>
  <si>
    <t>4015 Battleship Pkwy</t>
  </si>
  <si>
    <t>Spanish Fort</t>
  </si>
  <si>
    <t>36527</t>
  </si>
  <si>
    <t>Mobile County Constables Office</t>
  </si>
  <si>
    <t>Mobile County Constable Larry Lambert Sheffield was arrested Sunday and charged with murdering McMillan.</t>
  </si>
  <si>
    <t>http://www.al.com/news/mobile/index.ssf/2014/07/mobile_county_constable_charge.html</t>
  </si>
  <si>
    <t>Francisco Rocha</t>
  </si>
  <si>
    <t>3500 W 38th St</t>
  </si>
  <si>
    <t>60632</t>
  </si>
  <si>
    <t>Rocha was reportedly fighting with two people. An officer then tasered Rocha. Rocha was transported to a hospital where he was pronounced dead.</t>
  </si>
  <si>
    <t>http://wgntv.com/2014/07/20/man-dies-after-being-tased-by-chicago-police-officer/</t>
  </si>
  <si>
    <t>Jonathan L. Williams</t>
  </si>
  <si>
    <t>http://www.gannett-cdn.com/-mm-/fe8262a9eb90969f5425a9591bbda2e647ffed15/c=9-0-459-600&amp;r=537&amp;c=0-0-534-712/local/-/media/Phoenix/GenericImages/2014/07/21/1405978069000-williams.jpg</t>
  </si>
  <si>
    <t>1612 N Scottsdale Rd</t>
  </si>
  <si>
    <t>Williams reportedly fired a gun at an officer. An officer returned fire, killing Williams.</t>
  </si>
  <si>
    <t>Cadence Harris</t>
  </si>
  <si>
    <t>http://images.latinpost.com/data/images/full/17465/cadence-harris.jpg?w=600</t>
  </si>
  <si>
    <t>20th Street and Metropolitan Avenue</t>
  </si>
  <si>
    <t>Leavenworth</t>
  </si>
  <si>
    <t>66048</t>
  </si>
  <si>
    <t>Leavenworth Police Department</t>
  </si>
  <si>
    <t>Suspect Marcas McGowan abducted young Harris away from her mother, from a home the three shared, and led police on a high-speed chase that ended with him wounded and Harris in the back seat, shot to death. Slow and loathe to make any admissions, police and prosecutor reports have gradually revealed that she died from police bullets -- but he has been charged for her murder.</t>
  </si>
  <si>
    <t>http://cjonline.com/news/2014-11-21/kansas-man-pleads-not-guilty-death-child-police-chase</t>
  </si>
  <si>
    <t>Kenneth Johnson</t>
  </si>
  <si>
    <t>6000 Revere St</t>
  </si>
  <si>
    <t>89032</t>
  </si>
  <si>
    <t>Johnson was in a confrontation with officers when he pulled out a fake gun. Officers responded by shooting and killing Johnson.</t>
  </si>
  <si>
    <t>Andre Milton</t>
  </si>
  <si>
    <t>168th Avenue and East 14th Street</t>
  </si>
  <si>
    <t>94578</t>
  </si>
  <si>
    <t>Milton was violently beating his girlfriends head against against a car when a deputy shot and killed him.</t>
  </si>
  <si>
    <t>http://www.mercurynews.com/crime-courts/ci_26204391/woman-attacked-before-fatal-police-shooting-is-out</t>
  </si>
  <si>
    <t>Eric Garner</t>
  </si>
  <si>
    <t>43</t>
  </si>
  <si>
    <t>http://d.ibtimes.co.uk/en/full/1392076/garners.jpg</t>
  </si>
  <si>
    <t>Victory Boulevard and Bay Street</t>
  </si>
  <si>
    <t>10301</t>
  </si>
  <si>
    <t>Asphyxiation</t>
  </si>
  <si>
    <t>http://youtu.be/5LSBpwmMnVM</t>
  </si>
  <si>
    <t>Allen Jay Foste</t>
  </si>
  <si>
    <t>120 Bremond Street</t>
  </si>
  <si>
    <t>Belton</t>
  </si>
  <si>
    <t>76513</t>
  </si>
  <si>
    <t>Bell</t>
  </si>
  <si>
    <t>Bell County Sheriff's Office</t>
  </si>
  <si>
    <t>Bell County sheriff’s deputies shot and killed a man with a shotgun Thursday evening after a 911 caller said the man was threatening to kill himself, sheriff’s spokesman Donnie Adams said. After arriving, the deputies encountered Allen Jay Foste, 49, and fired their weapons after he pointed the shotgun at them, Adams said.</t>
  </si>
  <si>
    <t>http://radiolegendary.com/2014/07/officer-involved-shootings-described-in-past-exonerative/</t>
  </si>
  <si>
    <t>Glenn Ray Glancey</t>
  </si>
  <si>
    <t>1000 N. Eighth Street</t>
  </si>
  <si>
    <t>97467</t>
  </si>
  <si>
    <t>Reedsport Police Department, Douglas County Sheriff's Department</t>
  </si>
  <si>
    <t>In the early afternoon four Reedsport and county officers responded to a call about a verbal and physical fight about a mobile home park. They found and exchanged fire with resident Glancey, who was armed with a handgun. Glancey was shot once, and died of his injuries three days later.</t>
  </si>
  <si>
    <t>http://registerguard.com/rg/news/local/31938467-75/glancey-reedsport-police-officer-shooting.html.csp</t>
  </si>
  <si>
    <t>Dominique Charon Lewis</t>
  </si>
  <si>
    <t>Flushing Road and Mitson Boulevard</t>
  </si>
  <si>
    <t>Flint Township</t>
  </si>
  <si>
    <t>48504</t>
  </si>
  <si>
    <t>Genesee</t>
  </si>
  <si>
    <t>Flint Township Police Department</t>
  </si>
  <si>
    <t>The incident started with a routine traffic stop. Three adults and one child were in the car. The officer was removing people from the car when Lewis jumped back into the driver's seat and sped off. Another officer fired twice at the car because it was allegedly coming toward him. Lewis died at Hurley Medical Center later.</t>
  </si>
  <si>
    <t>http://www.mlive.com/news/flint/index.ssf/2014/07/police_fatally_shoot_motorist.html</t>
  </si>
  <si>
    <t>Alex Gregory Martinez</t>
  </si>
  <si>
    <t>http://www.kcra.com/image/view/-/27033456/medRes/1/-/maxh/220/maxw/220/-/3vlvm2z/-/2-new-suspects-jpg.jpg</t>
  </si>
  <si>
    <t>1440 E Hammer Ln</t>
  </si>
  <si>
    <t>ALEX GREGORY MARTINEZ AND GILBERT RENTERIA JR and others robbed a bank. Some suspects got away, but Martinez and Renteria were shot and killed by officers.</t>
  </si>
  <si>
    <t>http://www.kcra.com/news/local-news/news-stockton/who-dropped-off-3-armed-men-before-deadly-crime-spree/27024354</t>
  </si>
  <si>
    <t>Gilbert Renteria Jr.</t>
  </si>
  <si>
    <t>Misty Holt-Singh</t>
  </si>
  <si>
    <t>http://media.nbcbayarea.com/images/misty.jpg</t>
  </si>
  <si>
    <t>Thornton Road and Otto Drive</t>
  </si>
  <si>
    <t>95209</t>
  </si>
  <si>
    <t>Hostage from a bank robbery shot by police</t>
  </si>
  <si>
    <t>http://www.reviewjournal.com/news/nation-and-world/calif-bank-robbery-hostage-was-killed-police-authorities-say</t>
  </si>
  <si>
    <t>Justin Neil Davis</t>
  </si>
  <si>
    <t>http://mediaassets.commercialappeal.com/photo/2014/07/18/justin%20neil%20davis_1405661253707_6887819_ver1.0_640_480.jpg</t>
  </si>
  <si>
    <t>Cameron Brown Park</t>
  </si>
  <si>
    <t>Germantown</t>
  </si>
  <si>
    <t>38139</t>
  </si>
  <si>
    <t>Germantown Police Department</t>
  </si>
  <si>
    <t>Iraq veteran Davis was found by police sitting in a local park, in his car, toying with a rifle. They'd been alerted that he was unstable, armed, and possibly suicidal. Three officers cleared the park and began communicating with him via cell phone and a PA system. Davis was shot and killed.</t>
  </si>
  <si>
    <t>http://www.walb.com/story/26034113/man-shot-killed-by-germantown-police-officers</t>
  </si>
  <si>
    <t>Michael Reams</t>
  </si>
  <si>
    <t>http://media.fresnobee.com/smedia/2014/07/15/18/16/1uRI5r.AuSt.8.jpeg</t>
  </si>
  <si>
    <t>S Modoc St &amp; E El Dorado St</t>
  </si>
  <si>
    <t>Two police officers responded to a domestic violence call and went to Reams' home. A woman was heard screaming inside and struggling with a male suspect. Police says Reams shouted if officers went inside, he would kill her. After a few seconds, the police couldn't hear the woman anymore. Once the officers broke into the home, an officer fired four rounds and killed Reams who died on the scene. The woman was found stabbed to death.</t>
  </si>
  <si>
    <t>http://abc30.com/news/woman-stabbed-to-death%3B-suspect-fatally-shot-by-officer-in-sw-fresno/184878/</t>
  </si>
  <si>
    <t>Timothy Mitchell</t>
  </si>
  <si>
    <t>http://www.upmatters.com/media/lib/207/0/7/f/07f6e9d9-1528-4d07-b0c3-79dcdffc5182/Story.jpg</t>
  </si>
  <si>
    <t>National Forest Development Road 13 and Buckhorn Road</t>
  </si>
  <si>
    <t>Munising Township</t>
  </si>
  <si>
    <t>49895</t>
  </si>
  <si>
    <t>Alger</t>
  </si>
  <si>
    <t>Munising City Police Department</t>
  </si>
  <si>
    <t>Mitchell was driving at speeds of 100 mph. Mitchel ran off the road near highway 13 and Buckhorn Road where Officer Schlabach told Mitchel' to get on the the ground. Mitchell advanced the officer in an aggressive manner and was subsequently shot and killed.</t>
  </si>
  <si>
    <t>http://www.uppermichiganssource.com/news/story.aspx?id=1085494#.U_z4lo10yie</t>
  </si>
  <si>
    <t>Armando Noah Aleman</t>
  </si>
  <si>
    <t>http://mediaassets.timesrecordnews.com/photo/2014/07/24/Alemanobit_7045006_ver1.0_640_480.jpg</t>
  </si>
  <si>
    <t>1400 N Scott Ave</t>
  </si>
  <si>
    <t>Wichita Falls</t>
  </si>
  <si>
    <t>76306</t>
  </si>
  <si>
    <t>Wichita Falls Police Department</t>
  </si>
  <si>
    <t>Aleman reportedly assaulted someone with a handgun. The officer was in a foot chase with Aleman. Aleman then allegedly pointed a gun at the officer, prompting the officer to shoot and kill Aleman.</t>
  </si>
  <si>
    <t>http://www.timesrecordnews.com/news/local-news/officerinvolved-shooting-update_11059196</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</si>
  <si>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</si>
  <si>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</si>
  <si>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</si>
  <si>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</si>
  <si>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</si>
  <si>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</si>
  <si>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Lawrence Campbell</t>
  </si>
  <si>
    <t>http://media.nj.com/hudsoncountynow_impact/photo/15401902-large.jpg</t>
  </si>
  <si>
    <t>2395 John F Kennedy Blvd</t>
  </si>
  <si>
    <t>Jersey City</t>
  </si>
  <si>
    <t>07047</t>
  </si>
  <si>
    <t>Jersey City Police Department</t>
  </si>
  <si>
    <t>Campbell was shot and killed by police during an armed robbery at Walgreens at the corner of Communipaw Avenue and Kennedy Boulevard in Jersey City. Police Officer Melvin Santiago was also killed during the standoff.</t>
  </si>
  <si>
    <t>http://www.nj.com/hudson/index.ssf/2014/07/man_who_killed_jersey_city_police_officer_is_identified.html</t>
  </si>
  <si>
    <t>Adrian Eugene King</t>
  </si>
  <si>
    <t>146 3rd Ave W</t>
  </si>
  <si>
    <t>28792</t>
  </si>
  <si>
    <t>King stabbed an officer prompting the wounded officer's partner to shoot and kill King.</t>
  </si>
  <si>
    <t>Edward Lee Farlow</t>
  </si>
  <si>
    <t>Montana Avenue</t>
  </si>
  <si>
    <t>Basin</t>
  </si>
  <si>
    <t>82410</t>
  </si>
  <si>
    <t>Big Horn</t>
  </si>
  <si>
    <t>Basin Police Department</t>
  </si>
  <si>
    <t>An officer responded to a parking complaint from Farlow’s neighbor. Police says Farlow pointed a gun at the officer when he approached Farlow’s home. The officer shot Farlow who died in the hospital later.</t>
  </si>
  <si>
    <t>http://www.kulr8.com/story/26027893/basin-shooting</t>
  </si>
  <si>
    <t>Ronald Hewett</t>
  </si>
  <si>
    <t>3950 Juvenile Center Rd</t>
  </si>
  <si>
    <t>Castle Hayne</t>
  </si>
  <si>
    <t>New Hanover</t>
  </si>
  <si>
    <t>New Hanover County Sheriff's Office</t>
  </si>
  <si>
    <t>Hewett died suddenly Saturday afternoon while in federal custody at New Hanover County Jail.</t>
  </si>
  <si>
    <t>http://www.wect.com/story/26004023/former-brunswick-co-sheriff-ron-hewett-dies-in-custody</t>
  </si>
  <si>
    <t>David Brandstetter</t>
  </si>
  <si>
    <t>https://scontent-a-lga.xx.fbcdn.net/hphotos-xaf1/v/t1.0-9/10459912_10152285556007734_2108169410173040636_n.jpg?oh=67a6da396917680f2524f8663edd63ca&amp;oe=551B905B</t>
  </si>
  <si>
    <t>17400 El Pueblo Boulevard</t>
  </si>
  <si>
    <t>Fountain Hills</t>
  </si>
  <si>
    <t>85268</t>
  </si>
  <si>
    <t>Army veteran was reported to have been acting erratically and walking around naked. When police came upon him they shot him to death.</t>
  </si>
  <si>
    <t>http://www.fhtimes.com/news/local_news/deputy-shoots-kills-fh-man/article_a54087d8-0c4a-11e4-8a23-0017a43b2370.html</t>
  </si>
  <si>
    <t>Valerie Abbott Harrington</t>
  </si>
  <si>
    <t>http://wbtw.images.worldnow.com/images/4207982_G.jpg</t>
  </si>
  <si>
    <t>Ashcraft Circle</t>
  </si>
  <si>
    <t>Pawleys Island</t>
  </si>
  <si>
    <t>29585</t>
  </si>
  <si>
    <t>Georgetown</t>
  </si>
  <si>
    <t>Georgetown County Sheriff’s Office</t>
  </si>
  <si>
    <t>Police says a family member called the authorities to conduct a welfare check on Harrington. Deputies were told she was in the bathroom with a knife threatening to harm herself. The police was unable to make contact with anyone at the residence and located the property manager who unlocked the door. When sheriff’s deputies were clearing the residence, Harrington allegedly charged the deputies with a knife. One of the officers shot her. Harrington died of multiple gunshot wounds at Waccamaw Hospital.</t>
  </si>
  <si>
    <t>http://www.wbtw.com/story/26016692/friends-family-mourn-litchfield-beach-mom-shot-by-deputies</t>
  </si>
  <si>
    <t>Harold F. Roudebush</t>
  </si>
  <si>
    <t>2934 Griffin View Dr</t>
  </si>
  <si>
    <t>Lady Lake</t>
  </si>
  <si>
    <t>32159</t>
  </si>
  <si>
    <t>Lake County Sheriff’s office</t>
  </si>
  <si>
    <t>Police were called because Roudebush had a gun to his head. When officers arrived Roudebush pointed his gun at them, which resulted in officers shooting and killing Roudebush.</t>
  </si>
  <si>
    <t>http://www.mynews13.com/content/news/cfnews13/news/article.html/content/news/articles/cfn/2014/7/12/lake_county_man_kill.html</t>
  </si>
  <si>
    <t>Coty Champagne</t>
  </si>
  <si>
    <t>http://bloximages.chicago2.vip.townnews.com/iberianet.com/content/tncms/assets/v3/editorial/3/2f/32f6643c-0cfd-11e4-98d9-001a4bcf887a/53c6992eb78d0.image.jpg</t>
  </si>
  <si>
    <t>400 S Evangeline St</t>
  </si>
  <si>
    <t>New Iberia</t>
  </si>
  <si>
    <t>70560</t>
  </si>
  <si>
    <t>Iberia</t>
  </si>
  <si>
    <t>Iberia Parish Sheriff's Office</t>
  </si>
  <si>
    <t>A deputy was responding to a domestic disturbance call. When the deputy knocked on the door Champagne pointed a gun at the deputy, prompting the deputy to shoot and kill Champagne</t>
  </si>
  <si>
    <t>http://www.kadn.com/news/iberia-parish-sheriffs-deputy-involved-shooting-death-33-year-old-coty-champagne</t>
  </si>
  <si>
    <t>Ira James Arquette</t>
  </si>
  <si>
    <t>http://www.yakimaherald.com/csp/mediapool/sites/dt.common.streams.StreamServer.cls?STREAMOID=l$OYyNMc508Gw1pPm$Do8s$daE2N3K4ZzOUsqbU5sYu5UeJTYvwXevbqbc2qL6pRWCsjLu883Ygn4B49Lvm9bPe2QeMKQdVeZmXF$9l$4uCZ8QDXhaHEp3rvzXRJFdy0KqPHLoMevcTLo3h8xh70Y6N_U_CryOsw6FTOdKL_jpQ-&amp;CONTENTTYPE=image/jpeg</t>
  </si>
  <si>
    <t>S Wapato Road</t>
  </si>
  <si>
    <t>Wapato</t>
  </si>
  <si>
    <t>98951</t>
  </si>
  <si>
    <t>Yakama Nation Police</t>
  </si>
  <si>
    <t>Police responded to a domestic disturbance. Arquette fled in a vehicle, allegedly shooting at the pursuing officer. He allegedly stopped and continued shooting at the officer, who then shot Arquette in the heart and leg.</t>
  </si>
  <si>
    <t>http://www.komonews.com/news/local/Yakama-tribal-police-involved-in-fatal-shooting-266825381.html</t>
  </si>
  <si>
    <t>Joseph K. Greer</t>
  </si>
  <si>
    <t>http://www.obitssetx.com/files/photos/big1405700480Untitled-Scanned-38.jpg</t>
  </si>
  <si>
    <t>1700 E Railroad St</t>
  </si>
  <si>
    <t>Vidor</t>
  </si>
  <si>
    <t>77662</t>
  </si>
  <si>
    <t>Vidor Police Department</t>
  </si>
  <si>
    <t>Greer pulled out a knife on officers. Officers then shot and killed Greer.</t>
  </si>
  <si>
    <t>James E. Hamm</t>
  </si>
  <si>
    <t>208 N. Jefferson St</t>
  </si>
  <si>
    <t>Princeton</t>
  </si>
  <si>
    <t>42445</t>
  </si>
  <si>
    <t>Caldwell</t>
  </si>
  <si>
    <t>Princeton Police Department</t>
  </si>
  <si>
    <t>Police Chief Don Weedman was in a bank when Hamm reportedly entered with a mask, bag and gun. Weedman says he told Hamm to drop the gun, and Hamm fired at him. Weedman shot him multiple times.</t>
  </si>
  <si>
    <t>http://www.dailyindependent.com/news/local_news/article_aa462702-3075-11e4-b196-0019bb2963f4.html?mode=jqm</t>
  </si>
  <si>
    <t>Tyshawn Hancock</t>
  </si>
  <si>
    <t>http://guenettefuneralhome.frontrunnerpro.com/runtime/90466/include/storage/thumb.php?edgeFade=4&amp;imgName=90466/DeathRecordStub/1908007/2855508.jpg&amp;imgWidth=72</t>
  </si>
  <si>
    <t>2850 Petzinger Road</t>
  </si>
  <si>
    <t>43209</t>
  </si>
  <si>
    <t>Probation officer John Farnsworth and police went to Hancock's home to arrest him. They did not wait for Hancock's grandfather to retrieve him and rushed into his bedroom guns drawn, in the presence of two small children. They claim Hancock "dove for a gun" and that Farnsworth wrestled with him for it. A family witness, says she did not see a gun in Hancock's hand. Farnsworth and possibly another officer shot him three times before or after he allegedly shot and critically injured Farnsworth. The Probation Dept. was aware of Hancock's history of mental illness. The family has reportedly retained an attorney.</t>
  </si>
  <si>
    <t>Frank Alvarado</t>
  </si>
  <si>
    <t>http://bloximages.newyork1.vip.townnews.com/montereycountyweekly.com/content/tncms/assets/v3/editorial/8/41/841b4ee4-0880-11e4-acdc-001a4bcf6878/53bfc4509fc39.preview-1000.jpg?resize=768%2C512</t>
  </si>
  <si>
    <t>1024 Fairview Ave</t>
  </si>
  <si>
    <t>After Alvarado broke into his grandfather's home and vandalized the place, family members called police to report the 40-year-old was on meth and wouldn't go back to prison. Alvarado was shot by police after rushing at them while holding an object, later revealed to be a cellphone.</t>
  </si>
  <si>
    <t>http://www.thecalifornian.com/story/news/local/2014/07/11/family-speaks-man-killed-police/12539801/</t>
  </si>
  <si>
    <t>Brandon Ray Brown</t>
  </si>
  <si>
    <t>http://ak-cache.legacy.com/legacy/Images/Cobrands/DignityMemorial/Photos/7562d85b-b669-4113-aae4-1584c6782193.jpg</t>
  </si>
  <si>
    <t>2000 187th Place Southeast</t>
  </si>
  <si>
    <t>Bothell</t>
  </si>
  <si>
    <t>98012</t>
  </si>
  <si>
    <t>http://seattletimes.com/html/localnews/2015590013_deputyshooting13m.html</t>
  </si>
  <si>
    <t>Charles K. Goodridge</t>
  </si>
  <si>
    <t>https://scontent-b-sjc.xx.fbcdn.net/hphotos-xpf1/v/t1.0-9/10712896_701334586615905_4699821546276185739_n.jpg?oh=d55e92a748dd1597b68a35c78acc8ce9&amp;oe=552579A6</t>
  </si>
  <si>
    <t>11800 Grant Rd</t>
  </si>
  <si>
    <t>Cypress</t>
  </si>
  <si>
    <t>77429</t>
  </si>
  <si>
    <t>Harris County Constable Precinct 4</t>
  </si>
  <si>
    <t>Off-duty deputy constable Francisco Ruiz was working security for his apartment complex and encountered Goodridge, unarmed and allegedly trespassing the property on which he had lived for nine years until recently evicted. Ruiz says he attempted to arrest Goodridge. Witness David Hall says that Goodridge pushed Ruiz away. The deputy says he chased him and there was a scuffle. He then shot Goodridge twice in the stomach. Ruiz suffered either scratches on his back, a back injury or a concussion. The District Attorney's Civil Rights Division is currently investigating.</t>
  </si>
  <si>
    <t>http://www.houstonchronicle.com/news/houston-texas/houston/article/Family-searches-for-answers-in-man-s-death-by-5772363.php</t>
  </si>
  <si>
    <t>Richard Robert Howard</t>
  </si>
  <si>
    <t>http://bloximages.chicago2.vip.townnews.com/cdapress.com/content/tncms/assets/v3/editorial/6/12/612800de-0d40-11e4-ac00-0019bb2963f4/53c709d3c746a.preview-300.png</t>
  </si>
  <si>
    <t>5714 Sacramento Dr</t>
  </si>
  <si>
    <t>Benton County Sheriff's Office</t>
  </si>
  <si>
    <t>Howard was allegedly mentally unstable and highly intoxicated when he left his home and began firing, while armed with several firearms. An officer shot Howard in the chest after a short standoff that ended with officers shooting the 49-year-old after he pointed a gun at them.</t>
  </si>
  <si>
    <t>http://www.kvewtv.com/article/2014/jul/09/police-standoff-pasco/</t>
  </si>
  <si>
    <t>Stephen S. Minch</t>
  </si>
  <si>
    <t>http://d1t3gia0in9tdj.cloudfront.net/photo/tributes/t/8/r/207x207/2330716/da15ef98-b04a-47ff-992b-407f3614c8e0.jpg</t>
  </si>
  <si>
    <t>3215 Edwardsville Road</t>
  </si>
  <si>
    <t>Granite City</t>
  </si>
  <si>
    <t>62040</t>
  </si>
  <si>
    <t>Granite City Police Department</t>
  </si>
  <si>
    <t>Minch called 911, insisting police show up at a Phillips 66 station. When two officers arrived, he was sitting in his car parked behind the station. One officer saw him holding a gun. Police says when he raised the gun toward the officers, one of the deputies shot him multiple times. Minch died at the scene.</t>
  </si>
  <si>
    <t>http://www.stltoday.com/news/local/crime-and-courts/granite-city-police-involved-in-fatal-shooting/article_d24dc99c-bce3-52af-a16e-92ce17017483.html</t>
  </si>
  <si>
    <t>Luis Monroig</t>
  </si>
  <si>
    <t>http://www.gannett-cdn.com/-mm-/0053ae3c14076c2b1c917671a2886d30d874d392/c=0-0-1022-768&amp;r=x404&amp;c=534x401/local/-/media/FortMyers/FortMyers/2014/07/09/1404923150000-Fotor0709122220.jpg</t>
  </si>
  <si>
    <t>21790 Sunset Lake Ct</t>
  </si>
  <si>
    <t>Estero</t>
  </si>
  <si>
    <t>33928</t>
  </si>
  <si>
    <t>Naples Police Department</t>
  </si>
  <si>
    <t>Amy E. Young, 40, and Luis Monroig, 37 two officers, living with each other and dating. They got into a domestic dispute and shot each other. Monroig died from his injuries.</t>
  </si>
  <si>
    <t>http://www.abc-7.com/story/26157217/ex-wife-of-slain-naples-police-officer-obtains-restraining-order#.VF1meoc4Rg1</t>
  </si>
  <si>
    <t>Christopher Alexander Stone</t>
  </si>
  <si>
    <t>http://www.fortbendstar.com/wp-content/uploads/2014/07/Stone-204x300.jpg</t>
  </si>
  <si>
    <t>3100 Timber View Dr</t>
  </si>
  <si>
    <t>Sugar Land</t>
  </si>
  <si>
    <t>77479</t>
  </si>
  <si>
    <t>Sugar Land Police Department</t>
  </si>
  <si>
    <t>Stone allegedly called police and threatened to start shooting people. After police arrived, Stone was fatally shot after pointing a handgun at arriving officers.</t>
  </si>
  <si>
    <t>http://www.khou.com/news/local/Sugar-Land-police-shoot-kill-suspect-who-fired-on-officers-266577131.html</t>
  </si>
  <si>
    <t>Jose Franco</t>
  </si>
  <si>
    <t>http://www.gannett-cdn.com/-mm-/804624694b9c09d9af6cba7ff45321192b42866f/c=0-283-640-645&amp;r=x1803&amp;c=3200x1800/local/-/media/KENS/KENS/2014/09/17/1410962820000-FRANCO.png</t>
  </si>
  <si>
    <t>22502 U.S. Highway 281 N #101</t>
  </si>
  <si>
    <t>78259</t>
  </si>
  <si>
    <t>Franco was in a store allegedly committing fraud or stealing a phone and ran into a parking lot when confronted by police. Officer Robert Mount tasered, pepper sprayed and hit him with a baton. Mount and Officer Roland Pacheco arrested and tried to subdue Franco, who was "generally being difficult" while handcuffed and being taken to the hospital for a fast heart rate. While unloading him, police said he "appeared to be faking unresponsiveness". The officers threatened to intubate him if he did not respond, and when the staff did this, his pulse stopped. The death was ruled a homicide and is currently under investigation.</t>
  </si>
  <si>
    <t>http://www.mysanantonio.com/news/local/article/Report-Man-who-died-in-police-custody-showed-5628434.php</t>
  </si>
  <si>
    <t>Jeanetta Marie Riley</t>
  </si>
  <si>
    <t>http://www.lakeviewfuneral.com/sitemaker/memsol_data/819/1360516/1360516_profile_pic.jpg?1415398437</t>
  </si>
  <si>
    <t>520 N 3rd Ave</t>
  </si>
  <si>
    <t>83864</t>
  </si>
  <si>
    <t>Bonner County Sheriff's Office</t>
  </si>
  <si>
    <t>Riley was acting erratic with a knife at a hospital. She refused to follow authorities orders to drop the knife. She was shot and killed for not complying.</t>
  </si>
  <si>
    <t>http://www.ktvb.com/story/news/local/2014/07/18/hospital-shooting-woman-erratic/12830341/</t>
  </si>
  <si>
    <t>Shane Lucan Griffin</t>
  </si>
  <si>
    <t>30200 South Highway 213</t>
  </si>
  <si>
    <t>Molalla</t>
  </si>
  <si>
    <t>97038</t>
  </si>
  <si>
    <t>County SWAT members fatally shot Griffin after a three-hour standoff. It began as a domestic disturbance call, and ended when Griffin finally emerged from his front door flourishing multiple weapons.</t>
  </si>
  <si>
    <t>http://www.oregonlive.com/clackamascounty/index.ssf/2014/07/clackamas_swat_deputies_identi.html</t>
  </si>
  <si>
    <t>James McKinney</t>
  </si>
  <si>
    <t>500 W A St</t>
  </si>
  <si>
    <t>Hayward</t>
  </si>
  <si>
    <t>94541</t>
  </si>
  <si>
    <t>Hayward Police Department</t>
  </si>
  <si>
    <t>McKinney broke into a woman's motel room. When officers arrived it appeared he may have been under a controlled substance. McKinney lunged for the officer's guns, which resulted in McKinney being shot by officers and dying from his wounds.</t>
  </si>
  <si>
    <t>http://www.mercurynews.com/crime-courts/ci_26118759/man-fatally-shot-by-police-at-motel-idd</t>
  </si>
  <si>
    <t>Rajko Utvic</t>
  </si>
  <si>
    <t>37</t>
  </si>
  <si>
    <t>http://bloximages.chicago2.vip.townnews.com/journaltimes.com/content/tncms/assets/v3/editorial/1/d3/1d3c7d3a-0621-11e4-84ba-0019bb2963f4/53bb180b2acf6.preview-620.jpg</t>
  </si>
  <si>
    <t>3000 Durand Avenue</t>
  </si>
  <si>
    <t>Racoine</t>
  </si>
  <si>
    <t>53403</t>
  </si>
  <si>
    <t>Racine</t>
  </si>
  <si>
    <t>Racine County Sheriff’s Office</t>
  </si>
  <si>
    <t>Would not drop a knife after ordered to. Utvic advanced towards the officers and was shot.</t>
  </si>
  <si>
    <t>Ennis Labaux</t>
  </si>
  <si>
    <t>243 Belle Terre Blvd.</t>
  </si>
  <si>
    <t>St. John deputies went to a residence following a disturbance report. Relatives told police Labaux assaulted and threatened to kill family members. He cut one relative on the hand with a knife before family members disarmed him. When deputies questioned Labaux, he became combative and assaulted one of the officers. A struggle ensued, and Labaux was eventually put in handcuffs. He continued to struggle with deputies. Police says deputies tried to secure Labaux's legs when he stopped breathing. He was transferred to River Parishes Hospital where he was pronounced dead.</t>
  </si>
  <si>
    <t>http://www.nola.com/crime/index.ssf/2014/07/taser_was_used_on_laplace_man.html</t>
  </si>
  <si>
    <t>Christopher Jones</t>
  </si>
  <si>
    <t>http://bloximages.newyork1.vip.townnews.com/stltoday.com/content/tncms/assets/v3/editorial/9/da/9dab6cd4-296e-5bac-a448-9b18bb973f1c/545432b61edad.image.jpg?resize=620%2C543</t>
  </si>
  <si>
    <t>Interstate 170 at the 70 interchange</t>
  </si>
  <si>
    <t>Pine Lawn</t>
  </si>
  <si>
    <t>Pine Lawn Police Department</t>
  </si>
  <si>
    <t>A Pine Lawn police officer pulled over a car for a wanted person alert along westbound I-70 and Jennings Station Road. The suspect took off in his vehicle. The officer pursued the suspect who crashed on Interstate 170 at the 70 interchange and then took off on foot. When the officer caught the man, a struggle occurred and that’s when the officer shot and killed the suspect.</t>
  </si>
  <si>
    <t>Warren Robinson</t>
  </si>
  <si>
    <t>http://i.dailymail.co.uk/i/pix/2014/07/07/article-2683419-1F75896B00000578-975_306x423.jpg</t>
  </si>
  <si>
    <t>8700 South Morgan</t>
  </si>
  <si>
    <t>Police respond to report of shots fired, chase boy who matched report description through alley and into private home. He then hides under car where police order him to come out; he allegedly failed to drop the 'gun' he was holding and the police shot him. Neighbors reported boy had hands up when shot.</t>
  </si>
  <si>
    <t>http://www.chicagotribune.com/news/local/breaking/chi-police-shoot-4th-person-since-friday-morning-20140705-story.html</t>
  </si>
  <si>
    <t>Marilyn Denise Boyd</t>
  </si>
  <si>
    <t>915 SW Springfield Drive</t>
  </si>
  <si>
    <t>Ankeny</t>
  </si>
  <si>
    <t>50023</t>
  </si>
  <si>
    <t>Ankeny Police Department</t>
  </si>
  <si>
    <t>Police went to Boyd's house after receiving a report that a suicidal woman was there. Officers found her with a semi-automatic firearm. Police said Boyd refused to drop the weapon and pointed the gun at an officer. The officer then shot Boyd. She was taken to Mercy Medical Center where she later died. Police said Boyd had a blood alcohol content of 0.145 when she was admitted to the hospital. An autopsy shows she died as a result of two gunshot wounds. A grand jury later ruled there was not enough evidence to warrant an indictment against Officer Aaron King.</t>
  </si>
  <si>
    <t>http://www.desmoinesregister.com/story/news/crime-and-courts/2014/07/05/ankeny-police-shoot-kill-armed-woman/12260917/</t>
  </si>
  <si>
    <t>Nicholas Popplewell</t>
  </si>
  <si>
    <t>http://localtvkfor.files.wordpress.com/2014/07/capture52.png?w=355&amp;h=225&amp;crop=1</t>
  </si>
  <si>
    <t>24th Avenue SW and W. Boyd Street</t>
  </si>
  <si>
    <t>73069</t>
  </si>
  <si>
    <t>Popplewell carjacked a deputy's vehicle during a traffic stop. Another deputy tried to stop Popplewell and was dragged a short distance. This prompted the deputies to shoot and kill Popplewell.</t>
  </si>
  <si>
    <t>http://www.koco.com/news/suspects-identified-in-saturdays-deputyinvolved-shooting-in-norman/26816080</t>
  </si>
  <si>
    <t>Donna Platz</t>
  </si>
  <si>
    <t>http://www.edderfuneralhome.com/obituaries/uploads/OI1873435158_DonnaPlatzObitPic.jpeg</t>
  </si>
  <si>
    <t>Sterrettania Road and State Route 98</t>
  </si>
  <si>
    <t>Fairview</t>
  </si>
  <si>
    <t>16415</t>
  </si>
  <si>
    <t>Erie</t>
  </si>
  <si>
    <t>Trooper Frederick Schimp, 48, reportedly failed to stop at an intersection hitting and killing Platz.</t>
  </si>
  <si>
    <t>Citation</t>
  </si>
  <si>
    <t>http://www.erietvnews.com/story/25945965/two-pa-state-troopers-involved-in-fatal-accident</t>
  </si>
  <si>
    <t>Icarus Randolph</t>
  </si>
  <si>
    <t>26</t>
  </si>
  <si>
    <t>http://media.kansas.com/smedia/2014/07/07/18/46/6a1gd.Em.80.jpg</t>
  </si>
  <si>
    <t>7815 E Clay St</t>
  </si>
  <si>
    <t>67207</t>
  </si>
  <si>
    <t>Wichita Police Department.</t>
  </si>
  <si>
    <t>911 called about a suicidal individual. Randolph had a knife moving towards officers and shots were fired, killing Randolph.</t>
  </si>
  <si>
    <t>http://www.kansas.com/2014/07/07/3542623/police-chief-man-killed-in-shooting.html</t>
  </si>
  <si>
    <t>Pedro Rios Jr.</t>
  </si>
  <si>
    <t>14</t>
  </si>
  <si>
    <t>http://assets.dnainfo.com/generated/chicago_photo/2014/07/pedrorios-1404767523.jpg/extralarge.jpg</t>
  </si>
  <si>
    <t>Portage Park</t>
  </si>
  <si>
    <t>60641</t>
  </si>
  <si>
    <t>"Pedro Rios Jr. was walking about 10 p.m. in Portage Park when police spotted an object protruding from the boy's waistband, police said. When officers tried to question Rios, he reached for what turned out to be a .44 Magnum revolver, they said.Police opened fire. Rios was pronounced dead at 10:07 p.m. on the scene, according to the Cook County Medical Examiner's Office."</t>
  </si>
  <si>
    <t>http://www.dnainfo.com/chicago/20140707/rogers-park/family-of-boy-14-shot-dead-by-police-citys-children-need-protection</t>
  </si>
  <si>
    <t>Norman L. Scott</t>
  </si>
  <si>
    <t>65th Avenue Way</t>
  </si>
  <si>
    <t>Cannon Falls</t>
  </si>
  <si>
    <t>55009</t>
  </si>
  <si>
    <t>Goodhue</t>
  </si>
  <si>
    <t>A state trooper was responding to an accident when he collided with the Scott’s vehicle, killing both Norman L. Scott, 78, and his wife, Geneva M. Scott, 79.</t>
  </si>
  <si>
    <t>http://www.twincities.com/localnews/ci_26091563/1-dead-cannon-falls-accident</t>
  </si>
  <si>
    <t>Geneva M. Scott</t>
  </si>
  <si>
    <t>Kevin Courtner</t>
  </si>
  <si>
    <t>I-40 East and I-75</t>
  </si>
  <si>
    <t>Lenoir City</t>
  </si>
  <si>
    <t>37771</t>
  </si>
  <si>
    <t>Loudon</t>
  </si>
  <si>
    <t>Tennessee Highway Patrol</t>
  </si>
  <si>
    <t>Courtner was involved in a short pursuit with THP. When he was apprehended he was combative. Short time later he was pronounced dead.</t>
  </si>
  <si>
    <t>Jacqueline Nichols</t>
  </si>
  <si>
    <t>http://media.mlive.com/newsnow_impact/photo/15363869-large.jpg</t>
  </si>
  <si>
    <t>North Street and East Pierson Road</t>
  </si>
  <si>
    <t>Flint</t>
  </si>
  <si>
    <t>48505</t>
  </si>
  <si>
    <t>An officer was in pursuit of a suspect when he ran a stop sign and collided with Nichols' vehicle, killing Nichols.</t>
  </si>
  <si>
    <t>http://www.mlive.com/news/flint/index.ssf/2014/07/mother_of_the_people_flint_wom.html</t>
  </si>
  <si>
    <t>Ryan Ronquillo</t>
  </si>
  <si>
    <t>20</t>
  </si>
  <si>
    <t>http://media.thedenverchannel.com/photo/2014/07/03/Ronquillo_Ryan_1404451949168_6668001_ver1.0_640_480.jpg</t>
  </si>
  <si>
    <t>4750 Tejon St</t>
  </si>
  <si>
    <t>80211</t>
  </si>
  <si>
    <t>Ronquillo was in a stolen car. Police attempted arrest. Ronquillo reversed striking an officer with the vehicle. Officers shot 12 rounds, ultimately killing Ronquillo.</t>
  </si>
  <si>
    <t>http://www.denverpost.com/news/ci_26100032/ryan-ronquillos-family-seeks-answers-after-denver-police</t>
  </si>
  <si>
    <t>Richard Arruda</t>
  </si>
  <si>
    <t>535 N Andrews Ave</t>
  </si>
  <si>
    <t>33301</t>
  </si>
  <si>
    <t>Shotwell was off duty, assisting a woman in a domestic dispute. Arruda, the woman's boy friend, shot at Shotwell as a result. Shotwell then shot and killed Arruda.</t>
  </si>
  <si>
    <t>http://www.local10.com/news/broward-sheriffs-office-investigates-fatal-shooting-involving-fort-lauderdale-police-officer/26797716</t>
  </si>
  <si>
    <t>Lewis L. Williams</t>
  </si>
  <si>
    <t>70 Claire Dr SE</t>
  </si>
  <si>
    <t>Williams suffered from dementia. He allegedly attacked an officer with an ax, prompting the officer to shoot and kill Williams.</t>
  </si>
  <si>
    <t>Joseph Valverde</t>
  </si>
  <si>
    <t>http://www.gannett-cdn.com/-mm-/93a309dcf30bf6d358b3eeac4bd883289702fe9e/c=1-0-640-480&amp;r=x513&amp;c=680x510/local/-/media/KUSA/KUSA/2014/07/04/1404491029000-bank-robber1.jpg</t>
  </si>
  <si>
    <t>South Platte River Drive and West Florida Avenue</t>
  </si>
  <si>
    <t>80223</t>
  </si>
  <si>
    <t>Suspect pulled a handgun on police during an undercover drug sting.</t>
  </si>
  <si>
    <t>http://www.9news.com/story/news/local/2014/07/03/officer-involved-shootings-denver/12153205/</t>
  </si>
  <si>
    <t>Anthony Jacob Chavez</t>
  </si>
  <si>
    <t>http://fmhotd.files.wordpress.com/2014/08/anthony-chavez.jpg?w=614</t>
  </si>
  <si>
    <t>98th St. SW and Dennis Chavez</t>
  </si>
  <si>
    <t>Chavez was served an arrest warrant when he pointed a BB gun at a marshal, prompting the marshal to shoot and kill Chavez. Chavez was on amphetamines at the time.</t>
  </si>
  <si>
    <t>http://fav-meth-head-of-the-day.com/2014/08/20/toxicology-report-methamphetamine-found-in-system-of-anthony-jacob-chavez-27-shot-by-us-marshal-in-santa-fe/</t>
  </si>
  <si>
    <t>Jerry Brown</t>
  </si>
  <si>
    <t>http://www.tampabay.com/resources/images/dti/rendered/2014/07/b4s_passhootfolo070314_13451564_8col.jpg</t>
  </si>
  <si>
    <t>4128 Gall Blvd.</t>
  </si>
  <si>
    <t>Zephyrhills</t>
  </si>
  <si>
    <t>33542</t>
  </si>
  <si>
    <t>Brown was a suspected prescription-drug dealer. During an undercover drug deal, the detective bought a "large" amount of pills from Brown outside the tire shop. When the deal was completed, detectives waiting "in gear" moved in to arrest him. Brown was reportedly shot because he would not show his hands. The Pasco Sheriff's office justified the shooting as "any failure to comply indicates a threat." Family and friends organized protests of the shooting.</t>
  </si>
  <si>
    <t>http://www.tampabay.com/news/publicsafety/pasco-sheriff-slain-suspect-made-detectives-fear-for-their-lives/2186914</t>
  </si>
  <si>
    <t>Michael Jones Keys Sr.</t>
  </si>
  <si>
    <t>3600 Wilson Blvd</t>
  </si>
  <si>
    <t>Keys was acting suicidal when he pointed a revolver at officers, resulting getting shot and killed.</t>
  </si>
  <si>
    <t>http://jacksonville.com/news/crime/2014-07-01/story/man-killed-police-involved-shooting-tuesday-jacksonville</t>
  </si>
  <si>
    <t>Austin J. Derby</t>
  </si>
  <si>
    <t>http://ww3.hdnux.com/photos/30/76/73/6549234/4/628x471.jpg</t>
  </si>
  <si>
    <t>Swift Avenue South and South Eddy Street</t>
  </si>
  <si>
    <t>98108</t>
  </si>
  <si>
    <t>Derby pointed a gun at an officer while hiding shortly after a crashing his truck. The officer shot and killed Derby.</t>
  </si>
  <si>
    <t>http://www.seattlepi.com/local/article/Seattle-police-kill-armed-man-on-Beacon-Hill-5595162.php</t>
  </si>
  <si>
    <t>Adam Alcozer</t>
  </si>
  <si>
    <t>http://bloximages.chicago2.vip.townnews.com/wahpetondailynews.com/content/tncms/assets/v3/editorial/1/04/10416ff6-0229-11e4-a334-0019bb2963f4/53b46eb309ba1.image.jpg</t>
  </si>
  <si>
    <t>300 Sixth Street North</t>
  </si>
  <si>
    <t>Wahpeton</t>
  </si>
  <si>
    <t>58075</t>
  </si>
  <si>
    <t>Wahpeton Police Department</t>
  </si>
  <si>
    <t>Adam Alcozer was killed after the vehicle he was driving lost control and rolled while fleeing from police. The passenger in the van, 37-year-old Ephram Luna, was injured.</t>
  </si>
  <si>
    <t>http://www.valleynewslive.com/story/25912942/update-wahpeton-man-involved-in-deadly-crash-identified</t>
  </si>
  <si>
    <t>Oscar Perez Giron</t>
  </si>
  <si>
    <t>http://3b4efb995be6c5c64252-c03f075f8191fb4e60e74b907071aee8.r12.cf1.rackcdn.com/1648577_1404407103.4505.jpg</t>
  </si>
  <si>
    <t>5th Ave S &amp; S Lander St</t>
  </si>
  <si>
    <t>98134</t>
  </si>
  <si>
    <t>Giron &amp; 2 friends found to not be carrying proof of payment on Light Rail, escorted off train by fare enforcement. Police support called by fare enforcement. Giron refused to show identity and attempted to flee. Altercation ensued, Giron pulled gun on police. Police shot Giron. Giron was a known felon with past criminal history.</t>
  </si>
  <si>
    <t>http://spdblotter.seattle.gov/2014/07/09/video-man-points-gun-at-deputy-moments-before-fatal-sodo-light-rail-shooting/</t>
  </si>
  <si>
    <t>Brian Demarcus West</t>
  </si>
  <si>
    <t>http://www.gannett-cdn.com/-mm-/40cbf3e85e71f59ca15b8bb0e855baea285c2b29/c=43-0-256-283&amp;r=537&amp;c=0-0-534-712/local/-/media/WTSP/WTSP/2014/06/29/1404079418000-mugshot-water1.JPG</t>
  </si>
  <si>
    <t>West 3rd Street and North Florida Avenue</t>
  </si>
  <si>
    <t>33805</t>
  </si>
  <si>
    <t>West jumped from his vehicle during a police chase. The officer tried to evade a collision, hitting West in the process. West died from his injuries.</t>
  </si>
  <si>
    <t>http://www.wtsp.com/story/news/local/2014/06/29/armed-carjacking-suspect-dies-from-injuries/11712569/</t>
  </si>
  <si>
    <t>John Omar DelValle</t>
  </si>
  <si>
    <t>300 Union Ave</t>
  </si>
  <si>
    <t>Elizabeth</t>
  </si>
  <si>
    <t>07208</t>
  </si>
  <si>
    <t>Elizabeth Police Department</t>
  </si>
  <si>
    <t>DelValle was holding a woman up at knife point. An officer had an altercation with DelValle, resulting in DelValle getting shot and killed. Eye witness accounts, however, say that DelValle had a knife to his own throat when the officer killed him.</t>
  </si>
  <si>
    <t>http://www.nj.com/union/index.ssf/2014/06/elizabeth_man_shot_by_police_was_threatening_woman_with_knife_authorities_say.html</t>
  </si>
  <si>
    <t>Paul M. Edmundson</t>
  </si>
  <si>
    <t>520 S Tower Ave</t>
  </si>
  <si>
    <t>Centralia</t>
  </si>
  <si>
    <t>98531</t>
  </si>
  <si>
    <t>Centralia Police Department</t>
  </si>
  <si>
    <t>An officer was trying to detain Edmundson for stealing a burrito, he was combative and pulled out a gun. The officer shot and killed Edmundson.</t>
  </si>
  <si>
    <t>http://www.lewiscountysirens.com/?aul M. Edmundson=26104</t>
  </si>
  <si>
    <t>Richard Flick Shryne</t>
  </si>
  <si>
    <t>http://theavtimes.com/wp-content/uploads/2014/06/Richard-Flick-Shryne-3.jpg</t>
  </si>
  <si>
    <t>40500 163rd Street East</t>
  </si>
  <si>
    <t>93535</t>
  </si>
  <si>
    <t>Shryne was detained for possibly intoxicated in public. While in cuffed in the back of a police vehicle he was trying to kick out the windows. Shryne became unresponsive. When paramedics arrived Shryne was pronounced dead at the scene.</t>
  </si>
  <si>
    <t>http://theavtimes.com/2014/06/28/detained-man-dies-in-sheriffs-patrol-car/</t>
  </si>
  <si>
    <t>Paul Ray Kemp Jr.</t>
  </si>
  <si>
    <t>http://homicide.latimes.com.s3.amazonaws.com/media/homicide/ce379a77-68fc-47d5-af46-98ad8cdbbe08.jpeg</t>
  </si>
  <si>
    <t>3800 W 113th St</t>
  </si>
  <si>
    <t>Inglewood</t>
  </si>
  <si>
    <t>90303</t>
  </si>
  <si>
    <t>Inglewood Police Department</t>
  </si>
  <si>
    <t xml:space="preserve">Police responding to a disturbance call found Kemp fighting with another man and then attempting to flee from police. Kemp was caught and fought with officers before being fatally shot. Residents and friends state that Kemp was unarmed and shot in the back. They also state that the officer, whose name has not been released, shot himself in the hand. </t>
  </si>
  <si>
    <t>http://homicide.latimes.com/post/paul-ray-kemp-jr/</t>
  </si>
  <si>
    <t>Nyocomus Garnett</t>
  </si>
  <si>
    <t>http://kwes.images.worldnow.com/images/4080931_G.jpg</t>
  </si>
  <si>
    <t>2700 N Big Spring St</t>
  </si>
  <si>
    <t>79705</t>
  </si>
  <si>
    <t>Garnett was robbing a restaurant. An off-duty detective confronted Garnett. Garnett pointed a gun at the detective, prompting him to shoot Garnett.</t>
  </si>
  <si>
    <t>http://www.newswest9.com/story/25896979/employees-at-midland-restaurant-react-to-officer-involved-shooting</t>
  </si>
  <si>
    <t>Andres Morales</t>
  </si>
  <si>
    <t>https://2dbdd5116ffa30a49aa8-c03f075f8191fb4e60e74b907071aee8.ssl.cf1.rackcdn.com/1620166_1403912127.0438.jpg</t>
  </si>
  <si>
    <t>4 Dewey Pl</t>
  </si>
  <si>
    <t>Bay Shore</t>
  </si>
  <si>
    <t>Morales fled from police when a car he was traveling in was pulled over by police. He was shot after police caught up to him and the 27-year-old produced a handgun.</t>
  </si>
  <si>
    <t>Aaron Wright</t>
  </si>
  <si>
    <t>http://kndu.images.worldnow.com/images/4073575_G.jpg</t>
  </si>
  <si>
    <t>North Volland Street and Klamath Avenue</t>
  </si>
  <si>
    <t>99336</t>
  </si>
  <si>
    <t>Kennewick Police Department</t>
  </si>
  <si>
    <t>Police spotted Wright driving a stolen vehicle. Wright fled, leading police on a lengthy car chase during which he repeatedly held a pistol to his head. Wright crashed near his residence and fled on foot with the pistol. Police fired on Wright as he fled into an apartment complex and then fired on him again when he reappeared waving the pistol, killing him. The pistol turned out to be a pellet gun. Wright had attempted "suicide-by-cop" four years prior to this incident.</t>
  </si>
  <si>
    <t>http://www.tri-cityherald.com/2014/06/27/3040213_kennewick-police-at-shooting-scene.html?rh=1</t>
  </si>
  <si>
    <t>Michael Huffman</t>
  </si>
  <si>
    <t>http://bloximages.newyork1.vip.townnews.com/tricities.com/content/tncms/assets/v3/editorial/9/9d/99dbf7a6-e577-5e73-a66c-88e8414d583c/53b24f0c704f2.preview-300.jpg</t>
  </si>
  <si>
    <t>Zion Church Rd</t>
  </si>
  <si>
    <t>Damascus</t>
  </si>
  <si>
    <t>24236</t>
  </si>
  <si>
    <t>Police say when the deputy went inside the home he found 56-year-old Michael Huffman inside. Huffman was armed with a handgun, threatened to shoot the deputy, and was shot. Family member dispute this, however.</t>
  </si>
  <si>
    <t>Rodney Hodge</t>
  </si>
  <si>
    <t>4900 Wadsworth Drive</t>
  </si>
  <si>
    <t>75216</t>
  </si>
  <si>
    <t>Unresponsive to police attempts at conversation, Hodge had been walking in the neighborhood with a gun, shooting it, pointing it at others. He'd had frequent although relatively minor prior contacts with police. When he moved towards officers he was fatally shot.</t>
  </si>
  <si>
    <t>http://crimeblog.dallasnews.com/2014/06/one-suspect-dead-in-officer-involved-shooting.html/</t>
  </si>
  <si>
    <t>Dominic Graffeo</t>
  </si>
  <si>
    <t>Hawthorne Street</t>
  </si>
  <si>
    <t>Chelsea</t>
  </si>
  <si>
    <t>02150</t>
  </si>
  <si>
    <t>Chelsea Police Department</t>
  </si>
  <si>
    <t>http://www.bostonglobe.com/metro/2014/06/27/chelsea-man-dies-after-struggle-with-police-may-have-been-suffering-from-drug-overdose/Xqq2hFZB3LTkjSJ1jRvKbL/story.html</t>
  </si>
  <si>
    <t>David J. Kingsbury</t>
  </si>
  <si>
    <t>128 Mill St.</t>
  </si>
  <si>
    <t>01108</t>
  </si>
  <si>
    <t>Hampden</t>
  </si>
  <si>
    <t>Police received multiple 911 calls and was summoned to the apartment complex where Kingsbury lived. The reports indicated a man was slashing tires in the parking lot with a knife and breaking windows. A witness showed police Kingsbury's apartment. He attempted to barricade himself inside. Two officers forced their way in and were confronted by Kingsbury. He was armed with a large kitchen knife. They ordered him to drop the knife and stay back, but he did not comply. One of the officers shot Kingsbury who was later pronounced dead at Baystate Medical Center.</t>
  </si>
  <si>
    <t>http://www.masslive.com/news/index.ssf/2014/06/springfield_police_fatally_sho.html</t>
  </si>
  <si>
    <t>Michael Berry</t>
  </si>
  <si>
    <t>http://www.bigcountryhomepage.com/media/lib/203/1/f/d/1fda76cf-76e1-4f64-9fbc-635dfb7f26c1/Story.jpg</t>
  </si>
  <si>
    <t>West Broadway St</t>
  </si>
  <si>
    <t>Sweetwater</t>
  </si>
  <si>
    <t>79556</t>
  </si>
  <si>
    <t>Nolan</t>
  </si>
  <si>
    <t>Police investigating a felony theft investigation ended up in a standoff with Berry after he emerged from his home with a gun. Berry, who may have suffered from a mental illness, was fatally shot by a SWAT team after exchanging gunfire with police.</t>
  </si>
  <si>
    <t>http://www.bigcountryhomepage.com/story/d/story/police-sweetwater-standoff-suspect-shot-killed-aft/30835/jM2dxVZE2E6ydjb_-nt6tw</t>
  </si>
  <si>
    <t>Samuel Johnson</t>
  </si>
  <si>
    <t>3701 Stocker St</t>
  </si>
  <si>
    <t>90008</t>
  </si>
  <si>
    <t>Johnson was stopped by a mall security guard who accused him of shoplifting, and then fired and missed the guard. Police later found Johnson and fatally shot him as officers attempted to take him into custody.</t>
  </si>
  <si>
    <t>http://homicide.latimes.com/post/samuel-johnson/</t>
  </si>
  <si>
    <t>Dennis Hicks</t>
  </si>
  <si>
    <t>Bay Hill Road</t>
  </si>
  <si>
    <t>19962</t>
  </si>
  <si>
    <t>Hicks fled from an attempted traffic stop from state police. When stopped he exited his vehicle with a semiautomatic handgun, firing on the trooper. In the firefight the trooper was wounded and Hicks fatally shot.</t>
  </si>
  <si>
    <t>http://philadelphia.cbslocal.com/2014/06/25/delaware-state-trooper-shot-during-traffic-stop/</t>
  </si>
  <si>
    <t>Mimi Goldberg</t>
  </si>
  <si>
    <t>http://thumbnail.newsinc.com/26317725.sf.jpg</t>
  </si>
  <si>
    <t>7230 S. Las Vegas Blvd</t>
  </si>
  <si>
    <t>89119</t>
  </si>
  <si>
    <t>Goldberg was stabbing a woman. Officers shot Goldberg. Goldberg died three hours later.</t>
  </si>
  <si>
    <t>http://www.reviewjournal.com/news/las-vegas/police-identify-las-vegas-officer-who-shot-woman-wednesday</t>
  </si>
  <si>
    <t>James Jaimez</t>
  </si>
  <si>
    <t>23000 Laramie St.</t>
  </si>
  <si>
    <t>Jaimez was a murder suspect spotted by LA county deputies on the road. After a brief early-evening chase, Jaimez emerged from his car with "an immediate exchange of gunfire". He was fatally shot; one of the deputies sustained a minor wound.</t>
  </si>
  <si>
    <t>http://www.crimevoice.com/slain-murder-suspects-identity-revealed-by-coroner/</t>
  </si>
  <si>
    <t>Antoine Dominique Hunter</t>
  </si>
  <si>
    <t>https://tribktla.files.wordpress.com/2014/06/antoinuehunter.jpeg</t>
  </si>
  <si>
    <t>North Poinsettia Avenue and East Palmer Street</t>
  </si>
  <si>
    <t>90221</t>
  </si>
  <si>
    <t>Hunter refused to pull over after possibly driving intoxicated. He then reportedly grabbed for a gun. Officers then shot and killed Hunter. Later, it was found that Hunter did not shoot a gun but rather the officer did, prompting another officer to shoot Hunter. "My son is no angel, but he didn't carry a gun and he didn't deserve to die like this," said Hunter's mother, Martha Willis.</t>
  </si>
  <si>
    <t>http://www.nbclosangeles.com/news/local/Compton-LA-Los-Angeles-County-Sheriffs-Deputy-Shooting-264555461.html</t>
  </si>
  <si>
    <t>Lavon King</t>
  </si>
  <si>
    <t>http://imgick.nj.com/home/njo-media/pgmain/img/jersey-journal/photo/2014/06/26/man-shot-on-ege-avenue-in-jersey-city-june-24-2014-589d06b6f9a402ce.jpg</t>
  </si>
  <si>
    <t>119-121 Ege Ave</t>
  </si>
  <si>
    <t>07304</t>
  </si>
  <si>
    <t>A pair of Jersey City police officers from the Emergency Services Unit spotted King on Kearney Avenue at approximately 4:30 p.m. While one officer pursued him on foot, another followed in a police vehicle. King was tracked to an Ege Avenue backyard, where he entered an unlocked shed. As one of the officers entered the shed with his firearm drawn, King struggled with the officer. At that point, the officer fired one round, striking the 20-year-old in his chest. Witness could hear Lavon say 'Why did you shoot me?' after being shot.</t>
  </si>
  <si>
    <t>Stanley Leger</t>
  </si>
  <si>
    <t>http://www.theexaminer.com/sites/default/files/Leger,%20Stanley.jpg</t>
  </si>
  <si>
    <t>4870 Galveston Street</t>
  </si>
  <si>
    <t>Beaumont</t>
  </si>
  <si>
    <t>77703</t>
  </si>
  <si>
    <t>Beaumont Police Department</t>
  </si>
  <si>
    <t>Landlord and taxidermist Leger had filed a complaint against destructive tenants, and in return received death threats. Police investigating a report that he'd filed a .22 rifle at one tenant found Leger -- according to their narrative -- leveling the same rifle at them. He was shot to death. Witnesses disputed police accounts; the police confiscated private video of the event.</t>
  </si>
  <si>
    <t>http://www.12newsnow.com/story/25930868/family-of-elderly-man-shot-and-killed-by-beaumont-police-officer-demands-third-party-investigation</t>
  </si>
  <si>
    <t>Samuel Shields</t>
  </si>
  <si>
    <t>http://media.nbcwashington.com/images/698*349/20140622+Jail.jpg</t>
  </si>
  <si>
    <t>13400 Dille Drive</t>
  </si>
  <si>
    <t>Upper Marlboro</t>
  </si>
  <si>
    <t>Officials are investigating after a D.C. man died in the Prince George's County Jail during processing. Samuel Shields was brought to the Prince George's County Jail by Metro Transit police around 12:30 p.m. after being arrested and pepper sprayed over a $2 bus fare dispute.</t>
  </si>
  <si>
    <t>Juan May</t>
  </si>
  <si>
    <t>http://kdfw.images.worldnow.com/images/4075390_G.jpg</t>
  </si>
  <si>
    <t>800 E Hwy 67</t>
  </si>
  <si>
    <t>Duncanville</t>
  </si>
  <si>
    <t>75137</t>
  </si>
  <si>
    <t>May was shot by an off-duty police sergeant after the two got in an argument and then a fight in the parking lot of a restaurant. The shooting is still under investigation, but the sergeant has returned to work.</t>
  </si>
  <si>
    <t>Ray Junior Barber</t>
  </si>
  <si>
    <t>http://i.imgur.com/EHHPZUF.png</t>
  </si>
  <si>
    <t>536 Cynthia Rd</t>
  </si>
  <si>
    <t>27406</t>
  </si>
  <si>
    <t>Police arrived after Barber's wife called and reported a domestic disturbance, and that her husband had barricaded himself in a shed with a gun. Barber was fatally shot after pointing a gun at officers.</t>
  </si>
  <si>
    <t>http://www.wfmynews2.com/story/news/local/2014/06/22/man-barricaded-in-pleasant-garden-home/11241325/</t>
  </si>
  <si>
    <t>Jose Cardenas Beltran</t>
  </si>
  <si>
    <t>http://cbsnews2.cbsistatic.com/hub/i/r/2014/06/23/41706df4-c728-4497-b944-e50739b30717/thumbnail/620x350/2aa20601154a171960c608ca6686f37a/untitled.png</t>
  </si>
  <si>
    <t>4202 Cold Creek Way</t>
  </si>
  <si>
    <t>95838</t>
  </si>
  <si>
    <t>Officers called to scene of drunk man threatening his brother with a knife. Officers demanded suspect drop the knife, and opened fire when he threatened to throw it at them.</t>
  </si>
  <si>
    <t>http://www.sacbee.com/news/local/crime/article2606125.html</t>
  </si>
  <si>
    <t>James Moala Kofu</t>
  </si>
  <si>
    <t>http://bloximages.chicago2.vip.townnews.com/highlandnews.net/content/tncms/assets/v3/editorial/f/78/f78ef8ee-fae3-11e3-aa01-001a4bcf887a/53a83c0272a69.image.jpg</t>
  </si>
  <si>
    <t>800 blk. N. Davidson Avenue</t>
  </si>
  <si>
    <t>Police investigating a murder were approached by two armed men, one of whom pointed a sawed-off rifle at the officers. Officers shot and killed one of the men.</t>
  </si>
  <si>
    <t>http://ktla.com/2014/06/21/armed-man-shot-killed-by-officers-second-man-arrested-san-bernardino-police/</t>
  </si>
  <si>
    <t>Timothy Ray Bowling</t>
  </si>
  <si>
    <t>http://bloximages.chicago2.vip.townnews.com/bismarcktribune.com/content/tncms/assets/v3/editorial/2/83/2838f7ba-fb20-11e3-b842-001a4bcf887a/53a8a0eb1a95b.preview-620.jpg</t>
  </si>
  <si>
    <t>1000 Carroll Street</t>
  </si>
  <si>
    <t>Dickinson</t>
  </si>
  <si>
    <t>58601</t>
  </si>
  <si>
    <t>A stranger in town, Bowling was tracked by local and county police by his driving a stolen pickup truck connected to a string of robberies. After a high-speed chase they sought him at the house of a known acquaintance. He was fatally shot when producing a handgun while attempting to escape.</t>
  </si>
  <si>
    <t>http://bismarcktribune.com/news/local/crime-and-courts/man-shot-by-dickinson-police-identified/article_abcf64f2-fb1f-11e3-a966-001a4bcf887a.html</t>
  </si>
  <si>
    <t>Douglas M. Seaton</t>
  </si>
  <si>
    <t>http://www.tristatehomepage.com/media/lib/190/a/c/1/ac146c7e-843c-431d-9d7b-347554720458/Story.jpg</t>
  </si>
  <si>
    <t>200 Hall St</t>
  </si>
  <si>
    <t>Madisonville</t>
  </si>
  <si>
    <t>42431</t>
  </si>
  <si>
    <t>Seaton led officer on a car chase. When he stopped, he had a gun, would not respond to orders and was subsequently shot and killed.</t>
  </si>
  <si>
    <t>http://www.tristatehomepage.com/story/d/story/update-name-released-in-officer-involved-shooting/14655/maJ6ZyNMlUS0pnzhg841vA</t>
  </si>
  <si>
    <t>John Kapeluch</t>
  </si>
  <si>
    <t>37692 Lola Drive</t>
  </si>
  <si>
    <t>Sterling Heights</t>
  </si>
  <si>
    <t>48312</t>
  </si>
  <si>
    <t>Sterling Heights Police Department</t>
  </si>
  <si>
    <t>Police received a call from a family member that an armed Kapeluch was allegedly assaulting his wife in their home. When police arrived, he was standing over her with a rifle. Police ordered Kapeluch to drop the weapon, instead he pointed it at them, and police open fired, killing Kapeluch. Kapeluch's wife had recently applied for divorce and moved out of the house with the couple's daughter.</t>
  </si>
  <si>
    <t>http://www.macombdaily.com/general-news/20140621/update-man-shot-by-sterling-heights-police-assaulted-wife-carried-rifle-chief-says</t>
  </si>
  <si>
    <t>Ismael Sadiq</t>
  </si>
  <si>
    <t>http://kdfw.images.worldnow.com/images/4022777_G.jpg</t>
  </si>
  <si>
    <t>3347 West Walnut Street</t>
  </si>
  <si>
    <t>75042</t>
  </si>
  <si>
    <t>Suspect charged police officer with a knife.</t>
  </si>
  <si>
    <t>Denzel Curnell</t>
  </si>
  <si>
    <t>http://www.postandcourier.com/storyimage/CP/20140718/PC16/140719342/EP/1/1/EP-140719342.jpg&amp;Maxw=620&amp;q=85</t>
  </si>
  <si>
    <t>108 N Romney St</t>
  </si>
  <si>
    <t>29403</t>
  </si>
  <si>
    <t>Charleston Police Department</t>
  </si>
  <si>
    <t>After a brief stint in basic training and Army discharge, Curnell took a pistol and walked to his sister's apartment house nearby. Detained by the police as suspicious Curnell was made to lie down at gunpoint. As the officer reholstered his pistol, according to the officer, Curnell shot himself in the head. The reported forensic evidence was largely consistent with that story but doubts remained with the family.</t>
  </si>
  <si>
    <t>http://www.charlestoncitypaper.com/charleston/gaps-remain-in-the-denzel-curnell-suicide-narrative/Content?oid=4957874</t>
  </si>
  <si>
    <t>Ray Dakota Scholfield</t>
  </si>
  <si>
    <t>http://www.krcrtv.com/image/view/-/26643012/highRes/2/-/d876rh/-/Ray-Dakota-Scholfield--33713-jpg.jpg</t>
  </si>
  <si>
    <t>1616 Willis Street</t>
  </si>
  <si>
    <t>The suspect stabbed his cousin to death with a knife, then came at officers with the weapon.</t>
  </si>
  <si>
    <t>http://www.redding.com/news/local-news/redding-police-identify-officers-involved-in-fatal-shooting_35014164</t>
  </si>
  <si>
    <t>1500 Post Oak Drive</t>
  </si>
  <si>
    <t>30021</t>
  </si>
  <si>
    <t>Officers responded to a call for a man making noise at an apartment complex. When they confronted him, he allegedly pulled a replica pistol out of a holster and pointed it at them. One of the officers fired several shots; the man died at a hospital a short time later. Police stated that " the suspect had several knives with him.”</t>
  </si>
  <si>
    <t>http://patch.com/georgia/dunwoody/man-killed-after-aiming-fake-pistol-at-dekalb-police</t>
  </si>
  <si>
    <t>Ernest Wayne Rials</t>
  </si>
  <si>
    <t>http://www.messenger-news.com/wp-content/uploads/2014/06/obit-Ernest-Wayne-Rials-pic.jpg</t>
  </si>
  <si>
    <t>2230 S US Highway 281</t>
  </si>
  <si>
    <t>76531</t>
  </si>
  <si>
    <t>Rials's ex-wife called police after he tried and failed to shoot her at her place of employment. Police found Rials at his home and briefly exchanged gunfire with the 70-year-old before fatally shooting him.</t>
  </si>
  <si>
    <t>http://www.kwkt.com/news/hamilton-police-involved-shooting-resulting-one-man-dead</t>
  </si>
  <si>
    <t>Jason T. Van Buskirk</t>
  </si>
  <si>
    <t>http://bloximages.newyork1.vip.townnews.com/omaha.com/content/tncms/assets/v3/editorial/b/4d/b4d7467d-d36e-5cd6-83f3-5292f8e6e4fd/53a7865c04c54.image.jpg</t>
  </si>
  <si>
    <t>U.S. Highway 30 and County Road 10</t>
  </si>
  <si>
    <t>Schuyler</t>
  </si>
  <si>
    <t>68661</t>
  </si>
  <si>
    <t>Colfax</t>
  </si>
  <si>
    <t>Nebraska State Patrol, Columbus Police Department, Schuyler Police Department</t>
  </si>
  <si>
    <t>Police received reports about an armed man pursuing a woman and found Van Buskirk in his vehicle near the scene. Van Buskirk shot at the officers, the officers fired back, and Van Buskirk fled, leading police on a chase across several jurisdictions. Van Buskirk's vehicle was ultimately disabled after he crashed into two patrol cars. Police open fired and killed Van Buskirk at the accident scene. Grand Jury cleared officers of wrongdoing.</t>
  </si>
  <si>
    <t>http://www.omaha.com/news/metro/columbus-nebraska-man-fatally-shot-by-police-had-crime-in/article_9d98d163-6560-5983-982b-6fdcc0bc7865.html</t>
  </si>
  <si>
    <t>Darrell Haymon</t>
  </si>
  <si>
    <t>2495 Hope Mills Rd</t>
  </si>
  <si>
    <t>Hope Mills</t>
  </si>
  <si>
    <t>28304</t>
  </si>
  <si>
    <t>Hope Mills Police Department</t>
  </si>
  <si>
    <t>Haymon was stabbing his wife when police arrived. Haymon, then put the knife up to his wife's throat, officers then shot and killed Haymon.</t>
  </si>
  <si>
    <t>http://myfox8.com/2014/06/19/police-shoot-kill-man-in-nc-parking-lot/</t>
  </si>
  <si>
    <t>Jason Carulla</t>
  </si>
  <si>
    <t>http://media3.s-nbcnews.com/i/newscms/2014_25/523641/140621-jason-carulla-1835_3186a9343b1aeb38d1dfe1b619a83560.jpg</t>
  </si>
  <si>
    <t>3099 NW 79th St</t>
  </si>
  <si>
    <t>33147</t>
  </si>
  <si>
    <t>Coral Gables Police Department</t>
  </si>
  <si>
    <t>A joint-police stolen car sting attempted to apprehend Carulla in a stolen vehicle. When a Sergeant pulled his unmarked vehicle behind Carulla, police say he rammed the police car. One or two officers fired, shooting Carulla five times.</t>
  </si>
  <si>
    <t>http://www.local10.com/news/funeral-held-for-teenager-shot-by-police-in-stolen-vehicle-sting/26627318</t>
  </si>
  <si>
    <t>Carlos Hernandez</t>
  </si>
  <si>
    <t>1026 Ruiz Street</t>
  </si>
  <si>
    <t>78207</t>
  </si>
  <si>
    <t>Officers Joseph Gorena and Juan Hernandez responded to a call from Fidencio Soto, 39, who stated that Hernandez had shot him in the head (non-lethal injury). Police say that when they arrived, Hernandez, wheelchair bound from being shot by police at 16, refused to put his hands up and pointed his loaded, cocked handgun at them. They shot him several times in the torso.</t>
  </si>
  <si>
    <t>http://www.mysanantonio.com/news/local/article/Officers-shoot-to-death-wheelchair-bound-gunman-5566205.php</t>
  </si>
  <si>
    <t>Paul Westbrook</t>
  </si>
  <si>
    <t>Marysville Blvd Ivy St Alley and Harris Ave</t>
  </si>
  <si>
    <t>Two officers say that after a "proactive stop" of Westbrook, they determined he had warrants. He ran and they chased him into an alley, where he allegedly pulled a knife. One of the officers shot and killed him.</t>
  </si>
  <si>
    <t>http://www.sacbee.com/news/local/crime/article2602397.html</t>
  </si>
  <si>
    <t>William Lee Workman Jr.</t>
  </si>
  <si>
    <t>https://scontent-lax.xx.fbcdn.net/hphotos-xfp1/v/t1.0-9/10409370_10204377842235148_2889348193902052018_n.jpg?oh=c9f2a1215609683f57cbde02bc0e42c8&amp;oe=55A792DE</t>
  </si>
  <si>
    <t>4365 Bayberry Drive</t>
  </si>
  <si>
    <t>Little River</t>
  </si>
  <si>
    <t>29566</t>
  </si>
  <si>
    <t>Officers went to Workman's home to serve a warrant on a third degree sexual assault charge. While attempting to handcuff him, one officer shot and killed him for an unknown reason in the doorway of his home. Workman's wife and two children may have been in the house at the time.</t>
  </si>
  <si>
    <t>http://www.carolinalive.com/news/story.aspx?id=1106578</t>
  </si>
  <si>
    <t>Thomas D. Rogers</t>
  </si>
  <si>
    <t>http://ktul.images.worldnow.com/images/4021382_G.jpg</t>
  </si>
  <si>
    <t>1750 Village Lane S.E.</t>
  </si>
  <si>
    <t>Port Orchard</t>
  </si>
  <si>
    <t>98366</t>
  </si>
  <si>
    <t>Kitsap</t>
  </si>
  <si>
    <t>Port Orchard Police Department</t>
  </si>
  <si>
    <t>Police were serving arrest warrant on suspect, who charged officers with a knife.</t>
  </si>
  <si>
    <t>Devaron Ricardo Wilburn</t>
  </si>
  <si>
    <t>http://media.charlotteobserver.com/smedia/2014/06/19/06/39/14bd9L.Em.138.jpeg</t>
  </si>
  <si>
    <t>7700 N Tryon St</t>
  </si>
  <si>
    <t>28262</t>
  </si>
  <si>
    <t>Wilburn allegedly shot at officers a few days prior. Officers found Wilburn, the confrontation ended with Wilburn being shot and killed.</t>
  </si>
  <si>
    <t>http://www.charlotteobserver.com/2014/06/19/4988816/police-kill-man-wanted-for-firing.html#.VFQM04c4Rg0</t>
  </si>
  <si>
    <t>William Parisio</t>
  </si>
  <si>
    <t>http://media.nj.com/union_impact/photo/15236463-large.jpg</t>
  </si>
  <si>
    <t>15 Elizabethtown Plaza</t>
  </si>
  <si>
    <t>Parisio died after being found in his jail cell with injuries. Authorities have never given specifics about the injuries, but the injuries were a contributing factor to his death.</t>
  </si>
  <si>
    <t>http://www.nj.com/union/index.ssf/2014/06/restraint_in_union_county_jail_contributed_to_inmate_death_authorities_say_mans_mother_claims_he_was.html</t>
  </si>
  <si>
    <t>John Schneider</t>
  </si>
  <si>
    <t>http://media.cmgdigital.com/shared/lt/lt_cache/thumbnail/188/img/photos/2014/06/16/7e/56/suspect.PNG</t>
  </si>
  <si>
    <t>2999 Lawrenceville Hwy</t>
  </si>
  <si>
    <t>Gwinnett Police Department</t>
  </si>
  <si>
    <t>Schneider robbed a bank, and was shot and killed after a he attacked an officer.</t>
  </si>
  <si>
    <t>http://patch.com/georgia/loganville/update-officer-shot-killed-robbery-suspect-as-man-attacked-him</t>
  </si>
  <si>
    <t>Joshua Stand</t>
  </si>
  <si>
    <t>http://kotv.images.worldnow.com/images/4432858_G.jpg</t>
  </si>
  <si>
    <t>E 160 Rd and U.S. 169</t>
  </si>
  <si>
    <t>74027</t>
  </si>
  <si>
    <t>Nowata</t>
  </si>
  <si>
    <t>Stand had a knife and allegedly charged at an officer. The officer then shot and killed Stand.</t>
  </si>
  <si>
    <t>http://www.newson6.com/story/26237548/community-shocked-ohp-trooper-involved-in-fatal-shooting-back-on-duty</t>
  </si>
  <si>
    <t>Eric Harris</t>
  </si>
  <si>
    <t>http://media2.abc2news.com/photo/2014/06/26/Candlelight_vigil_held_for_man_shot_by_p_1743830004_6540131_ver1.0_640_480.jpg</t>
  </si>
  <si>
    <t>5000 Beaufort Ave</t>
  </si>
  <si>
    <t>21215</t>
  </si>
  <si>
    <t>Two suspects were shooting at each other when an officer arrived. The officer fired at them, killing Harris.</t>
  </si>
  <si>
    <t>http://www.baltimoresun.com/news/maryland/crime/blog/bs-md-ci-police-involved-shooting-20140615-story.html</t>
  </si>
  <si>
    <t>Gregory Johnson</t>
  </si>
  <si>
    <t>2451 Center Street</t>
  </si>
  <si>
    <t>Johnson was a resident at an elder care facility who became angry and agitated and armed himself with a knife. The facility placed a 911 call, and when deputies arrived, Johnson was standing in the driveway with the knife. The deputies confronted Johnson, he allegedly charged them with the knife, and they open fired and killed him.</t>
  </si>
  <si>
    <t>http://www.crimevoice.com/knife-wielding-elderly-man-is-shot-killed-by-police/</t>
  </si>
  <si>
    <t>Anthony Skyles Jr.</t>
  </si>
  <si>
    <t>http://www.clickorlando.com/image/view/-/26502788/highRes/2/-/ho0cnc/-/Anthony-Skyles-jpg.jpg</t>
  </si>
  <si>
    <t>285 Lorraine Dr.</t>
  </si>
  <si>
    <t>Altamonte Springs</t>
  </si>
  <si>
    <t>32714</t>
  </si>
  <si>
    <t>Seminole</t>
  </si>
  <si>
    <t>Altamonte Springs Police Department</t>
  </si>
  <si>
    <t>A family member called for help to have him Baker Acted (checked for mental welfare), the cop came up and shot him from about 20 feet away. The officer said Skyles confronted him with a knife immediately upon his arrival.</t>
  </si>
  <si>
    <t>http://www.clickorlando.com/news/officer-kills-knife-wielding-man/26498722</t>
  </si>
  <si>
    <t>Jonathan K. Whitehead</t>
  </si>
  <si>
    <t>http://media.cmgdigital.com/shared/lt/lt_cache/thumbnail/400/img/photos/2014/06/19/db/70/whiteheadhorcherweb.JPG</t>
  </si>
  <si>
    <t>Ship Canal Bridge, I-5</t>
  </si>
  <si>
    <t>98195</t>
  </si>
  <si>
    <t>Washington State Patrol</t>
  </si>
  <si>
    <t>In Seattle, Washington, on the Ship Canal Bridge on Interstate 5 southbound, Jonathan K. Whitehead, 33, died from multiple gunshot wounds after he lunged at police with a knife who were forced to shoot him as a deadly threat. He skidded his Chevy S10 pickup sideways to a stop across the 2 center lanes, appearing insane and agitated, and drew a large green circle with spray paint across 2 lanes after setting his truck on fire. After he was shot, they found improvised Molotov cocktail fire bombs in his truck. The freeway was closed for several hours. His mother later said that he was painting a circle of "truth", and was hooked on prescription methadone. and believes her son was going through drug withdrawal. “It wasn't so much that he was coming after the officers-- as protecting himself to stay in the circle of truth.” Her son had been struggling with drug use to combat pain since he beat leukemia at a very young age.</t>
  </si>
  <si>
    <t>Jason Harrison</t>
  </si>
  <si>
    <t>http://static1.dallasblack.com/Articles%5CJasonHarrison_article.jpg</t>
  </si>
  <si>
    <t>200 Glencairn Drive</t>
  </si>
  <si>
    <t>75232</t>
  </si>
  <si>
    <t>Mother of mentally ill man called 911. Video footage shows Harrison's mother opening the door to the awaiting officers while Harrison appears behind her twiddling a screwdriver. The officers immediately demanded he drop the tool and within seconds fired several shots, killing Harrison before he was able to react.</t>
  </si>
  <si>
    <t>http://www.wfaa.com/news/crime/Man-shot-killed-by-Dallas-officer--263168561.html</t>
  </si>
  <si>
    <t>Victor Hernandez</t>
  </si>
  <si>
    <t>700 7th St</t>
  </si>
  <si>
    <t>Hernandez reportedly had a gun. Officers contacted him and shots ensued, ending in Hernandez's death.</t>
  </si>
  <si>
    <t>http://www.greeleytribune.com/news/11822434-113/police-greeley-gunfire-injured</t>
  </si>
  <si>
    <t>Jason A. Moore</t>
  </si>
  <si>
    <t>1110 N Main St</t>
  </si>
  <si>
    <t>East Peoria</t>
  </si>
  <si>
    <t>61611</t>
  </si>
  <si>
    <t>Tazewell</t>
  </si>
  <si>
    <t>Moore shot and killed his ex-wife and boyfriend at her High School reunion. An off-duty FBI agent shot and killed Moore in response.</t>
  </si>
  <si>
    <t>http://www.pjstar.com/article/20140614/NEWS/140619439</t>
  </si>
  <si>
    <t>Frank Rhodes</t>
  </si>
  <si>
    <t>12400 Holliman Cir</t>
  </si>
  <si>
    <t>Rhodes reportedly fired gunshots. When officers arrived it ended with Rhodes being shot and killed.</t>
  </si>
  <si>
    <t>http://www.wlox.com/story/25778330/gulfport-shooting-victims-family-speaks-out</t>
  </si>
  <si>
    <t>Joe Hernandez</t>
  </si>
  <si>
    <t>2000 Loving Ave</t>
  </si>
  <si>
    <t>76164</t>
  </si>
  <si>
    <t>Hernandez was a burglary suspect and he pointed a gun at officers. Hernandez was shot and killed.</t>
  </si>
  <si>
    <t>http://www.star-telegram.com/2014/06/16/5904394/teen-fatally-shot-by-fort-worth.html</t>
  </si>
  <si>
    <t>Anthony Gustave Nelson</t>
  </si>
  <si>
    <t>40</t>
  </si>
  <si>
    <t>http://www.carsonnow.org/sites/www.carsonnow.org/files/71299-washoedoub1_resized.jpg</t>
  </si>
  <si>
    <t>Sand Mountain Recreation Area</t>
  </si>
  <si>
    <t>Fallon</t>
  </si>
  <si>
    <t>89406</t>
  </si>
  <si>
    <t>Churchill</t>
  </si>
  <si>
    <t>Carson City Sheriff’s Office, Nevada Highway Patrol</t>
  </si>
  <si>
    <t>Nelson was a suspect in up to three murders. He led police on a high-speed chase to Sand Mountain Recreation Area, 25 miles east of Fallon, where he shot it out with police and was killed.</t>
  </si>
  <si>
    <t>http://www.carsonnow.org/story/06/18/2014/suspect-washoe-valley-killings-recently-released-prison-tied-arizona-murder</t>
  </si>
  <si>
    <t>Rolando Martinez</t>
  </si>
  <si>
    <t>http://www.mynews13.com/content/dam/news/images/2014/06/2/rolando-martinez-mugshot-061314.jpg</t>
  </si>
  <si>
    <t>Douglas Ave &amp; W Highland St</t>
  </si>
  <si>
    <t>Sanford Police Department</t>
  </si>
  <si>
    <t>Rolando attempted a carjacking at a Kangaroo gas station but failed when his would-be-victim fought him off. The second attempt, taking a truck from a Domino's pizza driver, succeeded, and he led police on a high-speed chase with multiple accidents. Ultimately, with local officers in hot pursuit and with guns drawn, he struck a tree and died of his crash injuries.</t>
  </si>
  <si>
    <t>http://www.mynews13.com/content/news/cfnews13/news/article.html/content/news/articles/cfn/2014/6/12/suspect_dies_in_semi.html</t>
  </si>
  <si>
    <t>Nicholas Glendon Davis</t>
  </si>
  <si>
    <t>http://lintvkoin.files.wordpress.com/2014/06/nicholas-glendon-davis-06132014.jpg?w=640</t>
  </si>
  <si>
    <t>Southeast Foster Road and Springwater Corridor trail</t>
  </si>
  <si>
    <t>97266</t>
  </si>
  <si>
    <t>Obviously mentally ill man allegedly wielded crowbar and police shot him.</t>
  </si>
  <si>
    <t>http://www.oregonlive.com/portland/index.ssf/2014/07/portland_police_officer_who_fa.html</t>
  </si>
  <si>
    <t>Travis Utley</t>
  </si>
  <si>
    <t>http://lintvkoin.files.wordpress.com/2014/06/travis-blake-utley-06122014.jpg?w=640</t>
  </si>
  <si>
    <t>SE Johnson Creek Blvd &amp; SE 32nd Ave</t>
  </si>
  <si>
    <t>Milwaukie</t>
  </si>
  <si>
    <t>97222</t>
  </si>
  <si>
    <t>Milwaukie Police Department</t>
  </si>
  <si>
    <t>With outstanding warrants, Utley fled a traffic stop and was chased for about a mile, then forcibly stopped by local police with a PIT maneuver. Utley tried to ram a cruiser with his vehicle and was fatally shot.</t>
  </si>
  <si>
    <t>http://koin.com/2014/06/12/man-killed-during-traffic-stop-tried-to-flee-arrest/</t>
  </si>
  <si>
    <t>Timothy Hill</t>
  </si>
  <si>
    <t>http://wvva.images.worldnow.com/images/3960263_G.jpg</t>
  </si>
  <si>
    <t>Kegley Trestle Road</t>
  </si>
  <si>
    <t>Kegley</t>
  </si>
  <si>
    <t>24740</t>
  </si>
  <si>
    <t>Timothy's mother reports that the officer harassed Timothy prior to Timothy's death. On night of incident, officer claims that Timothy was vandalizing his property. Officer chased Timothy and a struggle began. A bystander intervened. At some point, officer used mace. Bystander testimony changed over time and some sources say that bystander was threatened by officer that he must corroborate with officer's story or meet same fate as Timothy. Bystander originally claimed that officer was standing over Timothy when Timothy was shot and unofficial sources at time of death say that Timothy was shot in the back of the head, twice. I have no information about official autopsy report. Incident occurred in small town and was said to create quite a stir there with most of the town siding with Timothy. Officer was reported to have harassed and threatened several people who drove down the road that officer lives on for months after Timothy's death.</t>
  </si>
  <si>
    <t>http://www.wvgazette.com/article/20140616/GZ01/140619437</t>
  </si>
  <si>
    <t>Larry Jerrils</t>
  </si>
  <si>
    <t>http://ktbs.images.worldnow.com/images/4121137_G.jpg</t>
  </si>
  <si>
    <t>2000 Airline Drive</t>
  </si>
  <si>
    <t>Bossier City Police Department</t>
  </si>
  <si>
    <t>Employee at Payless Shoe Store reported an armed robbery, using a silent alarm. Police responded as Jerrils was exiting store. He ran, they gave chase then shot him.</t>
  </si>
  <si>
    <t>http://www.ktbs.com/story/25937269/bossier-city-officer-involved-shooting-justified</t>
  </si>
  <si>
    <t>Miguel Moreno Torrez</t>
  </si>
  <si>
    <t>Tulare Avenue</t>
  </si>
  <si>
    <t>93721</t>
  </si>
  <si>
    <t>Police say a man who officers shot and killed Wednesday night in Southwest Fresno was intoxicated and not willing to back down. The police chief says the suspect had a large carving knife inches away from his brother and refused to put it down. He was shot and killed.</t>
  </si>
  <si>
    <t>http://abc30.com/news/police-say-they-shot-and-killed-man-for-trying-to-kill-his-brother/110882/</t>
  </si>
  <si>
    <t>Steven Kellog Neuroth</t>
  </si>
  <si>
    <t>125 E Commercial St </t>
  </si>
  <si>
    <t>Willits</t>
  </si>
  <si>
    <t>Mendocino County Sheriff's Office</t>
  </si>
  <si>
    <t>Neuroth allegedly acted paranoid and was uncooperative when he was physically and unjustly restrained, which allegedly led to asphyxia and resulted in his death even though he didn't pose a significant threat to those around him.</t>
  </si>
  <si>
    <t>http://www.ukiahdailyjournal.com/news/ci_27248614/claim-filed-against-mendocino-county-june-death-inmate</t>
  </si>
  <si>
    <t>Ryan Marone</t>
  </si>
  <si>
    <t>http://www.reviewjournal.com/sites/default/files/styles/large/public/field/media/web1_ryan_marone_web_2.jpg?itok=A0RaymQ8</t>
  </si>
  <si>
    <t>Horizon Ridge Parkway and Gibson Road</t>
  </si>
  <si>
    <t>89012</t>
  </si>
  <si>
    <t>Marone was firing a gun inside. He then went outside and fired at officers, resulting in officers retuning fire, killing Marone.</t>
  </si>
  <si>
    <t>http://www.reviewjournal.com/news/crime-courts/henderson-police-officer-wounded-suspect-killed-morning-shooting</t>
  </si>
  <si>
    <t>Travis Tellone</t>
  </si>
  <si>
    <t>https://2dbdd5116ffa30a49aa8-c03f075f8191fb4e60e74b907071aee8.ssl.cf1.rackcdn.com/1573398_1403232947.6009.jpg</t>
  </si>
  <si>
    <t>Cross Hill Avenue and Corbalis Place</t>
  </si>
  <si>
    <t>Yonkers</t>
  </si>
  <si>
    <t>10703</t>
  </si>
  <si>
    <t>Yonkers Police Department</t>
  </si>
  <si>
    <t>Tellone was suspect of breaking into cars when he got into a struggle with officers. During the struggle he suffered an apparent heart attack and died.</t>
  </si>
  <si>
    <t>http://www.lohud.com/story/news/crime/2014/06/13/yonkers-police-identify-man-died-foot-chase/10416385/</t>
  </si>
  <si>
    <t>Broderick Johnson</t>
  </si>
  <si>
    <t>http://media.cmgdigital.com/shared/img/photos/2014/06/11/ef/41/Chamblee.jpg</t>
  </si>
  <si>
    <t>4863 Buford Hwy NE</t>
  </si>
  <si>
    <t>Chamblee Police Department</t>
  </si>
  <si>
    <t>Johnson entered an AutoZone store and attempted to rob it after tying up workers. A SWAT team was called after a worker was able to escape, and Johnson was fatally shot after ignoring police orders.</t>
  </si>
  <si>
    <t>http://www.11alive.com/story/news/local/chamblee/2014/06/10/chamblee-autozone-robbery/10269415/</t>
  </si>
  <si>
    <t>Michael V. Gutierrez</t>
  </si>
  <si>
    <t>500 S Hunts Ln</t>
  </si>
  <si>
    <t>Colton Police Department</t>
  </si>
  <si>
    <t>Gutierrez was shot and killed by police after engaging in an altercation that left two officers injured. A gun was recovered at the scene.</t>
  </si>
  <si>
    <t>http://www.pe.com/articles/police-696161-officers-officer.html</t>
  </si>
  <si>
    <t>John Thomas</t>
  </si>
  <si>
    <t>http://www.fatalencounters.org/wp-content/uploads/2013/10/JohnThomas.jpg</t>
  </si>
  <si>
    <t>600 Old Exeter Rd.</t>
  </si>
  <si>
    <t>Cassville</t>
  </si>
  <si>
    <t>65625</t>
  </si>
  <si>
    <t>Barry</t>
  </si>
  <si>
    <t>Cassville Police Department</t>
  </si>
  <si>
    <t>Thomas attacked Officer Donald Privett with a metal pipe. The officer then fired his weapon. Thomas died on the way to a Springfield hospital. The officer was taken to the hospital in Cassville for his injuries, and was treated and released.</t>
  </si>
  <si>
    <t>Earl Cranston Harris</t>
  </si>
  <si>
    <t>35 Mistletoe Road</t>
  </si>
  <si>
    <t>Ashland</t>
  </si>
  <si>
    <t>97520</t>
  </si>
  <si>
    <t>Jackson County Sheriff's Office</t>
  </si>
  <si>
    <t>Deputies were serving an eviction notice when Harris retreated to a bedroom. He came out with a shotgun. Deputies shot and killed him.</t>
  </si>
  <si>
    <t>http://www.oregonlive.com/pacific-northwest-news/index.ssf/2014/06/deputies_kill_armed_73-year-ol.html</t>
  </si>
  <si>
    <t>Roylee Vell Dixon</t>
  </si>
  <si>
    <t>http://media.al.com/news_tuscaloosa_impact/photo/15173473-small.jpeg</t>
  </si>
  <si>
    <t>Shadyhill Road</t>
  </si>
  <si>
    <t>35406</t>
  </si>
  <si>
    <t>Tuscaloosa County Sheriff's Office</t>
  </si>
  <si>
    <t>After shooting his shotgun inside a neighbors house, Dixon was addressed by a deputy to drop his weapon. Dixon fired at the deputy. The deputy responded by shooting and killing Dixon.</t>
  </si>
  <si>
    <t>http://www.al.com/news/tuscaloosa/index.ssf/2014/06/tuscaloosa_deputy_kills_moundv.html</t>
  </si>
  <si>
    <t>Roc Eugene LaRue</t>
  </si>
  <si>
    <t>http://kwtv.images.worldnow.com/images/25733871_BG3.jpg</t>
  </si>
  <si>
    <t>6115 N Shawnee Ave</t>
  </si>
  <si>
    <t>LaRue allegedly stole a car and lead police on a lengthy low-speed chase before pulling over and brandishing a knife. Police fatally shot the 33-year-old after tasing and firing bean bag rounds at him to no avail.</t>
  </si>
  <si>
    <t>http://newsok.com/shooting-reported-in-northwest-oklahoma-city/article/4894106</t>
  </si>
  <si>
    <t>John D. Tilley</t>
  </si>
  <si>
    <t>http://bloximages.newyork1.vip.townnews.com/omaha.com/content/tncms/assets/v3/editorial/f/bf/fbf65688-ee4b-11e3-82ce-0017a43b2370/53931aeca1c13.image.jpg</t>
  </si>
  <si>
    <t>S 38th St &amp; Gertrude St</t>
  </si>
  <si>
    <t>Bellevue</t>
  </si>
  <si>
    <t>68147</t>
  </si>
  <si>
    <t>Sarpy</t>
  </si>
  <si>
    <t>Bellevue Police Department</t>
  </si>
  <si>
    <t>Officers spotted a large black truck crashing into several parked cars on Emiline Street. The truck drove over the curb, through fences and through residential yards before ramming three police cruisers.</t>
  </si>
  <si>
    <t>http://m.omaha.com/news/year-old-killed-in-officer-involved-shooting-in-bellevue/article_55f2ae9e-ee4b-11e3-bde0-0017a43b2370.html?mode=jqm</t>
  </si>
  <si>
    <t>Troy Kirkpatrick</t>
  </si>
  <si>
    <t>http://lintvkrqe.files.wordpress.com/2014/06/investigation-complete-in-carlsbad-police-shooting.jpg</t>
  </si>
  <si>
    <t>1900 W Church St</t>
  </si>
  <si>
    <t>Carlsbad</t>
  </si>
  <si>
    <t>88220</t>
  </si>
  <si>
    <t>Eddy</t>
  </si>
  <si>
    <t>Carlsbad Police Department</t>
  </si>
  <si>
    <t>Kirkpatrick was being escorted by corrections officers to a doctor when he attacked the officers and escaped in a van. Police pursued him and shot the 24-year-old after he crashed into a fence behind an apartment complex.</t>
  </si>
  <si>
    <t>http://www.koat.com/news/man-dead-in-carlsbad-policeinvolved-shooting/26404488#!WQFrh</t>
  </si>
  <si>
    <t>Emanuel Jean-Baptiste</t>
  </si>
  <si>
    <t>http://t0.gstatic.com/images?q=tbn:ANd9GcTfiuNLmAfX7YH-sRK8noNlqyrbLNlD414crBLm-6fa60jWZZQldtCPwjK4</t>
  </si>
  <si>
    <t>6668-6798 Mississippi 63</t>
  </si>
  <si>
    <t>Moss Point</t>
  </si>
  <si>
    <t>39563</t>
  </si>
  <si>
    <t>Moss Point Police Department</t>
  </si>
  <si>
    <t>Jean-Baptiste was shot and killed by police after exhibiting "bizarre behavior" and confronting police officers.</t>
  </si>
  <si>
    <t>http://www.wlox.com/story/25729311/suspect-killed-by-moss-point-police-officer-identified</t>
  </si>
  <si>
    <t>Victor Villalpando</t>
  </si>
  <si>
    <t>http://bloximages.newyork1.vip.townnews.com/santafenewmexican.com/content/tncms/assets/v3/editorial/f/2a/f2a948ce-2d44-54e5-9ba9-c6c056254efb/539bbc61c6410.preview-300.jpg</t>
  </si>
  <si>
    <t>Riverside Drive and Corlett Road</t>
  </si>
  <si>
    <t>87567</t>
  </si>
  <si>
    <t>Española Police Department</t>
  </si>
  <si>
    <t>A disturbed teen calls 911 to report a suspicious person, points a cap gun at police and is killed.</t>
  </si>
  <si>
    <t>http://www.abqjournal.com/419923/news/state-police-boy-was-pointing-cap-gun-when-shot-by-officers-in-espanola.html</t>
  </si>
  <si>
    <t>Jerad Miller</t>
  </si>
  <si>
    <t>http://media.cmgdigital.com/shared/img/photos/2014/06/09/4b/5c/Jerad_Miller.jpg</t>
  </si>
  <si>
    <t>201 N. Nellis Blvd.</t>
  </si>
  <si>
    <t>89110</t>
  </si>
  <si>
    <t>Husband and wife ultra-conservative team attacked and killed two law enforcement officers and fled to Wal-Mart. The wife, Amanda, committed suicide after being shot. Police shot and killed Jerad Miller.</t>
  </si>
  <si>
    <t>Lonnie Flemming</t>
  </si>
  <si>
    <t>http://media.timesfreepress.com/img/photos/2014/06/09/Flemming_Lonnie_t607_t618.jpg?ba5b5b122dd3d37cc13d83e92a6a0ec0d5bfa32a</t>
  </si>
  <si>
    <t>Selma Avenue and Chestnut Street</t>
  </si>
  <si>
    <t>East Knoxville</t>
  </si>
  <si>
    <t>37914</t>
  </si>
  <si>
    <t>Flemming shot an officer more than once. The officer returned multiple shots, killing Flemming.</t>
  </si>
  <si>
    <t>Angela Beatrice Randolph</t>
  </si>
  <si>
    <t>10 Broadview Boulevard</t>
  </si>
  <si>
    <t>Glen Burnie</t>
  </si>
  <si>
    <t>Anne Arundel County Police Department</t>
  </si>
  <si>
    <t>Police Lt. T.J. Smith said when Turpin went to speak to that woman, she assaulted and tried to choke Turpin. The woman was identified as Angela Randolph, 38, of no fixed address.</t>
  </si>
  <si>
    <t>Daniel Best</t>
  </si>
  <si>
    <t>1355 W Guadalupe Rd</t>
  </si>
  <si>
    <t>85202</t>
  </si>
  <si>
    <t>Officers arriving to a domestic disturbance call found Best naked and arguing with his wife in an apartment courtyard. Best, who had cocaine in his system, struggled against officers and was tasered several times, and died several hours later.</t>
  </si>
  <si>
    <t>http://www.azcentral.com/story/news/local/gilbert/2014/06/08/gilbert-man-dies-following-police-confrontation/10202349/</t>
  </si>
  <si>
    <t>David Latham</t>
  </si>
  <si>
    <t>http://media.hamptonroads.com/cache/images/1526611.jpg</t>
  </si>
  <si>
    <t>400 Block West 30th St.</t>
  </si>
  <si>
    <t>23508</t>
  </si>
  <si>
    <t>On Friday night, family friend Michael Muhammad said Latham was arguing with his brother at the house. His mother called 911, and according to family members and Muhammad, she reported Latham was ill and needed help. Family members said one of the children in the house also called 911 and asked police dispatchers to “hurry up.” Family members said Latham answered the door when police arrived. They said Latham wouldn’t drop the knife, however, he did not threaten the officer. Latham was shot at least three times while in the doorway, according to the family. They also said he was shot once when he was on the ground.</t>
  </si>
  <si>
    <t>http://wavy.com/2014/06/06/shooting-reported-in-norfolk-3/</t>
  </si>
  <si>
    <t>Kristopher Barkus</t>
  </si>
  <si>
    <t>http://www.wtae.com/image/view/-/26384086/highRes/1/-/maxh/480/maxw/640/-/k8uubqz/-/Kristopher-Barkus.jpg</t>
  </si>
  <si>
    <t>September Dr</t>
  </si>
  <si>
    <t>16002</t>
  </si>
  <si>
    <t>Pennsylvania State Police Department</t>
  </si>
  <si>
    <t>Barkus pointed an air-powered pellet gun at an off-duty officer and then at his own head. The officer then shot and killed Barkus.</t>
  </si>
  <si>
    <t>http://www.wtae.com/news/da-trooper-justified-in-shooting-neighbor-to-death-in-butler-township/26743476</t>
  </si>
  <si>
    <t>Paul Alan L'Herault</t>
  </si>
  <si>
    <t>3300 South Nucla Way</t>
  </si>
  <si>
    <t>80013</t>
  </si>
  <si>
    <t>Unknown man was a veteran diagnosed with PTSD. He called his VA psychiatrist to report he was suicidal and mixing alcohol with his meds. Psychiatrist called police and asked for a welfare check. Police found man in his driveway holding a rifle. When the man allegedly pointed the rifle in their direction, an officer shot and killed the man. (suggest calling Aurora PD for man's name, it is not in media reports).</t>
  </si>
  <si>
    <t>http://www.thedenverchannel.com/news/local-news/aurora-police-investigate-officer-involved-shooting-on-s-nucla-way</t>
  </si>
  <si>
    <t>Dennis Ronald Marx</t>
  </si>
  <si>
    <t>http://www.gannett-cdn.com/-mm-/92b485b71c8f8d570056dd7142c9efaf43da99c7/c=0-0-3264-2448&amp;r=x513&amp;c=680x510/local/-/media/WXIA/WXIA/2014/06/06//1402083321000-Dennise-Ronald-Marx.JPG</t>
  </si>
  <si>
    <t>100 W Courthouse Square</t>
  </si>
  <si>
    <t>Cumming</t>
  </si>
  <si>
    <t>30040</t>
  </si>
  <si>
    <t>Forsyth</t>
  </si>
  <si>
    <t>Cumming Police Department, Forsyth County Sheriff's Department</t>
  </si>
  <si>
    <t>Heavily-armed gun trader Marx missed a court date at 9 a.m. but arrived at the courthouse an hour later with explosives, grenades and an assault rifle. He managed to wound a deputy in the leg before he was shot to death.</t>
  </si>
  <si>
    <t>http://www.wtsp.com/story/news/2014/06/06/officer-shot-outside-georgia-courthouse/10067345/</t>
  </si>
  <si>
    <t>Thomas L. White</t>
  </si>
  <si>
    <t>28</t>
  </si>
  <si>
    <t>http://media.krem.com/images/470*264/thomas+white+060914.jpg</t>
  </si>
  <si>
    <t>Dragonfly Drive</t>
  </si>
  <si>
    <t>Coeur d'Alene</t>
  </si>
  <si>
    <t>83815</t>
  </si>
  <si>
    <t>Kootenai</t>
  </si>
  <si>
    <t>Coeur d'Alene Police Department</t>
  </si>
  <si>
    <t>Coeur d'Alene Police Department were called for a report of a domestic disturbance. When the troopers found White in the backyard of a neighbor's home, he climbed onto the second-floor deck. The officers saw the suspect was holding a gun, and White ignored officers' commands to drop the gun and come down from the deck. That's when White pointed the gun at the officers, according to police. After the suspect again refused again to put the gun down, "mutual exchanges of shots were fired" and White was killed.</t>
  </si>
  <si>
    <t>http://www.ktvb.com/news/ISP-Man-killed-in-officer-involved-shooting-pointed-gun-at-troopers-fired-263488691.html</t>
  </si>
  <si>
    <t>Steven Jerold Thompson</t>
  </si>
  <si>
    <t>http://cbsmiami.files.wordpress.com/2014/06/thompson-mug.jpg</t>
  </si>
  <si>
    <t>4200 Northwest 19th Street</t>
  </si>
  <si>
    <t>Police received 911 call that two women had been robbed at gunpoint by two men. During canvass of area, they found Thompson, who was armed and fled into a nearby apartment complex. Police followed him, and when Thompson shot at them in a hallway, they returned fire, fatally wounding the suspect. Thompson's alleged accomplice was later apprehended.</t>
  </si>
  <si>
    <t>http://articles.sun-sentinel.com/2014-06-06/news/fl-deputy-involved-shooting-lauderhill-20140606_1_robbery-suspect-deputy-shoots-keyla-concepcion</t>
  </si>
  <si>
    <t>Glen Griggs</t>
  </si>
  <si>
    <t>http://media.cmgdigital.com/shared/lt/lt_cache/thumbnail/400/img/photos/2014/06/06/7e/6c/griggs.jpg</t>
  </si>
  <si>
    <t>499 N Fair Oaks Ave</t>
  </si>
  <si>
    <t>94085</t>
  </si>
  <si>
    <t>Griggs was a homicide suspect. When police approached him he had a BB gun. Officers demanded him to drop his weapon, he did not comply resulting in officers shooting and killing Griggs.</t>
  </si>
  <si>
    <t>http://www.sfgate.com/crime/article/Police-Homicide-suspect-shot-by-cops-had-BB-gun-5534901.php</t>
  </si>
  <si>
    <t>Demetrice D. Presnall</t>
  </si>
  <si>
    <t>https://usgunviolence.files.wordpress.com/2014/03/demetrice-presnall.jpg?w=625</t>
  </si>
  <si>
    <t>2300 Devon Ln</t>
  </si>
  <si>
    <t>48507</t>
  </si>
  <si>
    <t>Demetrice D. Presnall around 10:15 p.m. June 4 ran off at the Evergreen Regency apartment complex on Lippincott Boulevard after police tried to stop him for suspicious behavior. After a short pursuit, police said Presnall pointed a gun at two Michigan State Police troopers and refused orders to put it down. Troopers then fired, killing Presnall, police and prosecutors said. The troopers were not wearing uniforms but had clearly marked police gear, police have said.</t>
  </si>
  <si>
    <t>Lawrence H. Faine</t>
  </si>
  <si>
    <t>850 E Virginia Beach Blvd</t>
  </si>
  <si>
    <t>23504</t>
  </si>
  <si>
    <t>Victim was schizophrenic in an assisted living home. He was deemed a danger to himself and others and a judge issued an emergency custody order. Officer serving custody order shot Faine after he brandished a knife.</t>
  </si>
  <si>
    <t>http://hamptonroads.com/2014/06/norfolk-mans-family-questions-officers-use-force</t>
  </si>
  <si>
    <t>Thomas Dewitt Johnson</t>
  </si>
  <si>
    <t>http://www.gannett-cdn.com/-mm-/71d804bebdeb5f5d10cf1091e44afd29d7acd550/c=0-141-480-502&amp;r=x404&amp;c=534x401/local/-/media/WTLV/WTLV/2014/06/05//1401986101000-JOHNSON-THOMAS-DEWITT.jpg</t>
  </si>
  <si>
    <t>6700 London Bridge Lane near 103rd Street</t>
  </si>
  <si>
    <t>After a brief car chase, Johnson emerged from the vehicle with a gun pointed towards officer Busque. Busque then fired four shots - two of which hit Johnson. Johnson died on scene at 6:29.</t>
  </si>
  <si>
    <t>Kristopher Chase Simmons</t>
  </si>
  <si>
    <t>http://local.sltrib.com/charts/shootings/images/thumbs/31.jpg</t>
  </si>
  <si>
    <t>1100 West and 1900 South</t>
  </si>
  <si>
    <t>Marriott-Slaterville</t>
  </si>
  <si>
    <t>Ogden Metro SWAT, Ogden Police</t>
  </si>
  <si>
    <t>Simmons, who was wanted on drug warrants, barricaded himself inside a car in a West Haven auto body shop. SWAT officers went into the shop and shot Simmons when he allegedly pointed a gun at them.</t>
  </si>
  <si>
    <t>Harold Murphy</t>
  </si>
  <si>
    <t>http://bloximages.chicago2.vip.townnews.com/rapidcityjournal.com/content/tncms/assets/v3/editorial/f/a6/fa661def-a561-528e-b11c-5e9e35ffa6e1/53b3268183589.preview-620.jpg</t>
  </si>
  <si>
    <t>614 Sheridan Lake Rd</t>
  </si>
  <si>
    <t>57702</t>
  </si>
  <si>
    <t>Murphy was pursued by officers over a warrant. Murphy ran and was tackled by an officer. Murphy pulled out a gun and was subsequently shot and killed by officers.</t>
  </si>
  <si>
    <t>Timothy Ronald Lloyd</t>
  </si>
  <si>
    <t>1900 S Maxwell</t>
  </si>
  <si>
    <t>McPherson</t>
  </si>
  <si>
    <t>67460</t>
  </si>
  <si>
    <t>McPherson Police Department</t>
  </si>
  <si>
    <t>Yanira Serrano-Garcia</t>
  </si>
  <si>
    <t>18</t>
  </si>
  <si>
    <t>https://www.indybay.org/uploads/2014/06/04/yanira_serrano_garcia_half_moon_bay.jpg</t>
  </si>
  <si>
    <t>2001 Miramontes Point Rd</t>
  </si>
  <si>
    <t>Half Moon Bay</t>
  </si>
  <si>
    <t>94019</t>
  </si>
  <si>
    <t>An 18-year-old special needs woman was killed after a confrontation with San Mateo County sheriff's deputies that escalated into an officer-involved shooting when she lunged at officers with a knife.</t>
  </si>
  <si>
    <t>http://www.nbcbayarea.com/news/local/San-Mateo-County-Sheriff-Kills-Teen-in-Half-Moon-Bay-261816771.html</t>
  </si>
  <si>
    <t>Frank McQueen</t>
  </si>
  <si>
    <t>http://cdn.abclocal.go.com/content/wpvi/images/cms/89862_1280x720.jpg</t>
  </si>
  <si>
    <t>1200 Culhane St</t>
  </si>
  <si>
    <t>McQueen is alleged to have shot at an officer. Police fired multiple rounds, killing McQueen at the scene. Investigations into the incident are ongoing.</t>
  </si>
  <si>
    <t>Deborah A. McCollum</t>
  </si>
  <si>
    <t>Andrews Circle</t>
  </si>
  <si>
    <t>29803</t>
  </si>
  <si>
    <t>Aiken County Sheriff’s Office</t>
  </si>
  <si>
    <t>McCollum called 911 call, requesting assistance because she was going to commit suicide. When police arrived on the scene, deputies saw McCollum with a handgun at the front door of her home. One the deputies shot McCollum. Emergency responders pronounced her dead at the scene.</t>
  </si>
  <si>
    <t>http://www.nbc26.tv/story/25669752/police-on-scene-of-shooting-in-aiken-county</t>
  </si>
  <si>
    <t>Drew Marian Spencer</t>
  </si>
  <si>
    <t>http://bloximages.newyork1.vip.townnews.com/hickoryrecord.com/content/tncms/assets/v3/editorial/c/c2/cc29a07b-fa81-56e0-af7f-5c6334f213b5/53927285b0c66.preview-300.jpg</t>
  </si>
  <si>
    <t>2853 N Center St</t>
  </si>
  <si>
    <t>Hickory</t>
  </si>
  <si>
    <t>28601</t>
  </si>
  <si>
    <t>Catawba</t>
  </si>
  <si>
    <t>Hickory Police Department</t>
  </si>
  <si>
    <t>Spencer pointed a gun at officers, which resulted in the officers shooting and killing Spencer.</t>
  </si>
  <si>
    <t>Jordan Franklin Browder</t>
  </si>
  <si>
    <t>http://wrcb.images.worldnow.com/images/13368468_BG1.jpg</t>
  </si>
  <si>
    <t>1625 Piedmont Hwy</t>
  </si>
  <si>
    <t>Piedmont</t>
  </si>
  <si>
    <t>29673</t>
  </si>
  <si>
    <t>Browder was in a car, deputies told him to show them his hands and exit the vehicle. Browder refused and reached at waistband. Deputies feared he was reaching for a weapon and shot and killed Browder. Browder did not have a weapon on him.</t>
  </si>
  <si>
    <t>Michael Kleinbeck</t>
  </si>
  <si>
    <t>3145 County Road 6450</t>
  </si>
  <si>
    <t>67301</t>
  </si>
  <si>
    <t>Kleinbeck reportedly had a gun with him on what may or may not have been his own property. Deputies and high way patrol engaged in a fight. Kleinbeck was shot and killed.</t>
  </si>
  <si>
    <t>http://cjonline.com/news/2014-06-02/man-killed-officer-involved-shooting</t>
  </si>
  <si>
    <t>Sandy James McCall</t>
  </si>
  <si>
    <t>http://www.directorsadvantage.net/image.php/20140613-1205458150.jpg?width=165&amp;height=202&amp;image=/obituary/obitpics/20140613-1205458150.jpg</t>
  </si>
  <si>
    <t>4900 Fayetteville Rd</t>
  </si>
  <si>
    <t>Raeford</t>
  </si>
  <si>
    <t>28376</t>
  </si>
  <si>
    <t>Hoke</t>
  </si>
  <si>
    <t>Hoke County Sheriffs Office</t>
  </si>
  <si>
    <t>Deputies approached McCall after reports of a suspicious person. After an altercation McCall was shot and killed by deputies. Candace McCall said she doesn't understand why authorities shot her brother. McCall didn't have a history of violence. Both McCall and Wiggins said they never knew him to carry a gun.</t>
  </si>
  <si>
    <t>http://www.wral.com/one-killed-in-officer-involved-shooting-in-raeford/13690585/</t>
  </si>
  <si>
    <t>Tayler Rock</t>
  </si>
  <si>
    <t>http://www.kwch.com/image/view/-/26279694/medRes/2/-/btd8cq/-/Taylor-Rock.jpg</t>
  </si>
  <si>
    <t>U.S. 166 &amp; Kansas 15</t>
  </si>
  <si>
    <t>Cowley County</t>
  </si>
  <si>
    <t>67038</t>
  </si>
  <si>
    <t>Cowley</t>
  </si>
  <si>
    <t>Cowley County Sheriff's Department</t>
  </si>
  <si>
    <t>Tayler was pulled over for an alleged license violation. Within three minutes officer reported "shots fired".</t>
  </si>
  <si>
    <t>Etoine Baucum</t>
  </si>
  <si>
    <t>http://patersontimes.com/wp-content/uploads/2014/05/etoine-baucum.jpg</t>
  </si>
  <si>
    <t>85 Montgomery St</t>
  </si>
  <si>
    <t>Clifton</t>
  </si>
  <si>
    <t>07011</t>
  </si>
  <si>
    <t>Passaic</t>
  </si>
  <si>
    <t>Patterson Police Department</t>
  </si>
  <si>
    <t>Baucum pointed a gun at an officer resulting in Baucum getting shot and killed.</t>
  </si>
  <si>
    <t>Brandon Ellingson</t>
  </si>
  <si>
    <t>http://www.kansascity.com/news/local/f8u9ge/picture1282163/alternates/FREE_960/Brandon%20Ellingson.jpg</t>
  </si>
  <si>
    <t>The Lake of Ozarks</t>
  </si>
  <si>
    <t>Laurie</t>
  </si>
  <si>
    <t>65038</t>
  </si>
  <si>
    <t>Missouri State Trooper</t>
  </si>
  <si>
    <t>Drowned</t>
  </si>
  <si>
    <t>A state trooper handcuffed and arrested Brandon Ellingson for boating while intoxicated. The state trooper handcuffed Ellingson and put the wrong type of life jacket on him. Ellingson drowned in the lake.</t>
  </si>
  <si>
    <t>http://www.kansascity.com/news/local/article1282167.html</t>
  </si>
  <si>
    <t>Douglas DaMoude</t>
  </si>
  <si>
    <t>http://bloximages.chicago2.vip.townnews.com/journalstar.com/content/tncms/assets/v3/editorial/2/a0/2a072007-3e7f-5780-b9b9-8fd8a355b92c/538fb63922fbb.preview-300.jpg</t>
  </si>
  <si>
    <t>5901 English Park Ct</t>
  </si>
  <si>
    <t>68516</t>
  </si>
  <si>
    <t>Lancaster County Sheriff's Office</t>
  </si>
  <si>
    <t>Deputies were accompanying locksmiths to serve an eviction notice. The victim barricaded himself in the home. Once the door was forced opened they found him with a gun and shot him four times.</t>
  </si>
  <si>
    <t>http://journalstar.com/news/local/911/sheriff-clears-deputies-who-killed-damoude/article_7951d733-fc16-5ddf-be82-d467d5065533.html</t>
  </si>
  <si>
    <t>Mark Anthony Blocker</t>
  </si>
  <si>
    <t>3416 Curtis Drive</t>
  </si>
  <si>
    <t>Blocker had a pellet gun that looked like a real gun. Officers felt threatened and shot and killed Blocker.</t>
  </si>
  <si>
    <t>http://www.wjla.com/articles/2014/05/mark-anthony-blocker-20-shot-and-killed-by-police-103651.html</t>
  </si>
  <si>
    <t>Quintico Goolsby</t>
  </si>
  <si>
    <t>http://www.gannett-cdn.com/-mm-/c50bb050c2eef5f9c4210e953e349d2b034512da/c=32-54-435-591&amp;r=183&amp;c=0-0-180-238/local/-/media/Indianapolis/Indianapolis/2014/05/30//1401477060000-Quintico-Goolsby.jpg</t>
  </si>
  <si>
    <t>2600 N Dearborn St</t>
  </si>
  <si>
    <t>Goolsby shot and killed two of his friends then shot an officer who then returned fire, killing Goolsby.</t>
  </si>
  <si>
    <t>http://www.wthr.com/story/25655412/2014/05/30/friends-say-suspect-was-fearful-before-friday-morning-shooting</t>
  </si>
  <si>
    <t>Jose Luis Arambula</t>
  </si>
  <si>
    <t>http://soboco.org/wp-content/uploads/2012/07/JoseLuisArambula.jpg</t>
  </si>
  <si>
    <t>Abrego Drive and Camino Encanto</t>
  </si>
  <si>
    <t>Green Valley</t>
  </si>
  <si>
    <t>85614</t>
  </si>
  <si>
    <t>Agents fired on and killed unarmed suspect Arambula when he attempted to escape from a traffic stop on suspicion of distributing marijuana. After a 15-mile car chase and a foot chase through a pecan grove, the officer fired nine times and struck Arambula once behind the left ear. Stated justification: victim gestured as if he had a gun and the officer felt threatened. County officials refused to press charges.</t>
  </si>
  <si>
    <t>http://www.tucsonsentinel.com/local/report/091014_bp_shooting/county-attorney-no-charges-against-bp-agent-may-shooting-death/</t>
  </si>
  <si>
    <t>Brandon Lee Macias Jimenez</t>
  </si>
  <si>
    <t>1400 East Main Street</t>
  </si>
  <si>
    <t>95776</t>
  </si>
  <si>
    <t>Police responding to an early morning 911 call from a convenience store found an armed Jimenez holding a woman hostage nearby the store. After allegedly pointing his handgun at the woman several times, police shot Jimenez to protect the hostage, who was not injured.</t>
  </si>
  <si>
    <t>http://www.dailydemocrat.com/breakingnews/ci_25873770/woodland-police-not-releasing-any-new-information-officer</t>
  </si>
  <si>
    <t>Larry Smith</t>
  </si>
  <si>
    <t>47 Tranquility Lane</t>
  </si>
  <si>
    <t>Hazard</t>
  </si>
  <si>
    <t>41701</t>
  </si>
  <si>
    <t>Smith aimed a gun at troopers - they responded by shooting and killing Smith</t>
  </si>
  <si>
    <t>http://www.wkyt.com/wymt/home/headlines/Police-on-scene-of-standoff-in-Perry-County-261341691.html</t>
  </si>
  <si>
    <t>Danny Michael Wadsworth Jr.</t>
  </si>
  <si>
    <t>http://www.mynews3.com/media/lib/166/8/7/b/87b3baa1-31c9-4808-99e1-8562de8516fd/Story.jpg</t>
  </si>
  <si>
    <t>89109</t>
  </si>
  <si>
    <t>Wadsworth shot at officers, officers returned fire, killing Wadsworth.</t>
  </si>
  <si>
    <t>http://www.mynews3.com/content/news/story/clark-county-coroner-wadsworth-metro-shooting/SeUbsqxg60635hK6f0SuGg.cspx</t>
  </si>
  <si>
    <t>Brian Scott Hiatt</t>
  </si>
  <si>
    <t>http://cdn.abclocal.go.com/content/kfsn/images/cms/automation/vod/90439_630x354.jpg</t>
  </si>
  <si>
    <t>11000 Lander Ave</t>
  </si>
  <si>
    <t>Turlock</t>
  </si>
  <si>
    <t>95380</t>
  </si>
  <si>
    <t>Merced County Sheriff’s Office</t>
  </si>
  <si>
    <t>Hiatt killed two women, when deputies arrived, they shot and killed Hiatt after he was aggressive towards deputies.</t>
  </si>
  <si>
    <t>http://abc30.com/news/motive-probed-in-murder-of-2-sisters-near-hilmar/90441/</t>
  </si>
  <si>
    <t>James Andrew Brown II</t>
  </si>
  <si>
    <t>http://cbsnews2.cbsistatic.com/hub/i/r/2014/06/02/b3a0a345-96ba-4fe2-bd6e-9892458931fd/thumbnail/140x90/be772a52bc6d6092bb41b8444745ba30/brown2.jpg</t>
  </si>
  <si>
    <t>Galveston Avenue and East Little Creek Road</t>
  </si>
  <si>
    <t>23505</t>
  </si>
  <si>
    <t>Brown randomly fired a gun. He killed two people. Officers tried to arrest him, but he resisted and was ultimately shot and killed.</t>
  </si>
  <si>
    <t>http://www.cbsnews.com/news/cops-virginia-man-fatally-shoots-high-school-student-then-police-officer/</t>
  </si>
  <si>
    <t>Jose Valerio</t>
  </si>
  <si>
    <t>http://ak-cache.legacy.net/legacy/images/Cobrands/NOLA/Photos/06052014_0001403484_1.jpg</t>
  </si>
  <si>
    <t>2600 Dreux St</t>
  </si>
  <si>
    <t>70122</t>
  </si>
  <si>
    <t>Southern University of New Orleans Police Department</t>
  </si>
  <si>
    <t>Suspect was committing an armed robbery when confronted by the cop</t>
  </si>
  <si>
    <t>http://www.nola.com/crime/index.ssf/2014/05/armed_robber_shot_dead_by_off-.html</t>
  </si>
  <si>
    <t>Duane Erick Strong</t>
  </si>
  <si>
    <t>http://www.gannett-cdn.com/-mm-/e0980da533ab816f8a365740568c97fbcabb27c0/c=0-4-124-169&amp;r=537&amp;c=0-0-534-712/local/-/media/Tallahassee/2014/09/08/-tlhbrd06-12-2014democrat1a00120140611imgduanestrong.jpg11bs7k.jpg</t>
  </si>
  <si>
    <t>2394 West Tennessee Street</t>
  </si>
  <si>
    <t>32304</t>
  </si>
  <si>
    <t>Police heard shots from behind a bar and found Strong idling his car in the bar's parking lot. An officer approached Strong and he bolted. Fearing Strong might hit him, the officer shot nine times. The officer's partner shot three times. Strong was hit by one bullet, killing him. Autopsy found designer drug ethylone in Strong's system. Officers cleared of criminal charges by grand jury.</t>
  </si>
  <si>
    <t>http://www.tallahassee.com/story/news/2014/09/08/officers-cleared-cheeks-shooting/15302243/</t>
  </si>
  <si>
    <t>Gerrit D. Vos</t>
  </si>
  <si>
    <t>http://images.onset.freedom.com/ocregister/gallery/n6pgb8-b8895832z.120140605095250000gaj2o2sl.10.jpg</t>
  </si>
  <si>
    <t>1400 Superior Avenue.</t>
  </si>
  <si>
    <t>Newport Beach</t>
  </si>
  <si>
    <t>92663</t>
  </si>
  <si>
    <t>Newport Beach Police Department</t>
  </si>
  <si>
    <t>Gerrit Vos, 22, of San Clemente, was shot after he charged Newport Beach Police Department officers with a “sharp metal instrument” when they were responding to an altercation at a 7-11 store in the 1400 block of Superior Ave. Vos was shot 5 times, including in the face. He had a history of mental illness including paranoia but was not on illegal drugs and had taken his meds. Vos was living at a drug rehabilitation center in San Clemente and appeared to be doing well.</t>
  </si>
  <si>
    <t>http://www.ocregister.com/articles/kekel-617157-police-newport.html</t>
  </si>
  <si>
    <t>Ransom Duane McCoy</t>
  </si>
  <si>
    <t>http://bloximages.newyork1.vip.townnews.com/tricities.com/content/tncms/assets/v3/editorial/5/8b/58b8b330-e770-11e3-92b0-0017a43b2370/53879988b2aa4.image.jpg</t>
  </si>
  <si>
    <t>100 Keith Rd</t>
  </si>
  <si>
    <t>37620</t>
  </si>
  <si>
    <t>Deputy David Clayman, recognizing McCoy from a recent arrest warrant search, said McCoy refused to stop his vehicle and rammed the front end of his cruiser to escape. Other LE joined deputies on a high speed chase until McCoy crashed through a chain link fence or after a LE cruiser blocked him, at which time he either “ran at an officer” or "repeatedly rammed his vehicle" into the cruiser. Deputy Tom Dula, standing next to McCoy's vehicle, said he commanded him to stop and then fired 8 shots, hitting him 6 times and killing him. McCoy was unarmed.</t>
  </si>
  <si>
    <t>Jeremy Vann</t>
  </si>
  <si>
    <t>https://localtvwreg.files.wordpress.com/2014/05/teon-katchens.jpg?w=400&amp;h=225&amp;crop=1</t>
  </si>
  <si>
    <t>875 State Line Rd</t>
  </si>
  <si>
    <t>When undercover narcotics officers attempted to arrest Vann and Teon Katchens, 20, in a parking lot drug deal, Vann allegedly hit or ran over an officer with his vehicle, reversed and allegedly attempted to hit him again or was trying to flee the scene. That officer, not seriously injured, and another fired at Vann, who died on the way to the hospital. A witness heard two shots fired.</t>
  </si>
  <si>
    <t>http://wreg.com/2014/05/28/one-person-shot-officer-hit-by-vehicle/</t>
  </si>
  <si>
    <t>Ricky Lee Higgins</t>
  </si>
  <si>
    <t>1521st road and Southwest 1200th road</t>
  </si>
  <si>
    <t>Holden</t>
  </si>
  <si>
    <t>64040</t>
  </si>
  <si>
    <t>Johnson County Sheriff's Office and Missouri Highway Patrol</t>
  </si>
  <si>
    <t>Higgins was released from prison in Dec. 2013 after a 12-year stint. Police came to arrest him at his trailer for violating parole six months later. Higgins, who was armed, escaped through a secret hatch but encountered two officers in the woods. He fired two shots at the officers and they returned fire, killing him. Higgins had often stated he would die in a police shootout before going back to prison.</t>
  </si>
  <si>
    <t>http://www.dailystarjournal.com/news/local/article_1dd8ae98-7454-5370-8fe7-d4af92101eb6.html</t>
  </si>
  <si>
    <t>Albert Robert Clayburn</t>
  </si>
  <si>
    <t>http://osweb.htl.dc.publicus.com/apps/pbcsi.dll/storyimage/OS/20140724/news/307249957/AR/0/AR-307249957.jpg&amp;MaxW=550</t>
  </si>
  <si>
    <t>130 W Main St</t>
  </si>
  <si>
    <t>Hamersville</t>
  </si>
  <si>
    <t>45107</t>
  </si>
  <si>
    <t>Hamersville Police Department</t>
  </si>
  <si>
    <t>Responding to a "suspicious person" call where Clayburn was working, Officers Jared Riley and Branden Clark approached him. He allegedly "reacted in a violent manner", got into his vehicle and drove away, dragging one of the officers with it. A witness saw the other officer running and shooting at the vehicle. Clayburn, shot six times, drove into the Hamersville Village Board Of Public Affairs building, causing extensive damage. The coroner said he died from gunshot wounds, not the crash.</t>
  </si>
  <si>
    <t>http://www.wcpo.com/news/local-news/brown-county/vehicle-crashes-through-building-in-brown-county</t>
  </si>
  <si>
    <t>Jason Westcott</t>
  </si>
  <si>
    <t>http://www.tampabay.com/resources/images/dti/rendered/2014/08/b2s_swatia081614b_13390539_8col.jpg</t>
  </si>
  <si>
    <t>906 W Knollwood St.</t>
  </si>
  <si>
    <t>A TPD informer purchased approx. $160 of marijuana from Westcott over 4 mo., reporting that he carried a gun. SWAT was deployed for search warrant, and when officers opened the door to Westcott's bedroom, they found him on the other side with a loaded, 9mm Taurus Slim pistol. He was immediately shot by two officers as he was "raising his weapon," initially in his right shoulder. The search yielded only 0.2 grams — or about $2 worth — of pot.</t>
  </si>
  <si>
    <t>http://www.tampabay.com/news/publicsafety/internal-review-finds-tampa-swat-team-acted-properly-in-fatal-raid/2193215</t>
  </si>
  <si>
    <t>Terry Heath</t>
  </si>
  <si>
    <t>http://media.cmgdigital.com/shared/img/photos/2014/05/21/00/76/HEATH--TERRY-DARNELL.jpg</t>
  </si>
  <si>
    <t>820 Wyoming St</t>
  </si>
  <si>
    <t>45410</t>
  </si>
  <si>
    <t>Heath lunged at officers with a knife and was shot and killed.</t>
  </si>
  <si>
    <t>Noel Enrique Aguilar</t>
  </si>
  <si>
    <t>http://images.onset.freedom.com/ocregister/gallery/n69dp0-b8884839z.120140527173447000g5d2g164.10.jpg</t>
  </si>
  <si>
    <t>303 E 9th St</t>
  </si>
  <si>
    <t>90813</t>
  </si>
  <si>
    <t>Aguilar got into a fire fight with a deputy. The deputy got shot and recovered, Aguilar died.</t>
  </si>
  <si>
    <t>http://www.nbclosangeles.com/news/local/Los-Angeles-County-Sheriffs-Deputy-Shooting-Compton-260673091.html</t>
  </si>
  <si>
    <t>Montez Dewayne Hambric</t>
  </si>
  <si>
    <t>http://www.wxii12.com/image/view/-/26166194/highRes/1/-/maxh/480/maxw/640/-/ux004e/-/WXII-Montez-Dewayne-Hambric.jpg</t>
  </si>
  <si>
    <t>500 W. 7th Street</t>
  </si>
  <si>
    <t>Winston Salem</t>
  </si>
  <si>
    <t>27101</t>
  </si>
  <si>
    <t>Winston Salem Police Department</t>
  </si>
  <si>
    <t>Winston-Salem police officer shot Montez, which the department classifies as “homicide by law enforcement.”Hambric, a resident of Durham, fled from a car accident involving a stolen vehicle on May 25, according to police. The police said Cpl. DW Walsh fired a single round from his service weapon at Hambric after the man physically assaulted the officer during an attempt to take him into custody.</t>
  </si>
  <si>
    <t>http://myfox8.com/2014/05/25/winston-salem-police-investigate-officer-involved-shooting/</t>
  </si>
  <si>
    <t>Isaac Sims</t>
  </si>
  <si>
    <t>http://timedotcom.files.wordpress.com/2014/05/screen-shot-2014-05-27-at-9-29-42-pm1.png?w=1100</t>
  </si>
  <si>
    <t>2300 Lawndale Ave</t>
  </si>
  <si>
    <t>64127</t>
  </si>
  <si>
    <t>Sims, suffering from PTSD, fired shots at his father and neighbor. Police were called, and ultimately shot and killed Sims.</t>
  </si>
  <si>
    <t>http://time.com/121438/iraq-vet-killed-in-gunfight-with-police-was-turned-away-by-va-hospital/</t>
  </si>
  <si>
    <t>Michael Myers</t>
  </si>
  <si>
    <t>7200 South Racine Avenue</t>
  </si>
  <si>
    <t>60636</t>
  </si>
  <si>
    <t>Man threatened paramedics with knife; officers called to the scene. He charged the police while brandishing the knife and was shot after failing to drop the knife when ordered.</t>
  </si>
  <si>
    <t>http://voices.suntimes.com/news/breaking-news/police-man-threatening-officer-with-knife-shot-killed-by-police/</t>
  </si>
  <si>
    <t>Shiquan M. Krouser</t>
  </si>
  <si>
    <t>http://ak-cache.legacy.net/legacy/images/Cobrands/dailyfreeman/Photos//DailyFreeman_mers_Krouser_20140530.jpg</t>
  </si>
  <si>
    <t>Main Street and Academy Street</t>
  </si>
  <si>
    <t>Poughkeepsie</t>
  </si>
  <si>
    <t>12601</t>
  </si>
  <si>
    <t>Poughkeepsie Police Department</t>
  </si>
  <si>
    <t>Krouser was approached by an officer for disturbing the peace. He then cut the officer with a box cutter, prompting another officer to shoot and kill Krouser.</t>
  </si>
  <si>
    <t>http://www.poughkeepsiejournal.com/story/news/2014/05/24/officer-involved-shooting-poughkeepsie/9535009/</t>
  </si>
  <si>
    <t>Christian Sierra</t>
  </si>
  <si>
    <t>103 Frazer Drive</t>
  </si>
  <si>
    <t>Purcellville</t>
  </si>
  <si>
    <t>20132</t>
  </si>
  <si>
    <t>Loudoun</t>
  </si>
  <si>
    <t>Purcellville Police Department</t>
  </si>
  <si>
    <t>Police were called for a report of Sierra trying to stab himself. The caller told police the teen had already stabbed himself multiple times and two friends at the home with Sierra unsuccessfully tried to restrain him. The caller told dispatchers that Sierra jumped off the second-story of the townhome and fled. Sierra was found sitting on the side of the road by Officer T. Hood. At the time a friend was behind Sierra struggling for control of the knife. When Hood got out of his patrol vehicle, he yelled at Sierra multiple times to drop the knife Sierra, police said, “raised the knife, pointed it at Officer Hood, increased his speed, and continued to advance.” Once Sierra was within 5 to 10 feed of Hood, the officer shot and killed him.</t>
  </si>
  <si>
    <t>http://www.loudountimes.com/news/article/purcellville_teens_shooting_justified</t>
  </si>
  <si>
    <t>Carlos Ocana</t>
  </si>
  <si>
    <t>http://www.trbimg.com/img-53b4b2e4/turbine/la-me-ln-skid-row-fatal-arrest-20140702-001/750/750x422</t>
  </si>
  <si>
    <t>5th and San Pedro</t>
  </si>
  <si>
    <t>Fall to death</t>
  </si>
  <si>
    <t>Ocana tried to avoid being arrested when we was tasered from a rooftop billboard. He fell to his death.</t>
  </si>
  <si>
    <t>http://www.latimes.com/local/lanow/la-me-ln-skid-row-death-20140702-story.html</t>
  </si>
  <si>
    <t>Henry Curtis</t>
  </si>
  <si>
    <t>900 Starr Ct</t>
  </si>
  <si>
    <t>Lebec</t>
  </si>
  <si>
    <t>93243</t>
  </si>
  <si>
    <t>Curtis lunged at a deputy with a knife and was subsequently shot and killed.</t>
  </si>
  <si>
    <t>Frank Sidney Smody</t>
  </si>
  <si>
    <t>http://www.fowlersullivanfuneralhome.com/wp-content/uploads/2014/05/bud1-560x769.jpg</t>
  </si>
  <si>
    <t>3700 State Highway BB</t>
  </si>
  <si>
    <t>Neelyville</t>
  </si>
  <si>
    <t>63954</t>
  </si>
  <si>
    <t>Butler County Sheriff's Office</t>
  </si>
  <si>
    <t>Police were called to respond to a trespasser on Smody's property. When the officer arrived he 'came under fire'. The officer returned fire, killing Smody.</t>
  </si>
  <si>
    <t>http://www.semissourian.com/story/2087405.html</t>
  </si>
  <si>
    <t>Jason Wilson</t>
  </si>
  <si>
    <t>7322 Sunrise Blvd</t>
  </si>
  <si>
    <t>Police responded to a domestic violence call and pursued Wilson when he fled the scene on a bicycle. LE helicopter spotted him entering a school campus and the police cornered him. Wilson allegedly exhibited "violent and irrational behavior throughout the incident" so when he "reached for his waistband" in a "crouched position", Officers Joseph Davis and Christopher Bosson shot and killed him. Wilson was unarmed.</t>
  </si>
  <si>
    <t>http://www.kcra.com/news/1-killed-in-officerinvolved-shooting/26154592</t>
  </si>
  <si>
    <t>Craig J. McKinnis</t>
  </si>
  <si>
    <t>http://www.ksjails.info/images2/CRAIG-MCKINNIS-232857956473858.jpg</t>
  </si>
  <si>
    <t>500 Stewart Avenue</t>
  </si>
  <si>
    <t>66101</t>
  </si>
  <si>
    <t>http://www.wibw.com/home/headlines/Kansas-Man-Dies-After-Struggle-With-Police-260416911.html</t>
  </si>
  <si>
    <t>Ralph Chavez</t>
  </si>
  <si>
    <t>http://www.kob.com/kobtvimages/repository/2014-05/ralph-chavez.jpg</t>
  </si>
  <si>
    <t>2nd Street NW near Arvada Avenue NW</t>
  </si>
  <si>
    <t>87102</t>
  </si>
  <si>
    <t>Police say Chavez beat a woman and stabbed another man in the neck before two officers shot him to death</t>
  </si>
  <si>
    <t>http://krqe.com/2014/05/22/audio-released-in-apd-shooting-of-stabbing-suspect/</t>
  </si>
  <si>
    <t>Joshua Marshall Foskey</t>
  </si>
  <si>
    <t>Snipesville Road</t>
  </si>
  <si>
    <t>Hazelhurst</t>
  </si>
  <si>
    <t>31532</t>
  </si>
  <si>
    <t>Jeff Davis</t>
  </si>
  <si>
    <t>Jeff Davis County Sheriff's Office</t>
  </si>
  <si>
    <t>There is little media coverage on this case. Foskey's mother may have called 911 to report that he was leaving the house in an agitated state connected with drug use. Two deputies either stopped his car on the highway or found it stopped with Foskey apparently unconscious, or not. After Foskey made a movement with his hand, Deputy Brandon Merritt shot him 1-17 times and was cleared of wrongdoing by a grand jury.</t>
  </si>
  <si>
    <t>http://wjcl.com/2014/05/22/one-death-in-officer-involved-shooting/</t>
  </si>
  <si>
    <t>Jermassioun Viondrey Rodgers</t>
  </si>
  <si>
    <t>http://westorlandonews.com/wp-content/uploads/2014/05/Rogers.png</t>
  </si>
  <si>
    <t>4400 Malibu Street</t>
  </si>
  <si>
    <t>32811</t>
  </si>
  <si>
    <t>Rodgers and two accomplices robbed a deliveryman and stole his car, and were then pursued by police before the three attempted to flee. Officers fatally shot Rodgers after the stolen car was rammed into police vehicles.</t>
  </si>
  <si>
    <t>http://articles.orlandosentinel.com/2014-05-22/news/os-dead-carjacker-identified-orlando-20140522_1_orlando-man-suspect-shot-deadly-force-situation</t>
  </si>
  <si>
    <t>Raymond Eugene Garcia</t>
  </si>
  <si>
    <t>http://blogs.westword.com/latestword/assets_c/2014/06/raymond.garcia.facebook.1-thumb-565x753.jpg</t>
  </si>
  <si>
    <t>2467 W 29th St</t>
  </si>
  <si>
    <t>Garcia was caught at a motel for soliciting a female undercover police officer for prostitution. Officers stormed the room after he paid her money. They say he "reached for a gun tucked in his waistband" while they attempted to arrest him. An officer tasered him as he allegedly raised the gun, another shot at him once, and then another shot at him 16 times. He was hit 7 times and died at the scene.</t>
  </si>
  <si>
    <t>http://www.greeleytribune.com/news/11516588-113/greeley-police-officers-undercover</t>
  </si>
  <si>
    <t>Robert Michael Duncklee</t>
  </si>
  <si>
    <t>http://www.fatalencounters.org/wp-content/uploads/2013/10/RobertMichaelDuncklee.jpg</t>
  </si>
  <si>
    <t>3810 East Monte Vista Drive</t>
  </si>
  <si>
    <t>Officers Robert Soeder and Allan Meyer responded at approx 11pm to a landlord's call that tenants who had been served an eviction notice were still in the apartment. They knocked and identified themselves, then allegedly entered through the unlocked door. Duncklee and a woman were sleeping in a bedroom. According to that woman, she and Duncklee, who was possibly hard of hearing, thought the police were intruders. When he opened the bedroom door with a stick in his hand, Meyer shot him several times and Soeder shot him twice. They also shot and injured the woman.</t>
  </si>
  <si>
    <t>http://www.tucsonnewsnow.com/story/25585064/tpd-investigating-officer-involved-shooting-in-midtown</t>
  </si>
  <si>
    <t>Carlos Mejia</t>
  </si>
  <si>
    <t>936 Del Monte Ave.</t>
  </si>
  <si>
    <t>Officers responding to a burglary call confronted Mejia and shot him after he brandished a gardening shears. Mejia's family filed a wrongful death suit against the city several days later.</t>
  </si>
  <si>
    <t>http://www.kionrightnow.com/news/local-news/shooting-reported-north-sanborn-and-del-monte-in-salinas/26079104</t>
  </si>
  <si>
    <t>Martin Figueroa</t>
  </si>
  <si>
    <t>http://www.crimevoice.com/wp-content/uploads/2014/05/Figueroa.jpg</t>
  </si>
  <si>
    <t>E Vassar Ave and N San Pablo Ave</t>
  </si>
  <si>
    <t>93704</t>
  </si>
  <si>
    <t>Figueroa's family called 911 to report him high on meth and hallucinating at home. Four officers responded and "attempted to negotiate" with Figueroa from outside for 45 minutes, after which they sent a K-9 into the home. Two officers followed and found Figueroa in a bedroom holding a steak knife. When they "pulled the K-9 off the man", he allegedly began screaming and raised the knife over his head, at which time the officers shot him. He died later that night at the hospital. His mother, Aurora Figueroa, says he was shot 17 times.</t>
  </si>
  <si>
    <t>http://www.fresnobee.com/2014/05/20/3935807/fresno-police-at-officer-involved.html</t>
  </si>
  <si>
    <t>Tiffany Morton</t>
  </si>
  <si>
    <t>9900 Slaughter Rd</t>
  </si>
  <si>
    <t>77328</t>
  </si>
  <si>
    <t>Montgomery County Sheriff’s Office</t>
  </si>
  <si>
    <t>Morton was high on meth and threatening to shoot her mother and two children before setting her mobile home on fire as deputies arrived. Morton was armed with a rifle and refused to drop, causing officers to fatally shoot the 27-year-old.</t>
  </si>
  <si>
    <t>http://www.houstonchronicle.com/news/houston-texas/houston/article/Officials-Woman-on-meth-before-shooting-5496642.php</t>
  </si>
  <si>
    <t>Osbourne Broadie</t>
  </si>
  <si>
    <t>https://a3-images.myspacecdn.com/images03/16/7256619a90874bd7bfbbdac46835a876/300x300.jpg</t>
  </si>
  <si>
    <t>Clarkson Ave</t>
  </si>
  <si>
    <t>11203</t>
  </si>
  <si>
    <t>Broadie stabbed his girlfriend with scissors. Officers told Broadie to drop the scissors, but he lunged at the officers instead. Officers then shot and killed Broadie.</t>
  </si>
  <si>
    <t>http://www.nydailynews.com/new-york/nyc-crime/man-shot-killed-cops-identified-article-1.1797801</t>
  </si>
  <si>
    <t>Luis Arturo Hernandez Jr.</t>
  </si>
  <si>
    <t>http://www.wbaltv.com/image/view/-/26079326/highRes/1/-/maxh/220/maxw/220/-/6wuh1vz/-/Luis-Arturo-Hernandez.jpg</t>
  </si>
  <si>
    <t>Cedar Lane</t>
  </si>
  <si>
    <t>Bel Air</t>
  </si>
  <si>
    <t>21015</t>
  </si>
  <si>
    <t>Harford</t>
  </si>
  <si>
    <t>Harford County Sheriff's Office</t>
  </si>
  <si>
    <t>When Jamie Nicole Campbell's mother reported her missing, police tracked her car. Hernandez, her husband, was armed and holding her hostage in the car. Negotiators communicated all night via phone. In "an effort to protect Campbell and prevent Hernandez from taking his own life", deputies "were authorized to execute an emergency assault". When they approached the car, Hernandez shot Campbell in the abdomen. Deputies immediately shot and killed him.</t>
  </si>
  <si>
    <t>http://www.baltimoresun.com/news/maryland/harford/abingdon/ph-ag-hostage-followup-0523-20140521,0,6316373.story</t>
  </si>
  <si>
    <t>Robert Sharp</t>
  </si>
  <si>
    <t>18385 Benes Roush Road</t>
  </si>
  <si>
    <t>Masaryktown</t>
  </si>
  <si>
    <t>34604</t>
  </si>
  <si>
    <t>Hernando</t>
  </si>
  <si>
    <t>Hernando County Sheriff's Office</t>
  </si>
  <si>
    <t>Deputies responding to a domestic dispute after midnight fell into an armed standoff with Sharp, inside his house, who emerged at least twice to fire at the police before he was shot dead.</t>
  </si>
  <si>
    <t>http://tbo.com/he/list/news/swat-team-at-home-of-suicidal-brooksville-man-20140519/</t>
  </si>
  <si>
    <t>Kenneth Shawn Todd</t>
  </si>
  <si>
    <t>12000 U.S. 258</t>
  </si>
  <si>
    <t>Macclesfield</t>
  </si>
  <si>
    <t>27852</t>
  </si>
  <si>
    <t>Edgecombe County Sheriff's Office</t>
  </si>
  <si>
    <t>Todd approached deputy Winders with a weapon and would not respond to orders to stop, resulting in Winders shooting and killing Todd.</t>
  </si>
  <si>
    <t>http://www.wral.com/sbi-investigating-officer-involved-shooting-in-edgecombe-county/13657901/</t>
  </si>
  <si>
    <t>Curtis E. Welford</t>
  </si>
  <si>
    <t>133 Blackberry Lane</t>
  </si>
  <si>
    <t>Forest</t>
  </si>
  <si>
    <t>39074</t>
  </si>
  <si>
    <t>George County Sheriff's Department</t>
  </si>
  <si>
    <t>Deputies responding to a domestic disturbance shot a rifle-wielding man in a house outside of George county.</t>
  </si>
  <si>
    <t>http://blog.gulflive.com/mississippi-press-news/2014/05/george_county_deputy_shoots_ki.html</t>
  </si>
  <si>
    <t>Juvon Allen</t>
  </si>
  <si>
    <t>2300 Rebsamen Park Rd</t>
  </si>
  <si>
    <t>Little Rock</t>
  </si>
  <si>
    <t>72202</t>
  </si>
  <si>
    <t>Little Rock Police Department</t>
  </si>
  <si>
    <t>Allen was shot after attempting to rob an off-duty officer at gunpoint, who shot the 21-year-old three times in the chest after the officer fought him off. He later died at a nearby hospital.</t>
  </si>
  <si>
    <t>http://www.thv11.com/story/news/local/2014/05/19/little-rock-officer-involved-shooting-may-18-juvon-allen/9282051/</t>
  </si>
  <si>
    <t>Sheila Vawter</t>
  </si>
  <si>
    <t>7650 West Old US Highway 90</t>
  </si>
  <si>
    <t>Vawter advanced toward an officer with a knife, resulting in the officer shooting and killing her.</t>
  </si>
  <si>
    <t>Cory Lee Bush</t>
  </si>
  <si>
    <t>275 Refuge Avenue</t>
  </si>
  <si>
    <t>Oroville</t>
  </si>
  <si>
    <t>95966</t>
  </si>
  <si>
    <t>Butte County Sheriff's Office</t>
  </si>
  <si>
    <t>Bush was having a nervous breakdown and was 'tearing up the house'. Deputies responded and Bush was reportedly armed. Bush was ultimately shot and killed.</t>
  </si>
  <si>
    <t>http://www.krcrtv.com/news/local/butte-county-man-shot-and-killed-by-deputy/26055482</t>
  </si>
  <si>
    <t>Ashley DiPiazza</t>
  </si>
  <si>
    <t>http://wkow.images.worldnow.com/images/3782398_G.jpg</t>
  </si>
  <si>
    <t>1100 MacArthur Road</t>
  </si>
  <si>
    <t>53714</t>
  </si>
  <si>
    <t>Dane</t>
  </si>
  <si>
    <t>DiPiazza was shot and killed by officers after she refused to comply with the officer's orders to drop the gun.</t>
  </si>
  <si>
    <t>http://host.madison.com/news/local/crime_and_courts/woman-shot-and-killed-by-madison-police-after-failing-to/article_c7abe3d4-5701-5272-87c6-cf90ef6d652e.html</t>
  </si>
  <si>
    <t>Thomas N. Saunders</t>
  </si>
  <si>
    <t>Neal St</t>
  </si>
  <si>
    <t>Pearisburg</t>
  </si>
  <si>
    <t>24134</t>
  </si>
  <si>
    <t>Giles</t>
  </si>
  <si>
    <t>Pearisburg Police Department</t>
  </si>
  <si>
    <t>Saunders pointed a gun at an officer, prompting the officer to shoot and kill Saunders.</t>
  </si>
  <si>
    <t>Danny Christian Molina</t>
  </si>
  <si>
    <t>11600 Stagg St</t>
  </si>
  <si>
    <t>91605</t>
  </si>
  <si>
    <t>Police responding to an assault call found Molina throwing rocks at people and police vehicles, and pulled out two kitchen knives when officers approached him. Officers shot Molina after he approached them with the knives.</t>
  </si>
  <si>
    <t>http://ktla.com/2014/05/18/knife-wielding-man-shot-killed-by-officers-outside-north-hollywood-home-lapd/#axzz325Le3XDW</t>
  </si>
  <si>
    <t>Charles Jameson</t>
  </si>
  <si>
    <t>http://media.graytvinc.com/images/jameson.jpg</t>
  </si>
  <si>
    <t>2530 Easlan Drive</t>
  </si>
  <si>
    <t>Plover</t>
  </si>
  <si>
    <t>54467</t>
  </si>
  <si>
    <t>Portage County Sheriff’s Department</t>
  </si>
  <si>
    <t>Jameson was wearing a mask and intruded in an acquaintance's home. Deputies arrived and shot and killed Jameson after a short fight.</t>
  </si>
  <si>
    <t>http://www.wsaw.com/home/headlines/Large-Law-Enforcement-Presence-in-Plover--259665791.html</t>
  </si>
  <si>
    <t>Charles D. Broadway Jr.</t>
  </si>
  <si>
    <t>http://images.expressionstributes.com/f76fd9e309/200/9bc8f010933ec508.png</t>
  </si>
  <si>
    <t>1700 N 73rd Terrace</t>
  </si>
  <si>
    <t>66112</t>
  </si>
  <si>
    <t>Police engaged in a standoff with Broadway, and briefly exchanged gunfire with the 24-year-old before entering his apartment and finding him dead.</t>
  </si>
  <si>
    <t>Scott Kato</t>
  </si>
  <si>
    <t>http://assets.nydailynews.com/polopoly_fs/1.1795866!/img/httpImage/image.jpg_gen/derivatives/article_970/fdr17n-12-web.jpg</t>
  </si>
  <si>
    <t>FDR Dr and E 96th St</t>
  </si>
  <si>
    <t>10021</t>
  </si>
  <si>
    <t>Under the FDR Drive at the start of a rainy rush hour, 45-year-old Scott Kato died in a hail of police bullets after police say he pulled a gun on them.</t>
  </si>
  <si>
    <t>Quentin Byrd</t>
  </si>
  <si>
    <t>http://headlinesamerica.com/wp-content/uploads/2014/05/barnesville17n-2-web.jpg</t>
  </si>
  <si>
    <t>502 Atlanta St</t>
  </si>
  <si>
    <t>Barnesville</t>
  </si>
  <si>
    <t>30204</t>
  </si>
  <si>
    <t>Barnesville Police Department</t>
  </si>
  <si>
    <t>An on-duty Barnesville officer struck Justin Sullivan and Quentin Byrd as the two were crossing a highway around 1 a.m. The officer was treated for injuries at a nearby hospital.</t>
  </si>
  <si>
    <t>http://www.ajc.com/news/news/on-duty-police-officer-hits-kills-2-people/nfxzQ/</t>
  </si>
  <si>
    <t>Justin Sullivan</t>
  </si>
  <si>
    <t>http://static3.nydailynews.com/polopoly_fs/1.1795820.1400292787!/img/httpImage/image.jpg_gen/derivatives/article_970/barnesville17n-5-web.jpg</t>
  </si>
  <si>
    <t>Bruce Robinson</t>
  </si>
  <si>
    <t>6826 Veterans Memorial Blvd</t>
  </si>
  <si>
    <t>Metairie</t>
  </si>
  <si>
    <t>70003</t>
  </si>
  <si>
    <t>After Robinson's brother called police to report that his brother was acting suicidal, deputies arrived to find Robinson in a wheelchair holding a shotgun. The 47-year-old was fatally shot after refusing to drop the weapon and raising it at deputies.</t>
  </si>
  <si>
    <t>http://www.nola.com/crime/index.ssf/2014/05/jpso_deputies_shoot_kill_wheel.html</t>
  </si>
  <si>
    <t>Joseph Lambert Livers III</t>
  </si>
  <si>
    <t>http://ak-cache.legacy.net/legacy/images/Cobrands/lebanonenterprise/Photos/2c59d909-988d-4e22-b7ee-b88137e0e593.jpg</t>
  </si>
  <si>
    <t>8000 St Joe Rd</t>
  </si>
  <si>
    <t>Campbellsville</t>
  </si>
  <si>
    <t>42718</t>
  </si>
  <si>
    <t>Officers responding to a call of a suicidal man found Livers in front of his home holding a gun, and fatally shot him after he pulled out the weapon.</t>
  </si>
  <si>
    <t>http://www.lex18.com/news/one-man-dead-after-officer-involved-shooting-in-marion-county</t>
  </si>
  <si>
    <t>Justin Sean Tucker</t>
  </si>
  <si>
    <t>http://media2.wptv.com/photo/2014/05/17/WPTV-Justin-Sean-Tucker_1400340173336_4816484_ver1.0_640_480.jpg</t>
  </si>
  <si>
    <t>2917 Pine Cone Circle</t>
  </si>
  <si>
    <t>Clearwater</t>
  </si>
  <si>
    <t>33760</t>
  </si>
  <si>
    <t>Pinellas County Sheriff's Office</t>
  </si>
  <si>
    <t>Tucker stabbed his mother to death. Deputies arrived after Tucker phoned 911. Tucker stormed down the stairs with a 'dark object'. Deputies ordered him to stop, he refused and deputies shot and killed Tucker.</t>
  </si>
  <si>
    <t>http://www.tampabay.com/news/publicsafety/crime/deputy-involved-shooting-reported-in-clearwater/2180127</t>
  </si>
  <si>
    <t>Valeri Hawkins</t>
  </si>
  <si>
    <t>https://scontent-sjc.xx.fbcdn.net/hphotos-xfp1/t31.0-8/459067_502756643079869_1299499954_o.jpg</t>
  </si>
  <si>
    <t>2700 Pacheco St</t>
  </si>
  <si>
    <t>94519</t>
  </si>
  <si>
    <t>A suicidal woman pointed a gun at officers. Officers then shot and killed her.</t>
  </si>
  <si>
    <t>Nicolas Foster</t>
  </si>
  <si>
    <t>Cable Avenue</t>
  </si>
  <si>
    <t>01952</t>
  </si>
  <si>
    <t>Salisbury Police Department</t>
  </si>
  <si>
    <t>Foster stabbed his wife and friend. Police then entered the conflict and would refuse to drop his weapon, resulting in him getting shot and killed by officers.</t>
  </si>
  <si>
    <t>http://www.myfoxboston.com/story/25536337/suspect-killed-after-salisbury-machete-attack-identified</t>
  </si>
  <si>
    <t>Patrick Gerome Tillery</t>
  </si>
  <si>
    <t>http://www.baynews9.com/content/dam/news/images/2014/05/3/Tillery-515.jpg</t>
  </si>
  <si>
    <t>7806 Yucca Drive</t>
  </si>
  <si>
    <t>New Port Richey</t>
  </si>
  <si>
    <t>34653</t>
  </si>
  <si>
    <t>Tillery set a car on fire at a dealership. Deputies went to Tillery's home. Tillery's wife let deputies inside, at the end of the hallway. Tillery had a weapon pointed at the deputies. The deputies shot and killed Tillery.</t>
  </si>
  <si>
    <t>http://www.tampabay.com/news/publicsafety/crime/new-port-richey-man-dead-after-shootout-with-deputies/2179872</t>
  </si>
  <si>
    <t>Joshua Powell</t>
  </si>
  <si>
    <t>http://mediaassets.timesrecordnews.com/photo/2014/06/19/Josh_Powell_6406127_ver1.0_640_480.jpg</t>
  </si>
  <si>
    <t>2000 Gloria Ln</t>
  </si>
  <si>
    <t>76309</t>
  </si>
  <si>
    <t>Powell reportedly had a weapon. An officer shot and killed him after Powell refused to drop the weapon.</t>
  </si>
  <si>
    <t>http://www.timesrecordnews.com/news/wfpd_shooting</t>
  </si>
  <si>
    <t>Branndon Jefferson</t>
  </si>
  <si>
    <t>https://fbcdn-sphotos-g-a.akamaihd.net/hphotos-ak-frc3/v/t1.0-9/560011_447333738693386_1322835391_n.jpg?oh=2ebd4fc8ddb4f87aceb9c22f72a5d62a&amp;oe=55983F9D&amp;__gda__=1440823145_0b6f4f53fe90db1b69f12acf7e0b9490</t>
  </si>
  <si>
    <t>5901 Selinsky Road</t>
  </si>
  <si>
    <t xml:space="preserve">HPD patrol officers were called to the above address when a female resident reported Mr. Jefferson was acting irrationally while in her apartment.  Arriving officers attempted to detain Jefferson who allegedly refused to cooperate and continued to act and speak in an irrational manner.  He was then placed in handcuffs and leg restraints. Shortly afterwards, Jefferson was dead. </t>
  </si>
  <si>
    <t>David James Barclay</t>
  </si>
  <si>
    <t>http://www.baynews9.com/content/dam/news/images/2014/05/3/Barclay-514.jpg</t>
  </si>
  <si>
    <t>6500 North Clayton Avenue</t>
  </si>
  <si>
    <t>Dunelion</t>
  </si>
  <si>
    <t>34434</t>
  </si>
  <si>
    <t>Barclay was estranged from his wife and their 3-year-old son. He barged his way into her house with a handgun. A visiting friend escaped and called 911. When police arrived, with a full SWAT team, Barclay refused to drop his weapon and instead shot at them. Police returned fire, killing Barclay.</t>
  </si>
  <si>
    <t>http://www.baynews9.com/content/news/baynews9/news/article.html/content/news/articles/bn9/2014/5/14/four_citrus_deputies.html</t>
  </si>
  <si>
    <t>Tracey Liniger</t>
  </si>
  <si>
    <t>http://www.gannett-cdn.com/-mm-/e75c163825adbbaa1e9c89bffd8a14946d28d626/c=0-98-614-560&amp;r=x513&amp;c=680x510/local/-/media/Springfield/Springfield/2014/05/30//1401465099001-cropDaughter.jpg</t>
  </si>
  <si>
    <t>2745 South Maple Leaf Lane</t>
  </si>
  <si>
    <t>Springfield Police Department, Greene County Sheriff's Office</t>
  </si>
  <si>
    <t>Liniger was the office manager at a storage facility. On the day of the incident, she stopped two customers leaving the storage facility at the gate, behaving very erratically. When one of them called 911, she retrieved a weapon and shot out their tire. Police arrived and tried to negotiate with Liniger, but when she raised her weapon, they open fired, killing her. Liniger battled severe depression according to her daughter.</t>
  </si>
  <si>
    <t>https://www.scribd.com/doc/236037185/Officer-Involved-Shooting-GCSO-and-SPD-May-2014-Press-Release</t>
  </si>
  <si>
    <t>James Renee White Jr.</t>
  </si>
  <si>
    <t>http://tribktla.files.wordpress.com/2014/05/james-white-dmv-citywalk-scene.jpg?w=300&amp;h=163</t>
  </si>
  <si>
    <t>100 Universal City Plaza</t>
  </si>
  <si>
    <t>Universal City</t>
  </si>
  <si>
    <t>91608</t>
  </si>
  <si>
    <t>White allegedly had a gun in a large group. An officer saw that he had a gun and shot and killed him.</t>
  </si>
  <si>
    <t>http://ktla.com/2014/05/12/officer-involved-shooting-occurs-at-universial-city-walk/#axzz31VD6LsuK</t>
  </si>
  <si>
    <t>Tommy Jackson</t>
  </si>
  <si>
    <t>http://media.graytvinc.com/images/466*350/tommy+jackson.jpg</t>
  </si>
  <si>
    <t>500 W Carolina St</t>
  </si>
  <si>
    <t>32301</t>
  </si>
  <si>
    <t>After allegedly committing robbery, Jackson and Arthur James, 40, fled by car. Chased by police, they crashed into a tree and then ran on foot with police in pursuit. Jackson allegedly shot at Officers Doug Clark, Steven Britt, Derek Kidd, Ray Garcia, Brian Perry and Matthew Wagner, who then shot him 5-7 times, according to witnesses. Jackson died in the hospital later that day. James was shot in the face at a separate location and arrested.</t>
  </si>
  <si>
    <t>http://www.tallahassee.com/story/news/breaking/2014/05/12/tpd-responding-to-crime-scene-at-call-st-and-copeland-st/9002181/</t>
  </si>
  <si>
    <t>Michael Clayton McNeil</t>
  </si>
  <si>
    <t>http://www.dothanfirst.com/media/lib/204/3/8/4/384cdad9-cce7-4af1-ad62-8c3d3fa1ee90/Story.jpg</t>
  </si>
  <si>
    <t>Whitaker Road</t>
  </si>
  <si>
    <t>Ashford</t>
  </si>
  <si>
    <t>36312</t>
  </si>
  <si>
    <t>Houston County Sheriff’s Office</t>
  </si>
  <si>
    <t>McNeil was wanted on domestic violence charges. Officers confronted him at his home. McNeil pointed a loaded gun at officers, prompting the officers to shoot and kill McNeil.</t>
  </si>
  <si>
    <t>http://www.dothaneagle.com/news/crime_court/article_aa8f7f96-d9ff-11e3-89ee-001a4bcf6878.html</t>
  </si>
  <si>
    <t>Carola Sauers</t>
  </si>
  <si>
    <t>http://localtvwnep.files.wordpress.com/2014/05/carola-sauers.jpg?w=513</t>
  </si>
  <si>
    <t>Route 209 and Route 93</t>
  </si>
  <si>
    <t>Nesquehoning,</t>
  </si>
  <si>
    <t>18240</t>
  </si>
  <si>
    <t>Carbon</t>
  </si>
  <si>
    <t>Nesquehoning Police Department</t>
  </si>
  <si>
    <t>Sauers was riding as a passenger with her husband when they were hit by a police cruiser coming from the opposite direction. She was killed and her husband was seriously injured. The officer was travelling at high speed with lights and sirens on, but it remains unclear whether he was involved in an actual pursuit. City Council placed officer on unpaid leave until state police complete investigation.</t>
  </si>
  <si>
    <t>http://www.tnonline.com/2014/may/29/officer-crash-unpaid-leave</t>
  </si>
  <si>
    <t>Tommy J. Yancy Jr.</t>
  </si>
  <si>
    <t>http://b71b8ec5eac944ae1557-26ee6ff324193e600e1b1c904635a64b.r31.cf3.rackcdn.com/3185-Veteran-Tommy-Yancy-Allegedly-Beaten-to-Death-By.jpg</t>
  </si>
  <si>
    <t>Imperial Avenue and East 15th Street</t>
  </si>
  <si>
    <t>Imperial</t>
  </si>
  <si>
    <t>92251</t>
  </si>
  <si>
    <t>Jeromy Goode</t>
  </si>
  <si>
    <t>https://d3jpl91pxevbkh.cloudfront.net/gf/image/upload/c_fill,g_face,h_340,w_647/v1400597591/jKXao1U6TsOvh0DwXsnOtw.jpg</t>
  </si>
  <si>
    <t>Imperial Main St &amp; I-55</t>
  </si>
  <si>
    <t>63052</t>
  </si>
  <si>
    <t>Missouri State Highway Patrol</t>
  </si>
  <si>
    <t>Driver Jeromy Goode took off from a traffic stop for speeding with three passengers in the car. State troopers chased him at high speed down I-55 for 25 miles. Goode's SUV then failed to negotiate an exit, flipped, and the collision killed him and two others: Leon Haywood and Lavoy Steed.</t>
  </si>
  <si>
    <t>http://stlouis.cbslocal.com/2014/05/12/3-killed-in-jefferson-county-police-chase-identified/</t>
  </si>
  <si>
    <t>Leon Haywood</t>
  </si>
  <si>
    <t>Lavoy Steed</t>
  </si>
  <si>
    <t>http://laynemortuary.frontrunnerpro.com/include/storage/174097/DeathRecordStub/1869527/converted/150x178-2731543.jpg</t>
  </si>
  <si>
    <t>Gary Smith</t>
  </si>
  <si>
    <t>5400 W Madison St</t>
  </si>
  <si>
    <t>60644</t>
  </si>
  <si>
    <t>Smith raised his gun at an officer. The officer then shot and killed Smith</t>
  </si>
  <si>
    <t>Victor Luis Arenas</t>
  </si>
  <si>
    <t>http://media.azfamily.com/images/600*338/5-11-14-ELOY-OIS-3.jpg</t>
  </si>
  <si>
    <t>200 West Sixth Street</t>
  </si>
  <si>
    <t>Eloy</t>
  </si>
  <si>
    <t>85131</t>
  </si>
  <si>
    <t>Arenas heard noises outside his home around 4 a.m. He retrieved a gun and inspected the situation. He asked who was there and fired his weapon. It was in fact an officer who returned fire, killing Arenas.</t>
  </si>
  <si>
    <t>http://www.azfamily.com/news/Authorities-investigate-fatal-shooting-in-Pinal-County-258830311.html</t>
  </si>
  <si>
    <t>Jaie M. Perrizo</t>
  </si>
  <si>
    <t>2127 Solomons Island Rd S</t>
  </si>
  <si>
    <t>Prince Frederick</t>
  </si>
  <si>
    <t>20678</t>
  </si>
  <si>
    <t>Calvert</t>
  </si>
  <si>
    <t>When a state trooper pulled over Perrizo's Mitsubishi, he was initially cooperative, then took off northbound on Route 4. After a three-minute, three-and-a-half-mile chase where he tried to double back southbound, the Mitsubishi struck a Ford Escape and fatally injured Perrizo.</t>
  </si>
  <si>
    <t>http://www.orlandosentinel.com/bs-md-fatal-crash-police-pursuit-20140511-story.html</t>
  </si>
  <si>
    <t>Ron Hillstrom</t>
  </si>
  <si>
    <t>http://libertycrier.com/wp-content/uploads/2014/05/Ron-Hillstrom.jpg</t>
  </si>
  <si>
    <t>4400 76th Avenue West</t>
  </si>
  <si>
    <t>University Place</t>
  </si>
  <si>
    <t>98466</t>
  </si>
  <si>
    <t>Pierce County Police Department</t>
  </si>
  <si>
    <t>Police called about a psychotic break. They arrive and tasered him 4 times, then beat him to death.</t>
  </si>
  <si>
    <t>Joseph Givens</t>
  </si>
  <si>
    <t>http://ak-cache.legacy.net/legacy/images/Cobrands/Dispatch/Photos/0005888621-01-1_20140514.jpg</t>
  </si>
  <si>
    <t>1526 Jonathan Drive</t>
  </si>
  <si>
    <t>Police say they shot the man “multiple times” after he charged them with a knife following an early-morning rampage through a quiet neighborhood in which the man was “yelling and banging on doors, attempting to enter multiple homes.”</t>
  </si>
  <si>
    <t>Jonathan Lee Asuzu</t>
  </si>
  <si>
    <t>http://ak-cache.legacy.net/legacy/images/Cobrands/birmingham/Photos/photo_20140515_AL0043944_1_jonathan_asuzu_20140515.jpg</t>
  </si>
  <si>
    <t>400 2nd Ave N</t>
  </si>
  <si>
    <t>35204</t>
  </si>
  <si>
    <t>Asuzu, a security guard at a strip club, got into an altercation with unarmed Brandon Cephus, another security guard. An off duty officer, also working security, attempted to break up the fight with pepper spray. Asuzu shot and injured Cephus. The officer then shot Asuzu, killing him at the scene.</t>
  </si>
  <si>
    <t>http://blog.al.com/spotnews/2014/05/off-duty_birmingham_policeman.html</t>
  </si>
  <si>
    <t>Jose Raul Herrera</t>
  </si>
  <si>
    <t>https://cbsla.files.wordpress.com/2014/05/ois.jpg?w=625</t>
  </si>
  <si>
    <t>900 North Placer Street</t>
  </si>
  <si>
    <t>Medical distress call prompted officers to arrive. Herrera appeared to be intoxicated. One officer shot and killed Herrera, it is unknown if there was a threat towards said officer.</t>
  </si>
  <si>
    <t>Shane Gumm</t>
  </si>
  <si>
    <t>105 Miller Ave</t>
  </si>
  <si>
    <t>Hinton</t>
  </si>
  <si>
    <t>25951</t>
  </si>
  <si>
    <t>Summers</t>
  </si>
  <si>
    <t>Gumm broke into his ex-wife's home and stabbed her and her boyfriend. Police arrived on scene and Gumm acted aggressive with his knife, leading police to shoot and kill him.</t>
  </si>
  <si>
    <t>http://www.wsaz.com/home/headlines/One-Man-Dead-in-Officer-Involved-Shooting-258758951.html</t>
  </si>
  <si>
    <t>Neil Wayne Saylor</t>
  </si>
  <si>
    <t>http://t1.gstatic.com/images?q=tbn:ANd9GcR0i_3IWEB28DV4VxyLuY_xJQOVzzlturVLN6o2gvDf8dk6GhY47IY3fH8</t>
  </si>
  <si>
    <t>1439 E Main St</t>
  </si>
  <si>
    <t>Saylor robbed a dollar store. Police told him to drop his weapon. He allegedly acted aggressive, prompting police to shoot him twice, killing him.</t>
  </si>
  <si>
    <t>http://www.lex18.com/news/investigation-continues-into-ksp-involved-shooting-of-harlan-county-robber</t>
  </si>
  <si>
    <t>Devante Kyshon Hinds</t>
  </si>
  <si>
    <t>http://ak-cache.legacy.net/legacy/images/cobrands/birmingham/Photos/photo_20140515_AL0043951_1_img046_20140515.jpg?v=0x000000002d48cd5a</t>
  </si>
  <si>
    <t>9248 Parkway East</t>
  </si>
  <si>
    <t>After a drug deal Hinds allegedly tried to run over an officer with his car - he was subsequently shot and killed.</t>
  </si>
  <si>
    <t>http://www.wset.com/story/25484112/jefferson-county-sheriffs-office-release-identity-of-birmingham-man-shot-and-killed-by-deputy</t>
  </si>
  <si>
    <t>Osman Hernandez</t>
  </si>
  <si>
    <t>http://griefandlossattorneys.com/wp-content/uploads/2014/10/Osman-Hernandez-II.jpg</t>
  </si>
  <si>
    <t>950 E Alisal St</t>
  </si>
  <si>
    <t>Hernandez drunk when he was chasing people with a knife. The police say as he was being arrested he grabbed for the knife again and that is when he was shot. The family of Hernandez, however, argued he was lying on the ground with no knife when he was shot.</t>
  </si>
  <si>
    <t>http://www.ksbw.com/news/central-california/salinas/family-of-man-shot-by-salinas-police-they-killed-osman-like-a-dog/26001676</t>
  </si>
  <si>
    <t>Jacklynn Rashaun Ford</t>
  </si>
  <si>
    <t>http://www.gannett-cdn.com/-mm-/f42005eae2355e1ab67eab038f7d988cdc1673f0/c=0-129-480-490&amp;r=x404&amp;c=534x401/local/-/media/Salem/Salem/2014/05/10//1399753973000-MugshotDisplay.jpeg</t>
  </si>
  <si>
    <t>Watson Ave and NE Alameda St.</t>
  </si>
  <si>
    <t>97301</t>
  </si>
  <si>
    <t>Friday's incident began about 10:07 p.m. when Salem Police Officer Trevor Morrison made a traffic stop at Watson Avenue and Alameda Street NE, one block south of Eastgate Basin Park in northeast Salem. A cover officer was requested, a foot pursuit ensued and shortly thereafter shots were fired and the suspect was wounded, said Lt. Dave Okada, a spokesman for the Salem Police Department. Officers gave first aid to the woman until medics arrived. She was pronounced dead at Salem Hospital. Morrison was with police dog Baco at the time, and neither were injured. As officers gave aid and secured the scene, they found a gun near the suspect, Okada said in a press release.</t>
  </si>
  <si>
    <t>Howard Wallace Bowe Jr.</t>
  </si>
  <si>
    <t>http://funeralinnovations.com/img/obits/large/125043_qnkvu01r5hh440mm0.JPG</t>
  </si>
  <si>
    <t>704 NW 4th St.</t>
  </si>
  <si>
    <t>Hallandale Beach</t>
  </si>
  <si>
    <t>33009</t>
  </si>
  <si>
    <t>Hallandale Beach Police Department</t>
  </si>
  <si>
    <t>A confrontation ensued while police were serving a narcotics search warrant. A police officer became scared and discharged his weapon, hitting Bowe twice. Bowe died eleven days later.</t>
  </si>
  <si>
    <t>http://articles.sun-sentinel.com/2014-05-21/news/fl-hallandale-swat-shooting-death-20140521_1_howard-bowe-swat-team-search-warrant</t>
  </si>
  <si>
    <t>Arcenio Lujan</t>
  </si>
  <si>
    <t>Castle Drive</t>
  </si>
  <si>
    <t>87701</t>
  </si>
  <si>
    <t>San Miguel</t>
  </si>
  <si>
    <t>Police came to Lujan's home because he was reported suicidal. They spoke to him for a half-hour before he leveled the rifle at them and began advancing.</t>
  </si>
  <si>
    <t>http://www.santafenewmexican.com/news/local_news/state-police-officers-shoot-kill-las-vegas-n-m-man/article_6b3a8d07-012b-5435-bbc9-57cc4619fc7f.html</t>
  </si>
  <si>
    <t>Thomas Ornelas</t>
  </si>
  <si>
    <t>http://www.fatalencounters.org/wp-content/uploads/2013/10/Thomas.Ornelas.jpg</t>
  </si>
  <si>
    <t>Interstate 70</t>
  </si>
  <si>
    <t>Dotsero</t>
  </si>
  <si>
    <t>81637</t>
  </si>
  <si>
    <t>Eagle</t>
  </si>
  <si>
    <t>Colorado State Patrol</t>
  </si>
  <si>
    <t>Ornelas was a convicted violent felon, out of prison but awaiting trial on charges stemming from a drive-by shooting. He was pulled over on the freeway when the state patrol stopped to offer assistance. As the troopers approached the car on on foot, Ornelas pulled a gun and shot one trooper in the leg. The trooper's partner returned fire, killing Ornelas. The injured trooper survived.</t>
  </si>
  <si>
    <t>http://blogs.westword.com/latestword/2014/05/thomas_ornelas_killed_eugene_hofacker_trooper_shot.php</t>
  </si>
  <si>
    <t>Jose Rodriquez-Moncada</t>
  </si>
  <si>
    <t>24</t>
  </si>
  <si>
    <t>275 N. 16th Street</t>
  </si>
  <si>
    <t>Payette</t>
  </si>
  <si>
    <t>83661</t>
  </si>
  <si>
    <t>Payette County Sheriff's Department</t>
  </si>
  <si>
    <t>Officer approached because the vehicle appeared similar to one that fired shots near a school. Rodriquez-Moncada opened fire as soon as the officer told him to get out of the car, and the two exchanged more than a dozen shots, police say. The officer was hit and Rodriquez-Moncada was shot and killed.</t>
  </si>
  <si>
    <t>http://www.ktvb.com/news/crime/Man-who-exchanged-bullets-with-deputy-in-Payette-dies-of-his-injuries-258650931.html</t>
  </si>
  <si>
    <t>James "Jim" Palmer</t>
  </si>
  <si>
    <t>6095 California St</t>
  </si>
  <si>
    <t>Brooksville</t>
  </si>
  <si>
    <t>Palmer's landlord wanted him to leave. Palmer decided to burn the place down. Deputies responded to the fire. Palmer was aggressive and was ultimately shot and killed.</t>
  </si>
  <si>
    <t>http://www.tampabay.com/news/publicsafety/hernando-deputies-shoot-man-threatening-to-torch-his-home/2178842</t>
  </si>
  <si>
    <t>Steven Travis Goble</t>
  </si>
  <si>
    <t>http://media.mlive.com/grpress/news_impact/photo/goblejpg-d9ec06a5df6aa46b.jpg</t>
  </si>
  <si>
    <t>Hubbell Rd and Hoppough Rd</t>
  </si>
  <si>
    <t>Ionia</t>
  </si>
  <si>
    <t>Ionia County Sheriff's Office</t>
  </si>
  <si>
    <t>Following a police chase, an armed Goble allegedly shot at officers, who then returned fire.</t>
  </si>
  <si>
    <t>Dominique Franklin Jr.</t>
  </si>
  <si>
    <t>http://www.trbimg.com/img-539224aa/turbine/chi-father-remembers-son-who-died-after-taser--001/600/600x338</t>
  </si>
  <si>
    <t>1601 N Wells St</t>
  </si>
  <si>
    <t>60614</t>
  </si>
  <si>
    <t>Police pursuing Franklin after the 23-year-old robbed a store tasered him twice, causing him to fall headfirst into a streetlight. After Franklin died several weeks later, his father sued the police.</t>
  </si>
  <si>
    <t>http://www.nbcchicago.com/news/local/chicago-old-town-1600-north-wells-taser--260090471.html</t>
  </si>
  <si>
    <t>George V. King</t>
  </si>
  <si>
    <t>https://www.baltimorebrew.com/content/uploads/2014/10/king.jpg</t>
  </si>
  <si>
    <t>5601 Loch Raven Blvd</t>
  </si>
  <si>
    <t>21239</t>
  </si>
  <si>
    <t>King spent the night in the hospital for a reaction to dental work medication. After an unknown procedure, and possibly taking Keppra the next day, King allegedly became "agitated and combative" about not being immediately released. Police were called and told King was "experiencing an emotional crisis" and being combative. Two officers arrived and tasered King once while 5-10 hospital workers tried to secure him to a gurney. He resisted, was drive-stunned four times, and was given a sedative. He went into a coma and died 7-8 days later. His mother Georgette's lawyer said that King suffered cardiac arrest. After the event, Baltimore Police Department restricted their responses to hospital emergencies. In May 2014 Georgette King was planning to sue them for excessive force.</t>
  </si>
  <si>
    <t>http://articles.baltimoresun.com/2014-05-15/news/bs-md-ci-police-tasing-20140515_1_taser-shock-two-officers-teen</t>
  </si>
  <si>
    <t>Arnesto Ramos</t>
  </si>
  <si>
    <t>http://wac.450f.edgecastcdn.net/80450F/kfyo.com/files/2014/05/Arnesto-Ramos-Featured.jpg</t>
  </si>
  <si>
    <t>2000 63rd Street</t>
  </si>
  <si>
    <t>79412</t>
  </si>
  <si>
    <t>Police responded to a domestic violence call and found Ramos barricaded in his home with two knives. Police negotiated for an hour but eventually Ramos advanced toward police with his knives. Police shot Ramos with bean bag rounds which did not stop his advance. Police open fired with lethal rounds, killing Ramos. Ramos had previously threatened to commit suicide.</t>
  </si>
  <si>
    <t>http://kfyo.com/lubbock-police-release-update-on-arnesto-ramos-shooting/</t>
  </si>
  <si>
    <t>Perlie Golden</t>
  </si>
  <si>
    <t>http://i1.ytimg.com/vi/E1xbxg8PgtE/0.jpg</t>
  </si>
  <si>
    <t>1400 block Pin Oak Street</t>
  </si>
  <si>
    <t>Hearne</t>
  </si>
  <si>
    <t>77859</t>
  </si>
  <si>
    <t>Robertson</t>
  </si>
  <si>
    <t>Hearne Police Department</t>
  </si>
  <si>
    <t>A local officer responding to a 911 call found the 93-year-old Golden holding a handgun. Golden fired twice into the ground; the officer commanded her three times to drop the weapon, which she did not do. He shot three times and Golden was struck twice, fatally.</t>
  </si>
  <si>
    <t>Cheyne Russell Pinkney</t>
  </si>
  <si>
    <t>http://www.news4jax.com/image/view/-/25855234/medRes/1/-/lxaqp2/-/Cheyne-Pinkey.jpg</t>
  </si>
  <si>
    <t>927 Beville Rd</t>
  </si>
  <si>
    <t>South Daytona</t>
  </si>
  <si>
    <t>32119</t>
  </si>
  <si>
    <t>Daytona Beach Police Department / South Daytona Police Department</t>
  </si>
  <si>
    <t>Pinkney allegedly robbed a tanning salon with an Airsoft pistol and raped an employee. It is unclear how the alarm was set off. When Pinkney spotted officers at the front door, he ran out of the back door into a parking lot and, as seen on raw footage, turned when he apparently heard South Daytona police Officer Michael Charla and Daytona Beach Police officer Tara Cantrell behind him at the door shout something. "Several shots were fired." He died shortly afterward at Halifax Hospital.</t>
  </si>
  <si>
    <t>http://www.wesh.com/news/police-shoot-suspect-in-south-daytona/25840006</t>
  </si>
  <si>
    <t>Christopher George Louk</t>
  </si>
  <si>
    <t>http://www.krcrtv.com/image/view/-/25854926/highRes/1/-/maxw/240/-/kpmv81/-/man-bag-robber-1-jpg.jpg</t>
  </si>
  <si>
    <t>1199 Grand Ave</t>
  </si>
  <si>
    <t>95961</t>
  </si>
  <si>
    <t>Yuba County Sheriff Department</t>
  </si>
  <si>
    <t>A deputy spotted Louk, who was a suspect in several bank robberies, in a parking lot. Three law enforcement vehicles, one possibly Marysville Police Department, chased Louk's SUV at high speeds. Witnesses to the chase claim bullets were being fired and that they heard a crash as Louk's vehicle became stuck in a railroad track. Investigators claim that at that poing Louk refused to surrender, and that gunfire was exchanged. Two Yuba County deputies shot at Louk's truck, killing him. Investigators also claim the fatal injury was "possibly self-inflicted."</t>
  </si>
  <si>
    <t>http://www.actionnewsnow.com/content/localnews/story/Suspected-bank-robber-dead-after-high-speed-chase/kcBc21xMR0KeHw_7Cu2aNg.cspx</t>
  </si>
  <si>
    <t>Justin Griffin</t>
  </si>
  <si>
    <t>http://www.gannett-cdn.com/-mm-/856ab7ca2fe1e4186defbcde33f4855d0df49320/c=0-8-480-370&amp;r=x404&amp;c=534x401/local/-/media/JacksonMS/JacksonMS/2014/05/06//1399407600000-Justin-Griffin.jpg</t>
  </si>
  <si>
    <t>2240 Westbrook Road</t>
  </si>
  <si>
    <t>39211</t>
  </si>
  <si>
    <t>Hinds</t>
  </si>
  <si>
    <t>Hinds County Sheriff Department</t>
  </si>
  <si>
    <t>Griffin, a basketball coach, allegedly argued with game referee and off-duty Hinds County deputy Joshua Adams. Griffin fought with Adams and a second unnamed off-duty uniformed deputy, who was working security, outside the facility. Parking lot surveillance footage shows blows exchanged and Adams hitting Griffin on the chin. Griffin died the next day. Adams was indicted on manslaughter 07/14.</t>
  </si>
  <si>
    <t>http://www.msnewsnow.com/story/25435949/coach-dies-after-altercation-with-hinds-co-deputies?clienttype=generic&amp;mobilecgbypass&amp;utm_content=buffer8b414&amp;utm_medium=social&amp;utm_source=twitter.com&amp;utm_campaign=buffer</t>
  </si>
  <si>
    <t>6406 Belarbor St</t>
  </si>
  <si>
    <t>77087</t>
  </si>
  <si>
    <t>The male victim was shot after attempting to flee from police by jumping over a wooden fence, and then turning and pointing a gun at the officer. The man's name was not released.</t>
  </si>
  <si>
    <t>http://www.click2houston.com/news/hpd-one-injured-in-officerinvolved-shooting-in-se-houston/25817776</t>
  </si>
  <si>
    <t>Jonathan Swindle</t>
  </si>
  <si>
    <t>http://kytx.images.worldnow.com/images/3654258_G.jpg</t>
  </si>
  <si>
    <t>TX 87 and FM139</t>
  </si>
  <si>
    <t>Center</t>
  </si>
  <si>
    <t>75935</t>
  </si>
  <si>
    <t>Texas Department of Public Safety / Center Police Department</t>
  </si>
  <si>
    <t>DPS and police put spike strips on the highway to stop Swindle, who was driving an allegedly stolen truck. Swindle swerved to avoid the strips and hit Trooper Zach Mills, breaking his leg. Witness Kateria Clifton states that she then heard the truck head straight into a pasture, then "chaos as all the law enforcement behind him followed". A reporter also states that a "Center police officer wrecked his car in the confusion". Trooper Dustin Ramos and Officer Dwayne Gordon fired 19-21 shots into the truck. Swindle, who the police claim was naked, was struck five times.</t>
  </si>
  <si>
    <t>http://www.kltv.com/story/25426579/e-texas-trooper-involved-shooting-under-investigation</t>
  </si>
  <si>
    <t>Oscar Herrera</t>
  </si>
  <si>
    <t>http://viafoura.s3.amazonaws.com/www.sfgate.com/viafoura_9ssxs92jf5kwc0c8w4go4gwg8sc80o8_l.jpg</t>
  </si>
  <si>
    <t>1700 Dublin Meadows Street</t>
  </si>
  <si>
    <t>94568</t>
  </si>
  <si>
    <t>Dublin Police Department</t>
  </si>
  <si>
    <t>Police responded to a call that Herrera was having a mental breakdown and may have assaulted his mother. He opened the door holding a metal baseball bat. An officer pulled his gun and Herrera allegedly hit his hand. He then allegedly raised the bat over his head and the officer fired four times at him, killing him. Upstairs witness Shari Vernor says she heard a woman shout "Don't shoot him!" and then gunfire. In a similar incident in nearby Livermore the previous day, Herrera was tasered and arrested by officers after fighting with a friend and threatening officers with his bat.</t>
  </si>
  <si>
    <t>http://www.mercurynews.com/ci_25697735/man-fatally-shot-by-police-responding-domestic-dispute</t>
  </si>
  <si>
    <t>Steven Goble</t>
  </si>
  <si>
    <t>http://media.mlive.com/grpress/news_impact/photo/stevegoble-2jpg-c9e76ab9461fc70f.jpg</t>
  </si>
  <si>
    <t>Hubble Road &amp; Hoppough Road</t>
  </si>
  <si>
    <t>48846</t>
  </si>
  <si>
    <t>Ionia County, Michigan State Police</t>
  </si>
  <si>
    <t>Led police on a high-speed chase after assaulting his wife. He called his employer and told them he was going to commit suicide by cop. He stopped his car at which officers gave him verbal commands that Mr. Goble ignored as he walked toward the police yelling "Shoot Me" while holding a shotgun. Goble fired a shot at police and they returned fire. Even though Goble was shot he continued hold the shotgun and pointed at officers, who at that point shot and killed Goble.</t>
  </si>
  <si>
    <t>http://www.mlive.com/news/grand-rapids/index.ssf/2014/06/prosecutor_ionia_man_committed.html</t>
  </si>
  <si>
    <t>Jerome Dexter Christmas</t>
  </si>
  <si>
    <t>http://ksla.images.worldnow.com/images/25422732_BG2.jpg</t>
  </si>
  <si>
    <t>1100 Highland Ave</t>
  </si>
  <si>
    <t>71101</t>
  </si>
  <si>
    <t>After refusing to follow officer orders, Christmas allegedly began struggling with officers, forcing them to subdue him using a taser. He soon became unconscious, and suffered a cardiac arrest while struggling with police.</t>
  </si>
  <si>
    <t>Armand Martin</t>
  </si>
  <si>
    <t>50</t>
  </si>
  <si>
    <t>https://lintvkrqe.files.wordpress.com/2014/05/armand-martin.jpg</t>
  </si>
  <si>
    <t>10500 Coyote Canyon NW</t>
  </si>
  <si>
    <t>87114</t>
  </si>
  <si>
    <t>SWAT team officer Daniel Hughes shot and killed 50-year-old Armand Martin after police said Martin threatened his wife and children with a gun. Police said Martin fired into the neighborhood from his home, and came out of the house ‘actively shooting with two handguns’ before he was fatally shot</t>
  </si>
  <si>
    <t>http://www.abqjournal.com/apd-under-fire-incident-summaries</t>
  </si>
  <si>
    <t>Londrell E. Johnson</t>
  </si>
  <si>
    <t>http://bloximages.chicago2.vip.townnews.com/host.madison.com/content/tncms/assets/v3/editorial/e/5a/e5ae19d0-f857-5872-84d1-1af38d67e742/53e6d10ac8032.preview-620.jpg</t>
  </si>
  <si>
    <t>2617 E. Washington Ave</t>
  </si>
  <si>
    <t>Johnson threatened and then killed his neighbor, her daughter, and wounded her son. He was armed with the knife when police arrived, after the son left the apartment and called for help.</t>
  </si>
  <si>
    <t>http://host.madison.com/news/local/crime_and_courts/madison-officers-cleared-in-internal-investigation-of-londrell-johnson-shooting/article_0d4b7356-fb1f-525b-b074-50c5e9ab6ca1.html</t>
  </si>
  <si>
    <t>Eddie Macon Jr.</t>
  </si>
  <si>
    <t>http://www.elkharttruth.com/image/2014/05/03/800x800_b0/Eddie-Macon-Jr-39-of-Elkhart.png</t>
  </si>
  <si>
    <t>1015 S 11th St</t>
  </si>
  <si>
    <t>Niles</t>
  </si>
  <si>
    <t>49120</t>
  </si>
  <si>
    <t>Berrien</t>
  </si>
  <si>
    <t>Niles Police Department</t>
  </si>
  <si>
    <t>Macon was shot after an attempted armed robbery of a fast food restaurant in Niles, and was fatally shot while attempting to flee from police. The county prosecutor ruled the shooting justified.</t>
  </si>
  <si>
    <t>http://www.southbendtribune.com/news/shooting-of-niles-robber-justified-prosecutor-rules/article_ddde90a0-f569-11e3-a487-0017a43b2370.html</t>
  </si>
  <si>
    <t>Brandon Daniel Peters</t>
  </si>
  <si>
    <t>8800 Doe Ln</t>
  </si>
  <si>
    <t>32219</t>
  </si>
  <si>
    <t>Peters was shot by deputies after he lunged and severely stabbed a deputy in the arm. Deputies fired rounds from a handgun and rifle, and Peters was taken to a nearby hospital where he later died.</t>
  </si>
  <si>
    <t>http://jacksonville.com/news/2014-05-02/story/third-police-involved-shooting-weeks-man-shot-dead-after-stabbing-jacksonville</t>
  </si>
  <si>
    <t>Dean A. Caccamo</t>
  </si>
  <si>
    <t>Hanna Road</t>
  </si>
  <si>
    <t>Primrose</t>
  </si>
  <si>
    <t>54560</t>
  </si>
  <si>
    <t>Dane County Sheriff Department</t>
  </si>
  <si>
    <t>The schizophrenic Caccamo severely beat his elderly mother and stepfather in the home they shared. The police arrived and used nonlethal force (stun and pepper), but Caccamo was wearing a bullet proof vest and went toward officers, two of whom were stabbed and left with nonfatal wounds. Officer James Kelley shot and killed Caccamo.</t>
  </si>
  <si>
    <t>http://www.jsonline.com/news/wisconsin/man-in-attack-on-madison-deputies-was-schizophrenic-sheriff-says-b99261529z1-257751901.html</t>
  </si>
  <si>
    <t>Dontre Hamilton</t>
  </si>
  <si>
    <t>https://localtvwiti.files.wordpress.com/2014/06/hamilton-d-phot-dontre-hamilton-photo-1provided-to-news-media.jpg</t>
  </si>
  <si>
    <t>State Street and Water Street</t>
  </si>
  <si>
    <t>53202</t>
  </si>
  <si>
    <t>Mentally ill man (Hamilton) found lying on the ground near Red Arrow park, which is across the street from Milwaukee City Hall. A police officer ordered the man to move. A scuffle ensued. Hamilton allegedly took the officer's baton away and allegedly began to hit him with it. The officer fired approximately 15 shots at Hamilton. Hamilton died at the scene.</t>
  </si>
  <si>
    <t>http://www.jsonline.com/news/crime/family-says-officer-shot-red-arrow-park-victim-15-times-b99315040z1-268006291.html</t>
  </si>
  <si>
    <t>Michael Conley</t>
  </si>
  <si>
    <t>http://www.mentalhealthportland.org/wp-content/uploads/2014/05/Michael-Conley-FB1.jpg</t>
  </si>
  <si>
    <t>4700 Lancaster Drive NE</t>
  </si>
  <si>
    <t>97305</t>
  </si>
  <si>
    <t>A man was shot at least once in the head by a Salem Police officer after threatening the officer with a knife in northeast Salem early Wednesday, April 30. It started when Officer David Baker was dispatched to the Salem Arbor Townhouse Condominiums, in the 4700 block of Lancaster Drive NE, on a report of a domestic disturbance at 7:13 a.m. When Baker arrived, he was confronted by 47-year-old Michael Conley, who was brandishing a knife. According to Salem Police, Conley advanced on Baker with the knife, despite orders to put the knife down. An officer could be heard over the scanner telling dispatchers: "He's coming at me with the knife, telling me to shoot him."</t>
  </si>
  <si>
    <t>http://koin.com/2014/05/19/grand-jury-fatal-shooting-of-salem-man-justified</t>
  </si>
  <si>
    <t>Dion Julius Brown</t>
  </si>
  <si>
    <t>http://bloximages.newyork1.vip.townnews.com/fayobserver.com/content/tncms/assets/v3/editorial/f/2b/f2b182b6-cfc7-11e3-aab1-0017a43b2370/535fe896c82dd.image.jpg</t>
  </si>
  <si>
    <t>311 2nd St</t>
  </si>
  <si>
    <t>Tabor City</t>
  </si>
  <si>
    <t>Columbus County Sheriff's Office</t>
  </si>
  <si>
    <t>Brown was wanted on warrants related to a robbery and murder of a grocery store manager earlier in April, and exchanged gunfire with deputies pursuing him. Brown was shot and killed during the pursuit, and the shooting was later ruled justified.</t>
  </si>
  <si>
    <t>http://www.fayobserver.com/news/crime_courts/article_014252e4-b8d9-5a2d-a7d0-99a24e0d2be4.html</t>
  </si>
  <si>
    <t>Daniel Ibarra</t>
  </si>
  <si>
    <t>117 N. Gage Ave</t>
  </si>
  <si>
    <t>90063</t>
  </si>
  <si>
    <t>Ibarra allegedly shot a woman in the neck during a domestic dispute. When deputies arrived to the "gunshot victm" call, they took her away and Ibarra allegedly hiding, shot at them then confronted them in front of the home. After a 1.5 hour SWAT standoff with Ibarra holding a gun and cellphone, he "wielded the weapon in a threatening manner toward the deputies" and they fired at least three shots, killing him in the driveway. Some initial reports stated he was trying to reach the two children in the home and was shot as he began to move toward the house.</t>
  </si>
  <si>
    <t>http://www.nbclosangeles.com/news/local/Person-Shot-by-Gunman-in-East-LA-257128861.html</t>
  </si>
  <si>
    <t>15000 Heyden St</t>
  </si>
  <si>
    <t>48223</t>
  </si>
  <si>
    <t>The victim allegedly tried to run over a police officer, and was later pursued by police into a house after crashing his vehicle. Officers shot the man after he pulled a gun on officers.</t>
  </si>
  <si>
    <t>http://www.myfoxtwincities.com/story/25383050/neighborhood-crash-ends-police-chase-suspect-shot-dead</t>
  </si>
  <si>
    <t>Herbert Earl Green</t>
  </si>
  <si>
    <t>5345 Palm St</t>
  </si>
  <si>
    <t>Green, a schizophrenic, threatened police with a gun. Police responded and shot and killed Green.</t>
  </si>
  <si>
    <t>http://www.reviewjournal.com/news/las-vegas/drug-problems-mental-illness-plagued-man-killed-metro</t>
  </si>
  <si>
    <t>Jeremy Arnold</t>
  </si>
  <si>
    <t>http://media.spokesman.com/photos/2014/05/01/0501_arnoldmug_t620.jpg?161ad8e426d1312361ed5892fdc121cdf327258d</t>
  </si>
  <si>
    <t>2512 N. Standard St.</t>
  </si>
  <si>
    <t>Arnold had returned to his home at 2512 N. Standard St., driving through a barricade police had set up as they investigated the stabbing death of 46-year-old Tracy Fergerstrom. When he stopped the blue pickup truck and climbed out with a gun in his hand, officers opened fire.</t>
  </si>
  <si>
    <t>http://www.spokesman.com/stories/2014/may/01/police-name-jeremy-arnold-as-homicide-suspect/</t>
  </si>
  <si>
    <t>Amber Noelle Smith</t>
  </si>
  <si>
    <t>http://wlbt.images.worldnow.com/images/25329990_BG2.jpg</t>
  </si>
  <si>
    <t>126 Caledonian Boulevard</t>
  </si>
  <si>
    <t>Brandon</t>
  </si>
  <si>
    <t>39047</t>
  </si>
  <si>
    <t>Hinds County Sheriff'sOffice</t>
  </si>
  <si>
    <t>Off duty Chris Smith got in an argument with his wife Amber Noelle Smith, he then shot and killed her then himself.</t>
  </si>
  <si>
    <t>http://www.dailymail.co.uk/news/article-2612724/Sheriffs-deputy-gunned-wife-domestic-dispute-two-young-daughters-listening-just-steps-away.html</t>
  </si>
  <si>
    <t>Victor Coleman</t>
  </si>
  <si>
    <t>http://d3vs4613l1445x.cloudfront.net/archive/x1372326128/Image/g320258000000000000cb83293ebc8cdfee4bb365f6957975d1b2e83852.jpg</t>
  </si>
  <si>
    <t>1835 Feather River Blvd</t>
  </si>
  <si>
    <t>95965</t>
  </si>
  <si>
    <t>Oroville Police Department</t>
  </si>
  <si>
    <t>Coleman's wife Lauri Coryell reported to 911 that Coleman, staying at a motel, had left a suicidal voicemail. Officers John Nickelson, Marcus Tennigkeit, Jared Cooley and Breck Wright, Sgt. Vanessa Purdy and Lt. Al Byers communicated with him through his door and via phone for several hours. When Beyers decided the suicide was imminent, Wright battered the door open and they went in with guns and a taser. Police state that Coleman was allegedly "wielding a knife and a bottle of Wild Turkey bourbon in a threatening manner, both of which he allegedly swung toward Tennigkeit, apparently connecting with the bottle." Tennigkeit, Nickelson and Cooley fired 18 shots, hitting Coleman 16 times and killing him. As of 10/14, Coryell and other victim families were fighting to have Tennigkeit, Nickelson, Cooley and other Oroville officers fired.</t>
  </si>
  <si>
    <t>http://www.orovillemr.com/news/ci_25657943/man-killed-officer-involved-shooting-at-oroville-motel</t>
  </si>
  <si>
    <t>Tere David King</t>
  </si>
  <si>
    <t>Pambrun Road</t>
  </si>
  <si>
    <t>Athena</t>
  </si>
  <si>
    <t>97813</t>
  </si>
  <si>
    <t>Athena City Police Department</t>
  </si>
  <si>
    <t>The Oregon State Police is investigating a fatal shooting by an Athena police officer who killed a suspect Monday involved in an earlier eluding incident. Athena police Sgt. Erik Palmer shot and killed Tere David King, 55, of Athena on Pambrun Road just east of town. Primus said Palmer had spotted King’s vehicle and was going to arrest him for an eluding incident from Saturday. Palmer was waiting for backup when King drove toward him to leave the scene. Palmer then disabled King’s vehicle by shooting the tires, Primus said. After King’s vehicle was disabled, Palmer reported the suspect got out of his vehicle with a firearm, which is when the officer shot and killed him.</t>
  </si>
  <si>
    <t>Ronald Michael Davis</t>
  </si>
  <si>
    <t>31</t>
  </si>
  <si>
    <t>Interstate 75 Athens-Boonesboro exit</t>
  </si>
  <si>
    <t>40324</t>
  </si>
  <si>
    <t>Scott County Sheriff's Department</t>
  </si>
  <si>
    <t>Police say Davis shot a woman multiple times at a Lexington gas station and after a pursuit was himself shot and killed by a Scott County sheriff's deputy.</t>
  </si>
  <si>
    <t>http://www.kentucky.com/2013/04/27/2617868/scott-county-deputy-shoots-man.html</t>
  </si>
  <si>
    <t>Jason Conoscenti</t>
  </si>
  <si>
    <t>http://www.trbimg.com/img-536c3c3a/turbine/la-me-ln-long-beach-police-shooting-suit-20140508</t>
  </si>
  <si>
    <t>14th Place and 1900 E. Ocean Blvd</t>
  </si>
  <si>
    <t>After allegedly shoplifting in Target and brandishing scissors at a security guard, Conoscenti led Sheriffs on a 30-minute slow speed pursuit to a dead end street with stairs leading to the beach. After sitting in the car approx.15 minutes he got out carrying a wooden stick and walked quickly to the stairs. Police shot beanbags and a K-9 chased him as he ran down the stairs. When he reached the bottom, police waiting at the side shot him several times. He died a short time later at a hospital. In June 2014 his family filed a $10m wrongful death suit.</t>
  </si>
  <si>
    <t>http://lbpost.com/news/crime/2000003625-breaking-reports-of-suspect-wounded-in-officer-involved-shooting-at-ocean-and-hermosa#.U154WI1OXZ4</t>
  </si>
  <si>
    <t>Kandice M. Honiker</t>
  </si>
  <si>
    <t>1900 V St</t>
  </si>
  <si>
    <t>95340</t>
  </si>
  <si>
    <t>Merced Police Department</t>
  </si>
  <si>
    <t>Honiker pointed a gun at officers after committing a robbery. She was shot and killed.</t>
  </si>
  <si>
    <t>http://www.mercedsunstar.com/2014/06/11/3693287/merced-police-officers-cleared.html</t>
  </si>
  <si>
    <t>Samantha Ramsey</t>
  </si>
  <si>
    <t>http://wxix.images.worldnow.com/images/25350687_BG2.jpg</t>
  </si>
  <si>
    <t>River Road</t>
  </si>
  <si>
    <t>Boone County</t>
  </si>
  <si>
    <t>41048</t>
  </si>
  <si>
    <t>Boone County Sheriff's Department</t>
  </si>
  <si>
    <t>Deputy Tyler Brockman shot Ramsey four times through her windshield while she was trying to leave a field party in April. He said she tried to run him over.</t>
  </si>
  <si>
    <t>http://www.cincinnati.com/story/news/crime/2014/05/02/ksp-investigate-samantha-ramsey-death/8628801/</t>
  </si>
  <si>
    <t>Tyrone Davis</t>
  </si>
  <si>
    <t>http://media.tumblr.com/c4c02f172a468124c1146d5cb8762b76/tumblr_inline_nh38a5voco1ruklg0.jpg</t>
  </si>
  <si>
    <t>1221 Martin Luther King Junior Road</t>
  </si>
  <si>
    <t>Natchez</t>
  </si>
  <si>
    <t>Adams County Sheriff's Office</t>
  </si>
  <si>
    <t>A Natchez man died Wednesday night shortly after being shocked with a stun gun by an Adams County Sheriff's Office deputy during a traffic stop for reckless driving.</t>
  </si>
  <si>
    <t>Joe Huff</t>
  </si>
  <si>
    <t>http://www.trbimg.com/img-535ae7fb/turbine/chi-joe-huff-jr-20140425/940/530x940</t>
  </si>
  <si>
    <t>8400 S Carpenter St</t>
  </si>
  <si>
    <t>Huff fired a shotgun, harming the off duties officer's wife. The officer then shot and killed Huff</t>
  </si>
  <si>
    <t>http://www.nbcchicago.com/news/local/Neighbor-Dispute-Involving-Chicago-Cop-Leaves-Man-Dead---256758351.html</t>
  </si>
  <si>
    <t>Emmanuel Wooten</t>
  </si>
  <si>
    <t>http://www.gannett-cdn.com/-mm-/9cfe75cebafcc1598b0354a2a5df29e49ad9d04b/c=0-50-800-650&amp;r=x404&amp;c=534x401/local/-/media/JacksonMS/2014/04/25/wooten.jpg</t>
  </si>
  <si>
    <t>8th Avenue and 19th Street</t>
  </si>
  <si>
    <t>Wooten fired at authorities, led them on a small chase, held his cousin and girlfriend hostage, and after a violent standoff Wooten was shot and killed.</t>
  </si>
  <si>
    <t>Salvador Palencia-Cruz</t>
  </si>
  <si>
    <t>3817 E 56th Street</t>
  </si>
  <si>
    <t>90270</t>
  </si>
  <si>
    <t>Two deputies responded to a 911 "attempted suicide" report. Palencia-Cruz was allegedly in a kitchen holding a long metal knife-like object, and threatened them. Deputies say they repeatedly told him to drop it, that he refused and threw it near their heads. He then allegedly grabbed another long metal object that resembled a knife, pointed it at them and advanced toward them. They shot him an unspecified amount of times. Witness Jose Munoz states he heard arguing outside, then "a couple gunshots."</t>
  </si>
  <si>
    <t>http://www.nbclosangeles.com/news/local/Man-Dead-in-Maywood-Deputy-Involved-Shooting-256820521.html</t>
  </si>
  <si>
    <t>Mariah Boucher</t>
  </si>
  <si>
    <t>Miller Ave. and Oakshire Ave.</t>
  </si>
  <si>
    <t>Modesto</t>
  </si>
  <si>
    <t>95354</t>
  </si>
  <si>
    <t>Modesto Police Department</t>
  </si>
  <si>
    <t>http://www.modbee.com/incoming/article3163832.html</t>
  </si>
  <si>
    <t>Kameron Jackson</t>
  </si>
  <si>
    <t>Donovan King</t>
  </si>
  <si>
    <t>Ingrid Mayer</t>
  </si>
  <si>
    <t>http://media.cmgdigital.com/shared/lt/lt_cache/thumbnail/188/img/videothumbs/2014/04/24/6b/0b/9e32e40c-cc28-11e3-8a19-00151712edf8.jpg</t>
  </si>
  <si>
    <t>206 Grace Ave</t>
  </si>
  <si>
    <t>Mayer was driving erratically. Deputies stopped her, and Mayer then tried to hit deputies with her car, deputies then shot and killed Mayer.</t>
  </si>
  <si>
    <t>http://www.wsoctv.com/news/news/local/police-1-dead-lancaster-co-crash/nfgtW/</t>
  </si>
  <si>
    <t>Jesus Chacon</t>
  </si>
  <si>
    <t>http://kpho.images.worldnow.com/images/25321962_BG2.jpg</t>
  </si>
  <si>
    <t>1264 N Litchfield Rd</t>
  </si>
  <si>
    <t>Goodyear</t>
  </si>
  <si>
    <t>85395</t>
  </si>
  <si>
    <t>Chacon was shot and killed by deputies after he approached them with a gun drawn. Chacon was a person of interest in an earlier murder, and had a lengthy criminal record.</t>
  </si>
  <si>
    <t>http://www.kpho.com/story/25321962/suspect-wounded-in-deputy-involved-shooting-in-goodyear</t>
  </si>
  <si>
    <t>James Ransom</t>
  </si>
  <si>
    <t>441 Creed Road</t>
  </si>
  <si>
    <t>Ararat</t>
  </si>
  <si>
    <t>27007</t>
  </si>
  <si>
    <t>Surry</t>
  </si>
  <si>
    <t>Surry County Sheriff's Office</t>
  </si>
  <si>
    <t>Ransom was a mentally ill veteran who called the VA to report he was suicidal. The VA called police requesting a welfare check. In the meantime, Ransom also called 911. When a police officer arrived, Ransom was standing in the front yard with an assault rifle. He refused to put the weapon down so the police officer open fired, killing him. Local police were very familiar with Ransom. Incident is being investigated by State Bureau of Investigation.</t>
  </si>
  <si>
    <t>http://www.journalnow.com/news/crime/surry-county-deputy-shoots-kills-man/article_8f55f344-cb0f-11e3-9bdd-001a4bcf6878.html</t>
  </si>
  <si>
    <t>Elijah Waltman</t>
  </si>
  <si>
    <t>471-739 Arkansas 34</t>
  </si>
  <si>
    <t>Walnut Ridge</t>
  </si>
  <si>
    <t>72476</t>
  </si>
  <si>
    <t>Walnut Ridge Police Department</t>
  </si>
  <si>
    <t>Officers were called after Waltman's wife called to report a domestic disturbance. Officers arrived to find Waltman chasing his wife in separate vehicles, and subsequently shot her and himself in the side before police fired and killed him. The killing was ruled justified.</t>
  </si>
  <si>
    <t>http://www.kait8.com/story/25321891/arkansas-state-police-investigating-officer-involved-shooting</t>
  </si>
  <si>
    <t>Frank Charles Johnston</t>
  </si>
  <si>
    <t>1 Net Ave</t>
  </si>
  <si>
    <t>Anniston</t>
  </si>
  <si>
    <t>36201</t>
  </si>
  <si>
    <t>Anniston Police Department</t>
  </si>
  <si>
    <t>Officers were called in on a report of a man pointing a gun at neighbors, and found Johnston outside his home holding a realistic looking airsoft gun. The officers, unable to quickly discern that the gun was fake, shot Johnston after he pointed the weapon at them.</t>
  </si>
  <si>
    <t>http://www.al.com/news/anniston-gadsden/index.ssf/2014/04/anniston_man_dead_after_he_aim.html</t>
  </si>
  <si>
    <t>Donald Letterle</t>
  </si>
  <si>
    <t>http://bloximages.chicago2.vip.townnews.com/herald-review.com/content/tncms/assets/v3/editorial/f/46/f4609e9d-d5d8-55ec-bab5-1cba6b07cc54/535ae1467f373.preview-620.jpg</t>
  </si>
  <si>
    <t>700 Pulaski Street</t>
  </si>
  <si>
    <t>62656</t>
  </si>
  <si>
    <t>Lincoln Police Department</t>
  </si>
  <si>
    <t>Letterle had been drinking and fighting with his girlfriend in a bar. The bartender asked him to leave because he was too drunk. He left, but returned with a handgun. The bartender spotted the handgun and called police. Police arrived to find Letterle physically assaulting his girlfriend in the bar. At some point, Letterle fired his weapon striking his girlfriend in the hand. One officer returned fire, killing Letterle.</t>
  </si>
  <si>
    <t>http://herald-review.com/lincoln-bar-owner-praises-bartender-police-during-fatal-shooting/article_15f791f1-76d3-5dab-94a2-e16f2af37573.html</t>
  </si>
  <si>
    <t>Darrell Joseph Legnon</t>
  </si>
  <si>
    <t>http://ktre.images.worldnow.com/images/25319182_BG2.jpg</t>
  </si>
  <si>
    <t>Cypress Ave and Bearkat Dr</t>
  </si>
  <si>
    <t>75760</t>
  </si>
  <si>
    <t>Nacogdoches</t>
  </si>
  <si>
    <t>Nacogdoches County Sheriff's Office</t>
  </si>
  <si>
    <t>After a traffic stop, deputies shot Legnon after he pointed a shotgun at them. The 25-year-old had a lengthy criminal history and was a member of white supremacy group, and had spoke of wanting to shoot a police officer in the days preceding his death.</t>
  </si>
  <si>
    <t>http://www.ktre.com/story/25319182/nacogdoches-c-sheriffs-office-confirms-officer-involved-shooting</t>
  </si>
  <si>
    <t>Adrian Williams</t>
  </si>
  <si>
    <t>https://ionenewpittsburghcourier.files.wordpress.com/2014/06/adrian-k-williams.jpg</t>
  </si>
  <si>
    <t>Penn Avenue and South Trenton Avenue</t>
  </si>
  <si>
    <t>Wilkinsburg</t>
  </si>
  <si>
    <t>15221</t>
  </si>
  <si>
    <t>Police began pursuing Williams after they saw him get into a car that allegedly had a gun in it. Williams crashed into a brick wall and attempted to flee on foot. One of the officers, believing Williams to be armed and dangerous, shot the suspect six times, including twice in the back. Incident captured on police dash cam. District attorney ruled shooting justified. Officer who shot Williams was involved in a previous fatal encounter.</t>
  </si>
  <si>
    <t>Siale Angilau</t>
  </si>
  <si>
    <t>http://www.cityweekly.net/imager/siale-angilau-was-mortally-wounded-by-a-fe/b/original/2413156/83be/art19123.jpg</t>
  </si>
  <si>
    <t>450 South State Street</t>
  </si>
  <si>
    <t>84111</t>
  </si>
  <si>
    <t>Angilau, a member of the Tongan Crip Gang, was on trial in federal court on racketeering charges. As a witness testified against him, Angilau rushed the witness stand with a pen or pencil in his hand. A U.S. Marshal shot Angilau multiple times, killing him. Salt Lake City's Pacific Islander community was angered by the shooting and questioned why deadly force was necessary. Shooting is being investigated by FBI.</t>
  </si>
  <si>
    <t>http://www.cityweekly.net/utah/community-searches-for-answers-in-courtroom-shooting-of-siale-angilau/Content?oid=2413155</t>
  </si>
  <si>
    <t>Mickey Larragoitiy</t>
  </si>
  <si>
    <t>http://images.onset.freedom.com/pressenterprise/gallery/n4x1a6-sois0423handoutbinary1616387.jpg</t>
  </si>
  <si>
    <t>28200 Winged Foot Drive</t>
  </si>
  <si>
    <t>92586</t>
  </si>
  <si>
    <t>Larragoitiy was well known in his retirement community as the local "neighborhood watch." He became suicidal after being diagnosed with terminal cancer. He called a neighbor and told her he was sitting in his garage with a gun to his head. She called 911, and three deputies arrived at the garage. Larragoitiy pointed a weapon at them, and they open fired, killing him. The weapon turned out to be a BB gun.</t>
  </si>
  <si>
    <t>http://patch.com/california/murrieta/suicide-by-cop--menifee-shooting-victim-had-terminal-cancer-reports-say</t>
  </si>
  <si>
    <t>Michael Mayo</t>
  </si>
  <si>
    <t>http://www.fatalencounters.org/wp-content/uploads/2013/10/MichaelMayo.jpg</t>
  </si>
  <si>
    <t>3662 W Camp Wisdom Rd</t>
  </si>
  <si>
    <t>75237</t>
  </si>
  <si>
    <t>After one or two officers approached Mayo's car in a parking lot because they smelled marijuana, they found he had a probation violation warrant and called for backup. Mayo led police on a 5 mile car chase that ended in a mall parking lot standoff. Mayo got out of the car several times pointing his gun at his own head, and then finally pointed it at police. Swat Senior Cpls. Gerardo Huante, Robert Hamilton, and Marshall Milligan immediately open fired, killing him.</t>
  </si>
  <si>
    <t>http://www.nbcdfw.com/news/local/Dallas-Police-Involved-in-Chase-256055191.html</t>
  </si>
  <si>
    <t>Warren Gary Cook</t>
  </si>
  <si>
    <t>http://ak-cache.legacy.net/legacy/images/cobrands/hamilton/photos/photo_230237_16726840_1_1_20140503.jpgx?w=130&amp;h=180&amp;option=1&amp;v=0x000000002d3254e0</t>
  </si>
  <si>
    <t>4861 Lebanon Road</t>
  </si>
  <si>
    <t>South Lebanon</t>
  </si>
  <si>
    <t>45065</t>
  </si>
  <si>
    <t>Warren County Sheriff's Office</t>
  </si>
  <si>
    <t>Deputies were called to Cook's family home, where he was present in violation of a domestic violence protection order. Cook appeared at the door with a shotgun then barricaded himself in the house. During two hours of negotiations, Cook repeatedly threatened the lives of deputies. When he returned to the door with the shotgun, three SWAT officers opened fired and killed him. Shooting justified by district attorney.</t>
  </si>
  <si>
    <t>http://www.wcpo.com/news/local-news/warren-county/prosecutor-warren-county-cops-acted-properly-in-april-fatal-officer-involved-shooting</t>
  </si>
  <si>
    <t>Mary Hawkes</t>
  </si>
  <si>
    <t>19</t>
  </si>
  <si>
    <t>https://s3.amazonaws.com/cdn.inside.com/slide/5356f92a415050486dd30100/medium/medium_image-5356f92a415050486dd30100-coalesced</t>
  </si>
  <si>
    <t>9000 Zuni Road SE</t>
  </si>
  <si>
    <t>Officer Jeremy Dear shot and killed 19-year-old Mary Hawkes after a footchase outside of a trailer park in SE Albuquerque. Police said that officers had seen Hawkes driving a stolen truck earlier and were attempting to locate and arrest her when the chase ensued. Police said Dear shot Hawkes after she pointed a gun at Dear during the chase.</t>
  </si>
  <si>
    <t>Veronica Rizzo-Acevedo</t>
  </si>
  <si>
    <t>http://ak-cache.legacy.net/legacy/images/Cobrands/chicagosuntimes/Photos/rizzoveronica.jpg_20140421.jpg</t>
  </si>
  <si>
    <t>5300 South Austin Avenue</t>
  </si>
  <si>
    <t>60638</t>
  </si>
  <si>
    <t>Investigators believe Acevedo, a 25-year veteran of the force, shot his wife before turning the gun on himself.</t>
  </si>
  <si>
    <t>http://www.nbcchicago.com/news/local/Corrections-Officer-Woman-Found-Shot-255923841.html</t>
  </si>
  <si>
    <t>Suhailia Alvarez</t>
  </si>
  <si>
    <t>Interstate 75 Frontage Rd &amp; Campbell Street</t>
  </si>
  <si>
    <t>48209</t>
  </si>
  <si>
    <t>Driver Charles Miller and passengers Cynthia Elizarraras and Suhailia Alvarez all died when their vehicle, a Jeep stolen from a car lot being pursued by police, flipped and plunged down a freeway embankment. Police were quoted as saying that they'd suspended the chase just before the crash, and then also that there was no pursuit at all.</t>
  </si>
  <si>
    <t>http://www.myfoxtampabay.com/story/25303275/3-teens-killed-in-crash-during-police-chase</t>
  </si>
  <si>
    <t>Cynthia Elizarraras</t>
  </si>
  <si>
    <t>Brandon Leonel Monroy</t>
  </si>
  <si>
    <t>http://www.everythinglubbock.com/media/lib/197/0/1/c/01c1981a-8af1-4326-813c-ba11d3edc3e2/Story.jpg</t>
  </si>
  <si>
    <t>Highway 87 and 82nd Street</t>
  </si>
  <si>
    <t>79423</t>
  </si>
  <si>
    <t>http://www.kcbd.com/story/25292262/lubbock-police-on-scene-of-officer-involved-shooting</t>
  </si>
  <si>
    <t>Charles Miller</t>
  </si>
  <si>
    <t>http://wjbk.images.worldnow.com/images/3536897_G.jpg</t>
  </si>
  <si>
    <t>Lee Redoux</t>
  </si>
  <si>
    <t>7000 Culebra Road</t>
  </si>
  <si>
    <t>78238</t>
  </si>
  <si>
    <t>Police were chasing a male suspect from a robbery. The man then drove the wrong way on the Loop 410 access road and wrecked into multiple cars. An officer chased the man on foot down Culebra road. The officer was hit by a vehicle while chasing the suspect but still managed to continue. The officer was involved in a physical exchange with the suspect before he fired two shots and killed him.</t>
  </si>
  <si>
    <t>http://www.kens5.com/story/local/2014/10/19/10687896/</t>
  </si>
  <si>
    <t>Karina Sandoval-Jiminez</t>
  </si>
  <si>
    <t>2124 S. Garnett Road</t>
  </si>
  <si>
    <t>74129</t>
  </si>
  <si>
    <t>Sandoval-Jiminez was in the back seat of a car fleeing a robbery. The robbers entered a restaurant and demanded cash, cell phones and wallets. They pistol-whipped the workers. A deputy arrived at the restaurant and saw two masked men enter a vehicle parked south of the scene. As the deputy pursued them, the driver drove the vehicle toward him. Two officers fired into the vehicle, killing Sandoval-Jiminez.</t>
  </si>
  <si>
    <t>http://www.tulsaworld.com/homepagelatest/woman-dead-man-shot-by-tulsa-authorities-after-stores-robbed/article_3f937860-c7c5-11e3-aa7f-0017a43b2370.html</t>
  </si>
  <si>
    <t>W Muscat Avenue and S Cornelia Avenue</t>
  </si>
  <si>
    <t>Police responded to a call about loud music coming from a vehicle near Whitesbridge, but the man drove away. After a high-speed chase, the man then exited the SUV and ran away. Aided by a search dog, three sheriff's deputies found the man hiding in a peach orchard. They opened fire when they saw a firearm pointed at them.</t>
  </si>
  <si>
    <t>http://abc30.com/archive/9509552/</t>
  </si>
  <si>
    <t>Adrian Parra</t>
  </si>
  <si>
    <t>http://www.policestateusa.com/wp-content/uploads/2014/05/Adrian-Parra.jpg</t>
  </si>
  <si>
    <t>California 86</t>
  </si>
  <si>
    <t>Salton City</t>
  </si>
  <si>
    <t>92274</t>
  </si>
  <si>
    <t>Imperial County Sheriff’s Office</t>
  </si>
  <si>
    <t>The Imperial County Sheriff's Department is releasing very little information on this officer involved shooting. It happened just before 6pm on Friday, April 18th. Parra was pulled over by deputies on Highway 86 near Salton City In the course of that traffic stop, he was shot and killed by deputies.</t>
  </si>
  <si>
    <t>http://www.kmir.com/story/25408967/family-wants-answers-after-teenager-killed-by-officers</t>
  </si>
  <si>
    <t>Alyssa Stancombe</t>
  </si>
  <si>
    <t>Springs Road and South Sixth Street</t>
  </si>
  <si>
    <t>Indiana</t>
  </si>
  <si>
    <t>15701</t>
  </si>
  <si>
    <t>A state trooper began to chase the car Stancombe rode in, following a late-night attempted shoplifting at a WalMart store. The driver fled at high speed with the trooper in pursuit but lost control of his vehicle. It flipped and landed upside-down in a pond, seriously injuring his passenger Stancombe. She died a few days later.</t>
  </si>
  <si>
    <t>http://www.wtae.com/news/girl-rescued-from-pond-after-police-chase-in-indiana-county/25566852</t>
  </si>
  <si>
    <t>Santiago Avila</t>
  </si>
  <si>
    <t>http://bloximages.chicago2.vip.townnews.com/tucson.com/content/tncms/assets/v3/editorial/6/1b/61b1c262-fdf1-583a-8dd8-aa10345efd88/5377083e0d85e.preview-620.jpg</t>
  </si>
  <si>
    <t>145 E. 22nd St.</t>
  </si>
  <si>
    <t>Police received an alarm call from the bank. Contact was made with someone inside the bank who told authorities that a robbery was in progress. Officers arrived and confronted the suspected robber outside the bank. Shots were fired. The man, who had a gun, was shot. Police officers performed CPR on the man, but he was pronounced dead at the scene.</t>
  </si>
  <si>
    <t>http://tucson.com/news/blogs/police-beat/bank-robbery-suspect-killed-by-tucson-police-was-a-california/article_4983d03c-20a5-5f66-ad9f-995290c857d9.html</t>
  </si>
  <si>
    <t>James Kubera</t>
  </si>
  <si>
    <t>4100 Brentwood Circle</t>
  </si>
  <si>
    <t>Grapevine</t>
  </si>
  <si>
    <t>76051</t>
  </si>
  <si>
    <t>Gapevine Police Department</t>
  </si>
  <si>
    <t>Kubera called 911 and threatened to kill himself. Officers blocked off the scene around his residence as a SWAT team was called in. Shortly after, Kubera came out of his house, firing a shotgun. Shots were exchanged between Kubera and officers, and Kubera was hit. He was pronounced dead at Baylor Grapevine.</t>
  </si>
  <si>
    <t>http://www.wfaa.com/news/local/Grapevine-police-Suicidal-man-fatally-shot-after-he-fired-on-officers-255705531.html</t>
  </si>
  <si>
    <t>Leighton C. Fitz</t>
  </si>
  <si>
    <t>http://www.dps.state.ia.us/commis/pib/Releases/2014/Leighton_Fitz.jpg</t>
  </si>
  <si>
    <t>413 College Avenue</t>
  </si>
  <si>
    <t>Iowa Falls</t>
  </si>
  <si>
    <t>50126</t>
  </si>
  <si>
    <t>Iowa Falls Police Department</t>
  </si>
  <si>
    <t>The Iowa Falls Police Department responded to an emergency call of an armed suicidal man. Upon arrival, the armed man, Fitz, exited the residence armed with several weapons and wearing a bullet-proof vest. He allegedly refused to obey commands from officers on the scene and reached for a weapon. After refusing to drop the weapon, officers fired rounds, killing Fitz.</t>
  </si>
  <si>
    <t>http://globegazette.com/news/local/latimer-native-killed-in-standoff-with-officers/article_0b0a7f83-0698-5ab4-8c5c-243e1899ece1.html</t>
  </si>
  <si>
    <t>Kimberlee Carmack</t>
  </si>
  <si>
    <t>http://www.gannett-cdn.com/-mm-/2895c85f6ac6fa390703f52b1c277a0ec4e25a8f/c=115-72-861-636&amp;r=x404&amp;c=534x401/local/-/media/Indianapolis/GenericImages/2014/04/21//1398115883000-carmack-2.jpg</t>
  </si>
  <si>
    <t>2400 Inishmore Court</t>
  </si>
  <si>
    <t>46214</t>
  </si>
  <si>
    <t>Two Indianapolis police officers were found dead in an apparent murder-suicide. Sgt. Ryan Anders and Officer Kim Carmack were found dead in her home. Neighbors had reported hearing gunfire and called police. Carmack had filed for a protective order against her ex-husband. Anders went through the back patio door of Carmack's two-story home and shot his ex-wife in the head and chest before fatally shooting himself.</t>
  </si>
  <si>
    <t>http://www.theindychannel.com/news/local-news/husband-wife-police-officers-killed-in-apparent-murder-suicide</t>
  </si>
  <si>
    <t>Claudell Webb Jr.</t>
  </si>
  <si>
    <t>http://www.southcountytimes.com/datedimages/2014/04/17/2259F8HwU1D63D8B.sm.jpg</t>
  </si>
  <si>
    <t>676 Gravois Bluffs Blvd</t>
  </si>
  <si>
    <t>Fenton</t>
  </si>
  <si>
    <t>63026</t>
  </si>
  <si>
    <t>A citizen called authorities after seeing Webb and Jabari A. Quarles act suspiciously in parking lot near Check 'n Go. After Webb and Quarles tied up staff and robbed the business, officers confronted them as they left the premises. When an officer attempted to arrest Webb, a short struggle ensued during which Webb allegedly produced a Tec-9. The officer shot him once in the chest. Webb was transported to a local hospital where he died. Quarles was arrested without injury.</t>
  </si>
  <si>
    <t>http://www.kmov.com/news/just-posted/Police-respond-to-report-of-shooting-at-Gravois-Bluffs-shopping-center-255500671.html</t>
  </si>
  <si>
    <t>Jason Lewis</t>
  </si>
  <si>
    <t>http://ak-cache.legacy.net/legacy/images/Cobrands/HoustonChronicle/Photos/W0105645-1_20140425.jpg</t>
  </si>
  <si>
    <t>14514 Chadbourne Dr</t>
  </si>
  <si>
    <t>77079</t>
  </si>
  <si>
    <t>Police arrived to find Peters surrounded by glass and attempting to harm himself. Police said that Peters was combative with paramedics and began banging his head into the ground, but the 40-year-old's family disputed that account. The family says their loved one died after being handcuffed and beaten while in HPD custody.</t>
  </si>
  <si>
    <t>http://www.khou.com/news/local/Family-says-40-year-old-man-died-after-being-handcuffed-beaten-while-in-HPD-custody-257612411.html</t>
  </si>
  <si>
    <t>Ottis Eugene Bass</t>
  </si>
  <si>
    <t>http://i2.wp.com/chickasawjournal.com/wp-content/blogs.dir/36/files/2014/04/CJ-0423-OBIT-Bass-1K.jpg.jpg</t>
  </si>
  <si>
    <t>200 E Main Street</t>
  </si>
  <si>
    <t>Nettleton</t>
  </si>
  <si>
    <t>38858</t>
  </si>
  <si>
    <t>Nettleton Police Department</t>
  </si>
  <si>
    <t>Bass' son Lance states that Bass shot his coworker Jamie C. Guin 5 times (fatal) and brother Joseph Valie once with a 9mm during an argument in the car Lance was driving. Joseph jumped from the car and Bass chased, shot and killed him. Officer Robert Davis' vehicle arrived at what he thought was a traffic accident, and while he talked to Lance in the car Bass returned, shooting several times at the police car. Davis fired, killing Bass at the scene. He was awarded the Monroe County Hometown Hero Award for bravery.</t>
  </si>
  <si>
    <t>http://www.clarionledger.com/story/news/2014/04/16/two-dead-one-injured-in-nettleton/7783979/</t>
  </si>
  <si>
    <t>Martin G. Brown</t>
  </si>
  <si>
    <t>Clark Court</t>
  </si>
  <si>
    <t>St. Charles</t>
  </si>
  <si>
    <t>63301</t>
  </si>
  <si>
    <t>St.. Charles Police Department</t>
  </si>
  <si>
    <t>Officers were called to Clark Court, near St. Charles High School, for a domestic disturbance. Neighbors said Brown was threatening them and igniting fireworks, which led to a fire. Brown was armed with weapons and failed to comply with officers' instructions. Brown allegedly repeated his threats to officers and approached them. One of the officers attempted to Taser Brown, but it was ineffective. One officer fired at him. Brown was taken to a nearby hospital but died a short time later. Brown was found to have had a BB gun.</t>
  </si>
  <si>
    <t>http://www.ksdk.com/story/news/crime/2014/04/16/clark-court-st-charles-shooting/7807685/</t>
  </si>
  <si>
    <t>Michael C. Nichols Jr.</t>
  </si>
  <si>
    <t>http://www.najamesfh.com/fh_live/13700/13729/images/obituaries/2485747.jpg</t>
  </si>
  <si>
    <t>42200 Deborah Drive</t>
  </si>
  <si>
    <t>Tangipahoa</t>
  </si>
  <si>
    <t>Tangipahoa Sheriff Department</t>
  </si>
  <si>
    <t>Deputies responded to a 911 domestic dispute call from Nichols' 70-year-old mother Barbara J. Nichols. Upon arriving they found Nichols standing over or attacking his mother with a knife. According to one report, investigators said Nichols "refused repeated commands to stop stabbing her".. At least one of the deputies open fired, killing Nichols. His mother was taken to the hospital with "moderate injuries".</t>
  </si>
  <si>
    <t>http://theadvocate.com/home/8917261-125/tangipahoa-man-in-domestic-dispute</t>
  </si>
  <si>
    <t>Richard Ramirez</t>
  </si>
  <si>
    <t>http://bloximages.chicago2.vip.townnews.com/billingsgazette.com/content/tncms/assets/v3/editorial/b/c4/bc45a6d3-3ae7-5faa-8cce-02ed70499624/534d6867df0a5.preview-620.jpg</t>
  </si>
  <si>
    <t>3898 5th Ave S</t>
  </si>
  <si>
    <t>Billings Police Department</t>
  </si>
  <si>
    <t>Ramirez was confronted by an officer who identified him as a suspect from an earlier robbery. Ramirez refused to follow the officer's commands and was shot when he made a downward reaching motion. No weapon was found.</t>
  </si>
  <si>
    <t>http://billingsgazette.com/news/local/man-dies-in-officer-involved-shooting-on-south-side/article_6b333f95-002f-5bc5-b7bc-efdf8b8bc0e7.html</t>
  </si>
  <si>
    <t>William Peyton "Billy" Ayers</t>
  </si>
  <si>
    <t>Magnolia Road</t>
  </si>
  <si>
    <t>Corinth</t>
  </si>
  <si>
    <t>38834</t>
  </si>
  <si>
    <t>Stone</t>
  </si>
  <si>
    <t>Stone County Sheriff's Office</t>
  </si>
  <si>
    <t>A deputy responding to calls of a suicidal man shot and killed Ayers after the 45-year-old allegedly fired a gun at the deputy.</t>
  </si>
  <si>
    <t>http://www.wlox.com/story/25245244/sheriff-suicidal-man-killed-after-shooting-at-deputies</t>
  </si>
  <si>
    <t>Ross Chrisman</t>
  </si>
  <si>
    <t>http://cdn2-b.examiner.com/sites/default/files/styles/image_content_width/hash/da/30/da307adf8630463dcaba34e1a4ee7f4d.jpeg?itok=6viZGOAZ</t>
  </si>
  <si>
    <t>5100 33rd St</t>
  </si>
  <si>
    <t>Chrisman was pursued by police after two armed robberies and exchanged gunfire with officers, striking one, before shooting himself.</t>
  </si>
  <si>
    <t>http://www.bradenton.com/2014/04/14/5102966/manatee-deputies-respond-to-shooting.html?sp=%2F99%2F100%2F&amp;ihp=1</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</si>
  <si>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</si>
  <si>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</si>
  <si>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</si>
  <si>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</si>
  <si>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</si>
  <si>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Charles A. Brown IV</t>
  </si>
  <si>
    <t>http://www.fatalencounters.org/wp-content/uploads/2013/10/CharlesBrownIV.jpg</t>
  </si>
  <si>
    <t>16940 Halsted Street</t>
  </si>
  <si>
    <t>Police responding to a report of a burglary at a Motel 6 encountered Brown driving away from the motel. Police allege Brown attempted to crash into their car, and they opened fire and killed him because they feared for their lives. Police allege that Brown had a gun and was a suspect in another in another crime. Brown's family claims he was a bright young man with a promising future who was murdered by police. They have filed a $4 million federal lawsuit against police department.</t>
  </si>
  <si>
    <t>http://www.reuters.com/article/2014/09/29/us-usa-chicago-police-shootings-idUSKCN0HO25O20140929</t>
  </si>
  <si>
    <t>Jose Maldonado</t>
  </si>
  <si>
    <t>http://wfsb.images.worldnow.com/images/25235487_BG2.jpg</t>
  </si>
  <si>
    <t>181 Nutmeg Lane</t>
  </si>
  <si>
    <t>East Hartford</t>
  </si>
  <si>
    <t>06118</t>
  </si>
  <si>
    <t>East Hartford Police Department</t>
  </si>
  <si>
    <t>Following an incident for which Maldonado was being processed for assault, criminal mischief and other charges, Maldonado became uncooperative with police. Officers tasered him. The victim showed signs of medical distress, was taken to a local hospital, and died shortly afterward.</t>
  </si>
  <si>
    <t>http://www.wfsb.com/story/25235487/state-police-assist-east-hartford-pd-investigate-use-of-force-death</t>
  </si>
  <si>
    <t>Lauro Jesus Avechuco</t>
  </si>
  <si>
    <t>http://www.kvoa.com/images/thumbnails/DDF4D64A7FD752F478CFE773F2DE6D4E_787_442.jpg</t>
  </si>
  <si>
    <t>3900 S Mahonia Pl</t>
  </si>
  <si>
    <t>85650</t>
  </si>
  <si>
    <t>Sierra Vista Police Department</t>
  </si>
  <si>
    <t>After a failed traffic stop and brief chase, Avechuco allegedly drove his vehicle towards an officer who fatally fired and shot the 40-year-old. The shooting was later ruled justified.</t>
  </si>
  <si>
    <t>http://www.sierravistaaz.gov/eGov/apps/document/center.egov?view=item;id=4725</t>
  </si>
  <si>
    <t>5000 Lick Mill Boulevard</t>
  </si>
  <si>
    <t>95054</t>
  </si>
  <si>
    <t>Mentally ill woman, who remains unidentified in media accounts, called 911 and told the operator she was distraught, suicidal and if police were sent, she would goad them into killing her. When three officers arrived at her residence, the 5'5" woman greeted them at the door wielding an aluminium baseball bat. Two officers opened fire, killing her. Shooting caused public controversy over police treatment of mentally ill people.</t>
  </si>
  <si>
    <t>http://www.mercurynews.com/pacifica/ci_25692032/santa-clara-shooting-suicidal-woman-highlights-increasing-police</t>
  </si>
  <si>
    <t>Vincent John Farrand</t>
  </si>
  <si>
    <t>http://localtvkstu.files.wordpress.com/2014/09/roskelley.jpg?w=243&amp;h=204&amp;crop=1</t>
  </si>
  <si>
    <t>550 South 300 East</t>
  </si>
  <si>
    <t>Centerville</t>
  </si>
  <si>
    <t>84014</t>
  </si>
  <si>
    <t>Centerville Police Department</t>
  </si>
  <si>
    <t>Farrand's wife called 911 after he became enraged and suicidal about a mutual friend who had made an unwanted advance toward her. Farrand was armed when police arrived at the home. They removed the wife from the home then Farrand came outside brandishing a handgun. Three officers tried to talk him down, but Farrand put his finger on the trigger, and one of the officers shot him four times, killing him.</t>
  </si>
  <si>
    <t>http://www.deseretnews.com/article/865601015/Centerville-man-pointed-gun-at-officer-before-he-was-killed-police-say.html?pg=all</t>
  </si>
  <si>
    <t>Edward Michael Caruth</t>
  </si>
  <si>
    <t>http://ksaz.images.worldnow.com/images/25238935_BG3.jpg</t>
  </si>
  <si>
    <t>4929 W Bell Rd</t>
  </si>
  <si>
    <t>85308</t>
  </si>
  <si>
    <t>Officers responded to a local restaurant after Caruth barricaded himself inside a bathroom and began destroying property inside the building. Officers fought with Caruth and tasered him four times, and the 38-year-old died shortly after at a local hospital.</t>
  </si>
  <si>
    <t>http://www.azcentral.com/story/news/local/phoenix/2014/04/14/phoenix-police-man-dies-fight-officers-restaurant-taser-abrk/7696081/</t>
  </si>
  <si>
    <t>Maynard Paul Thomas</t>
  </si>
  <si>
    <t>http://www.wwaytv3.com/files/imagecache/field_story_image/MaynardThomas_0.jpg</t>
  </si>
  <si>
    <t>740 Sloop Point Road</t>
  </si>
  <si>
    <t>Hampstead</t>
  </si>
  <si>
    <t>28443</t>
  </si>
  <si>
    <t>Pender</t>
  </si>
  <si>
    <t>Witnesses say Thomas crashed his golf cart into his neighbor's house who then called police. Highway Patrol, Pender County Sheriff's Office, and Surf City Police arrived, went to the back of the house, and did not announce themselves. Thomas, who did not know they were police, fired a warning shot to scare them off. Police fired back, incapacitated Thomas, and continued to fire.</t>
  </si>
  <si>
    <t>Rolando H. Villanueva</t>
  </si>
  <si>
    <t>http://media.kimatv.com/images/rolando+1.jpg</t>
  </si>
  <si>
    <t>I-82 and Knob Hill Boulevard</t>
  </si>
  <si>
    <t>98901</t>
  </si>
  <si>
    <t>Yakima Police Department</t>
  </si>
  <si>
    <t>Police pulled Villanueva over for allegedly driving erratically. Villanueva pulled over at first, but then bolted, leading police on a high-speed freeway chase and crashing into at least two police vehicles. When Villanueva attempted to ram a third vehicle, the officer fired and hit Villaneuva twice, who crashed his car into the median barrier and died. Villanueva previously had told police he would some day commit "suicide by cop."</t>
  </si>
  <si>
    <t>http://www.yakimaherald.com/home/2101128-8/yakima-police-identify-suspect-officer-in-fatal-shooting</t>
  </si>
  <si>
    <t>Stephen McKenney</t>
  </si>
  <si>
    <t>http://www.dolbyfuneralchapels.com/Content/Sidebar/FV2-0001408A/S007F6F83-007F6F8D.0/4232014_82235_0.jpg</t>
  </si>
  <si>
    <t>2 Searsport Way</t>
  </si>
  <si>
    <t>Windham</t>
  </si>
  <si>
    <t>04062</t>
  </si>
  <si>
    <t>[His wife called 911 and] told dispatchers that her husband, a retired school bus driver, was suicidal and feared for his safety and hers. She said there were guns in the house. [Deputy] Mangino fired two rounds from a rifle from 69 feet away as McKenney waved his gun and approached Mangino and his cruiser, where a civilian passenger who had been participating in a ride-along was ducked down in the front seat.</t>
  </si>
  <si>
    <t>http://www.pressherald.com/2014/08/21/sheriff-deputy-justified-in-windham-shooting/</t>
  </si>
  <si>
    <t>Gary Burdine</t>
  </si>
  <si>
    <t>6665 Route 16</t>
  </si>
  <si>
    <t>Verona</t>
  </si>
  <si>
    <t>41094</t>
  </si>
  <si>
    <t>Gallatin</t>
  </si>
  <si>
    <t>Gallatin County Sheriff's Department</t>
  </si>
  <si>
    <t>Gallatin County Deputy Edwin Caldwell responded to a domestic disturbance call about an intoxicated man in a trailer home along Rt. 16. After talking to Burdine he was returning to his vehicle, only to find Burdine following behind him with a gun, words were exchanged and Burdine allegedly pointed his gun at Caldwell, who shot Burdine four times. On August 11 the County Grand Jury found the shooting justified.</t>
  </si>
  <si>
    <t>http://www.wcpo.com/news/region-northern-kentucky/gallatin-county-grand-jury-sheriffs-deputy-justified-in-use-of-fatal-force-in-april-shooting</t>
  </si>
  <si>
    <t>Jack Calvello</t>
  </si>
  <si>
    <t>31-28 38th Street</t>
  </si>
  <si>
    <t>11103</t>
  </si>
  <si>
    <t>Officers found a man armed with a gun and the man refused an order to drop his weapon, then pointed his gun at the officers; one of the officers then shot him. The 86-year-old gunman Calvello, who was also deaf, was pronounced dead at a hospital. Witnesses Bryan Garcia and Eric Soto were playing basketball across the street and saw the incident. '(Cops) were yelling 'Get out, get out!' and then he comes out with a gun, pointing at them. They said 'Drop it, drop it!' loud, and he doesn't, so then we heard two shots, and he falls back into the doorway,"</t>
  </si>
  <si>
    <t>http://www.dailymail.co.uk/news/article-2603373/Cops-fatally-shoot-86-year-old-Queens-resident-shot-own.html</t>
  </si>
  <si>
    <t>Matthew Walker</t>
  </si>
  <si>
    <t>http://wbbh.images.worldnow.com/images/25285565_BG1.jpg</t>
  </si>
  <si>
    <t>33123 Oil Well Road</t>
  </si>
  <si>
    <t>Punta Gorda</t>
  </si>
  <si>
    <t>33955</t>
  </si>
  <si>
    <t>Charlotte Correctional Institution</t>
  </si>
  <si>
    <t>Walker was incarcerated at the Charlotte Correctional Institute. He was serving the 13th year of a 20-year prison sentence. In circumstances that remain both unclear and under investigation, as many as 18 correctional officers participated in the beating death of the handcuffed Walker. Walker's death was one of several prisoner fatalities that led to major scandal for Florida's Dept. of Corrections. 32 guards, including the 18 who allegedly beat Walker to death, were fired as a result.</t>
  </si>
  <si>
    <t>Jameel Kareem Ofurum Harrison</t>
  </si>
  <si>
    <t>http://www.the-chesapeake.com/wp-content/uploads/2014/04/Jameel-Harrison-drug-dealer-shot-dead-by-FBI.jpg</t>
  </si>
  <si>
    <t>9700 Reisterstown Rd</t>
  </si>
  <si>
    <t>Harrison, a suspected gang member and target of a narcotics investigation, was shot by federal agents after being stopped and running into a number of other vehicles. The Baltimore County state's attorney cleared the agents of any wrongdoing.</t>
  </si>
  <si>
    <t>http://www.baltimoresun.com/news/maryland/baltimore-county/owings-mills/bs-md-co-fbi-shooting-folo-20140618-story.html</t>
  </si>
  <si>
    <t>Gregory Lewis Towns Jr</t>
  </si>
  <si>
    <t>http://i.dailymail.co.uk/i/pix/2014/08/28/1409245365515_wps_10_EAST_POINT_Ga_Only_Channe.jpg</t>
  </si>
  <si>
    <t>4173 Sun Valley Blvd</t>
  </si>
  <si>
    <t>30344</t>
  </si>
  <si>
    <t>East Point Police Department</t>
  </si>
  <si>
    <t>Officers responded to a domestic dispute at the home of Towns' ex-girlfriend, leading to mile-long foot-chase that ended with Towns laying on the ground, out-of-breath. Two officers began tasering Towns in an attempt to get him up, tasering him 14 times while he was handcuffed. Towns death was ruled a homicide due to the use of Tasers, and the two officers either resigned or were terminated by the police department. Towns' family plans to sue the city and police department.</t>
  </si>
  <si>
    <t>http://s3.documentcloud.org/documents/1281063/georgia-taser-incident-report-redacted.pdf</t>
  </si>
  <si>
    <t>Rigoberto Llera</t>
  </si>
  <si>
    <t>Ashland Avenue and Grand Avenue</t>
  </si>
  <si>
    <t>Chicago police chased a white PT Cruiser after they saw occupants fire a gun out the window near Humboldt Park. Driver Llera took off with the police in close pursuit. Llera lost control and struck a light pole. Two female passengers in the car emerged unscathed, an infant sustained minor injuries, and Llera died.</t>
  </si>
  <si>
    <t>http://www.orlandosentinel.com/chi-humboldt-park-chase-infant-20140411-story.html</t>
  </si>
  <si>
    <t>Thomas Eugene Fillingim</t>
  </si>
  <si>
    <t>http://mugshotsearch.org/profile+photo/19375441305710/thomas+fillingim+escambia+county+florida</t>
  </si>
  <si>
    <t>3100 Bent Oak Rd</t>
  </si>
  <si>
    <t>32526</t>
  </si>
  <si>
    <t>Fillingim was shot and killed by police after threatening his family with a knife and then attempting to take his own life.</t>
  </si>
  <si>
    <t>http://www.pnj.com/article/20140411/NEWS11/140411001?odyssey=mod%7Cmostcom</t>
  </si>
  <si>
    <t>Jefferson Duncan</t>
  </si>
  <si>
    <t>http://kpho.images.worldnow.com/images/25231407_BG2.jpg</t>
  </si>
  <si>
    <t>11050 N Biltmore Drive</t>
  </si>
  <si>
    <t>85029</t>
  </si>
  <si>
    <t>Duncan tasered an off duty officer. When the officer recovered from the shock, Duncan threatened to taser him in the head, but the off duty officer opened fire, shooting Duncan multiple times, killing him.</t>
  </si>
  <si>
    <t>http://www.fox10phoenix.com/story/25229661/2014/04/12/suspect-shot-officer-injured-in-officer-involved-shooting</t>
  </si>
  <si>
    <t>Dennis Doty</t>
  </si>
  <si>
    <t>http://matchbin-assets.s3.amazonaws.com/public/sites/625/assets/GMNQ_DOTY__Dennis.jpg</t>
  </si>
  <si>
    <t>12182 Hwy 92</t>
  </si>
  <si>
    <t>Woodstock</t>
  </si>
  <si>
    <t>30188</t>
  </si>
  <si>
    <t>Woodstock Police Department</t>
  </si>
  <si>
    <t>Doty, who was wanted on terroristic-related charges stemming from an earlier incident at a Wal-Mart, was shot after approaching an officer with a piece of concrete rebar. The shooting was ruled justified in September 2014.</t>
  </si>
  <si>
    <t>http://www.ledgernews.com/news/top_stories/officer-cleared-in-april-shooting/article_33363212-4329-11e4-8326-001a4bcf6878.html</t>
  </si>
  <si>
    <t>John Winkler</t>
  </si>
  <si>
    <t>http://www.eonline.com/eol_images/Entire_Site/2014310/rs_634x1024-140410191833-634.John-Winkler-Facebook.ms.041014.jpg</t>
  </si>
  <si>
    <t>939 Palm Avenue</t>
  </si>
  <si>
    <t>West Hollywood</t>
  </si>
  <si>
    <t>90069</t>
  </si>
  <si>
    <t>Shortly after 9:30 p.m., deputies say two men burst out of an apartment building and ran towards them. The first man who exited was bleeding profusely from the neck. Winkler followed close behind. The deputies on scene apparently were confused when they saw Winkler “lunging at the back of the fleeing victim,” LASD Chief Bill McSweeney told CBS2/KCAL9 reporter Serene Branson. Deputies shot Winkler four times and the other victim was shot once. Winkler died from his injuries at a hospital. The other victim survived. Investigators now say Winkler and the man who was bleeding were actually victims of a third man, Alexander McDonald, who lived inside the apartment building.</t>
  </si>
  <si>
    <t>http://www.wehonews.com/z/wehonews/winklers-shooters-at-work-while-investigation-continues/</t>
  </si>
  <si>
    <t>Robert James Vancamp</t>
  </si>
  <si>
    <t>Nees Avenue and Sunnyside Ave</t>
  </si>
  <si>
    <t>Clovis</t>
  </si>
  <si>
    <t>93619</t>
  </si>
  <si>
    <t>Officers responded to Vancamp's residence after receiving a call from his mother, who told police that he was armed and suicidal. Responding deputies fatally shot Vancamp outside the home after he turned towards them while holding a handgun.</t>
  </si>
  <si>
    <t>http://abclocal.go.com/kfsn/story?section=news%2Flocal&amp;id=9498377</t>
  </si>
  <si>
    <t>David M. Zehring</t>
  </si>
  <si>
    <t>http://ak-cache.legacy.net/legacy/images/Cobrands/Kansas/Photos/wek_dzehring_20140419.jpg</t>
  </si>
  <si>
    <t>W Maple St. and S Mt Carmel St</t>
  </si>
  <si>
    <t>67213</t>
  </si>
  <si>
    <t>After a short interaction with police, Zehring lead officers on a chase that ended when he pulled over and brandished a knife at officers. After two failed tasings, an officer fired and fatally hit Zehring, who had a history of mental illness.</t>
  </si>
  <si>
    <t>Ever Ramon Martinez</t>
  </si>
  <si>
    <t>2000 Solano Ave</t>
  </si>
  <si>
    <t>94590</t>
  </si>
  <si>
    <t>Officers attempted to pull Martinez over for a traffic violation when the 29-year-old took off and lead police on a high speed chase. An officer fatally shot Martinez after he failed to get out of his vehicle and was speeding toward a civilian car.</t>
  </si>
  <si>
    <t>http://www.timesheraldonline.com/news/ci_25536262/man-killed-vallejo-officer-involved-shooting</t>
  </si>
  <si>
    <t>Abbott S. Bennett</t>
  </si>
  <si>
    <t>8300 Colee Cove Rd</t>
  </si>
  <si>
    <t>After officers responded to a domestic disturbance at Bennett's residence, the 66-year-old entered into an altercation with responding officers. After an attempt to tase Bennett failed, officers shot him after he reached for a nearby cache of guns.</t>
  </si>
  <si>
    <t>http://www.actionnewsjax.com/content/topstories/story/One-dead-after-deputy-involved-shooting-in-St/aIpQHLQ8j0SVmXn5mdFQag.cspx</t>
  </si>
  <si>
    <t>Travis Doering</t>
  </si>
  <si>
    <t>http://ak-cache.legacy.net/legacy/images/Cobrands/SCTimes/Photos/SCT025736-1_20140412.jpg</t>
  </si>
  <si>
    <t>5689 Maceta Ave</t>
  </si>
  <si>
    <t>89103</t>
  </si>
  <si>
    <t>Doering was acting bizarre and carrying a loaded rifle when his roommates called police, fearing that he would commit suicide. A SWAT officer shot Doering after a lengthy standoff that ended when the 40-year-old pointed the rifle at officers.</t>
  </si>
  <si>
    <t>http://www.reviewjournal.com/news/las-vegas-man-killed-officer-involved-shooting-talked-imaginary-people-police-said</t>
  </si>
  <si>
    <t>James Calvin Youngblood</t>
  </si>
  <si>
    <t>1220 Lurecliff Place</t>
  </si>
  <si>
    <t>Fort Mill</t>
  </si>
  <si>
    <t>29708</t>
  </si>
  <si>
    <t>York County Sheriff's Department</t>
  </si>
  <si>
    <t>Youngblood pointed a pistol in the direction of deputies, prompting them to shoot and kill Younblood.</t>
  </si>
  <si>
    <t>Daniel Christoph Yealu</t>
  </si>
  <si>
    <t>http://tribktla.files.wordpress.com/2014/04/daniel-yealu.jpg?w=300&amp;h=168</t>
  </si>
  <si>
    <t>1663 Butler Ave</t>
  </si>
  <si>
    <t>90025</t>
  </si>
  <si>
    <t>Yealu was shooting a gun at officers in the lobby of LAPDs west traffic Division was shot by officers on April 7th. He died April 24th.</t>
  </si>
  <si>
    <t>http://www.latimes.com/local/lanow/la-me-ln-suspect-in-lapd-station-shooting-20140424-story.html#axzz2zlIoPP7C</t>
  </si>
  <si>
    <t>Tinoris Williams</t>
  </si>
  <si>
    <t>http://media.cmgdigital.com/shared/lt/lt_cache/thumbnail/188/img/photos/2014/04/07/a4/ff/williams.jpg</t>
  </si>
  <si>
    <t>655 N Military Trail</t>
  </si>
  <si>
    <t>33415</t>
  </si>
  <si>
    <t>A deputy was fighting for his life when Williams took the deputies gun and put it against the deputies head. The deputy wrestled with Williams, retrieving his gun and shoots and kills Williams.</t>
  </si>
  <si>
    <t>Hector Hernandez</t>
  </si>
  <si>
    <t>http://wfld.images.worldnow.com/images/25186602_BG2.JPG</t>
  </si>
  <si>
    <t>2500 West 50th Street</t>
  </si>
  <si>
    <t>Hernandez Threatened officers with knives, resulting in officers to shoot and kill Hernandez.</t>
  </si>
  <si>
    <t>http://www.myfoxchicago.com/story/25186602/police-shoot-person-in-gage-park</t>
  </si>
  <si>
    <t>1351 N Harbor Dr</t>
  </si>
  <si>
    <t>92054</t>
  </si>
  <si>
    <t>Oceanside Police Department</t>
  </si>
  <si>
    <t>Officers called to deal with a person sleeping on a bench near a harbor office found the man armed with a handgun. The victim, who police identified as a gang member, refused to drop his weapon and was fatally shot by police.</t>
  </si>
  <si>
    <t>http://www.sandiego6.com/news/local/One-wounded-in-Oceanside-officer-involved-shooting-254219551.html</t>
  </si>
  <si>
    <t>John Nightingale</t>
  </si>
  <si>
    <t>http://www.dailyherald.com/storyimage/DA/20140409/news/140408133/EP/1/3/EP-140408133.jpg&amp;updated=201404100916&amp;MaxW=800&amp;maxH=800&amp;updated=201404100916&amp;noborder</t>
  </si>
  <si>
    <t>100 Slocum Lake Road</t>
  </si>
  <si>
    <t>Wauconda</t>
  </si>
  <si>
    <t>60084</t>
  </si>
  <si>
    <t>Wauconda Police Department</t>
  </si>
  <si>
    <t>Nightingale's roommate called police to report him as a possible car thief. Police arrived, Nightingale answered the door with a handgun, would not drop his weapon, and was fatally shot four times.</t>
  </si>
  <si>
    <t>http://www.dailyherald.com/article/20140421/news/140429802/</t>
  </si>
  <si>
    <t>Isaac Little</t>
  </si>
  <si>
    <t>4500 C St</t>
  </si>
  <si>
    <t>20019</t>
  </si>
  <si>
    <t>Little was walking near an elementary school when police arrived and ordered him to drop his firearm. When he refused, an officer opened fire and fatally struck Little.</t>
  </si>
  <si>
    <t>http://www.wusa9.com/story/news/local/dc/2014/04/07/man-killed-police-shooting-plummer-elementary-school/7410219/</t>
  </si>
  <si>
    <t>Wayne Hoffman</t>
  </si>
  <si>
    <t>Sucher Lane and Nordyke Avenue</t>
  </si>
  <si>
    <t>95401</t>
  </si>
  <si>
    <t>Santa Rosa Police Department</t>
  </si>
  <si>
    <t>Hoffman, traveling on a bike, refused to stop for an officer attempting to pull him over and lead officers on a short chase that ended when he crashed. Hoffman initially resisted arrest but suffered some sort of medical emergency, and was later pronounced dead at a nearby hospital.</t>
  </si>
  <si>
    <t>http://www.pressdemocrat.com/article/20140406/articles/140409694</t>
  </si>
  <si>
    <t>Wesley Mallory White</t>
  </si>
  <si>
    <t>http://montgomerycountypolicereporter.com/wp-content/uploads/c19ebd5de342_F531/WHITEWESLEYMALOY_thumb.jpg</t>
  </si>
  <si>
    <t>Carlisle St and Ashland Dr</t>
  </si>
  <si>
    <t>Conroe</t>
  </si>
  <si>
    <t>77385</t>
  </si>
  <si>
    <t>Officers serving a felony warrant entered the home where White was staying, and shot him after he pointed a handgun at officers.</t>
  </si>
  <si>
    <t>Jesse Sperry</t>
  </si>
  <si>
    <t>http://assets.nydailynews.com/polopoly_fs/1.1771829.1398712521!/img/httpImage/image.jpg_gen/derivatives/article_970/sperry29n-2-web.jpg?enlarged</t>
  </si>
  <si>
    <t>7500 Indiana 32</t>
  </si>
  <si>
    <t>46011</t>
  </si>
  <si>
    <t>Edgewood Police Department</t>
  </si>
  <si>
    <t>An intoxicated off-duty police officer was speeding and rammed the back of Sperry's vehicle, killing Jesse Sperry and injuring the pregnant Rebecca Sperry. The officer was charged with a number of crimes and has been placed on unpaid leave.</t>
  </si>
  <si>
    <t>http://www.heraldbulletin.com/crime/x1445028581/Man-killed-pregnant-woman-flown-from-accident-scene</t>
  </si>
  <si>
    <t>Remis M. Andrews</t>
  </si>
  <si>
    <t>http://blackstonian.com/info/wp-content/uploads/2013/06/Remis-Andrews-Lenox-St-225x300.jpg</t>
  </si>
  <si>
    <t>Massachusetts Avenue and Tremont Street</t>
  </si>
  <si>
    <t>02118</t>
  </si>
  <si>
    <t>A Boston police officer shot and killed a man who allegedly lunged at officers with knives. The shooting took place after police received a 911 call from a woman who said she was being assaulted by her boyfriend at 77 Lenox St. in the South End. The officers attempted to place the suspect under arrest, at which time the suspect armed himself with multiple knives and lunged at the officers. One of the officers discharged his weapon striking and killing the suspect.</t>
  </si>
  <si>
    <t>http://boston.cbslocal.com/2014/04/05/boston-police-suspect-shot-dead-by-officer-in-south-end/</t>
  </si>
  <si>
    <t>Robert Antonio Jones</t>
  </si>
  <si>
    <t>http://www.oninstagram.com/photo/httpwwwgofundmecomdonations-for-tony-robert-antonio-jones-was-wrongfully-murdered-by-tha-p-695062218451800726_192011875#.VPkdvyROB8s.twitter</t>
  </si>
  <si>
    <t>5098 Lee Jay Dr</t>
  </si>
  <si>
    <t>20747</t>
  </si>
  <si>
    <t>Two patrolling officers heard shots fired, and found Jones leaving the area on foot. Jones allegedly reached for a handgun when officers approached him, leading them to fatally shoot Jones.</t>
  </si>
  <si>
    <t>Jairo Armando Pedraza</t>
  </si>
  <si>
    <t>6445 Olcott St.</t>
  </si>
  <si>
    <t>91042</t>
  </si>
  <si>
    <t>Officers responding to a call of a man trying to kill himself arrived to find Pedraza attempting suicide with a knife. Pedraza was tasered to no effect and fatally shot after confronting police with a knife.</t>
  </si>
  <si>
    <t>http://www.dailynews.com/general-news/20140407/officers-identify-knife-wielding-man-after-shooting-in-tujunga</t>
  </si>
  <si>
    <t>Michael J. Santiago</t>
  </si>
  <si>
    <t>959 Putney Road</t>
  </si>
  <si>
    <t>Brattleboro</t>
  </si>
  <si>
    <t>VT</t>
  </si>
  <si>
    <t>05301</t>
  </si>
  <si>
    <t>Brattleboro Police Department</t>
  </si>
  <si>
    <t>Shot while entering hotel room during a drug search.</t>
  </si>
  <si>
    <t>http://bit.ly/1g8I6nJ</t>
  </si>
  <si>
    <t>Codi Ben Bullard</t>
  </si>
  <si>
    <t>http://oi58.tinypic.com/epgif7.jpg</t>
  </si>
  <si>
    <t>1200 S Lamar St</t>
  </si>
  <si>
    <t>75215</t>
  </si>
  <si>
    <t>An off-duty police officer fatally shot Bullard after seeing him stabbing another man. Bullard was pronounced dead at the scene, and the officer was honored by the Dallas Police Association for saving the man's life.</t>
  </si>
  <si>
    <t>http://www.wfaa.com/news/local/Police-at-scene-of-officer-involved-shooting-near-on-South-Lamar-253898801.html</t>
  </si>
  <si>
    <t>William Arthur Stogner Jr.</t>
  </si>
  <si>
    <t>http://localtvwhnt.files.wordpress.com/2014/04/stogner300.jpg?w=148&amp;h=150</t>
  </si>
  <si>
    <t>2024 Stanford Drive</t>
  </si>
  <si>
    <t>Stogner shot an officer. Officers then shot and killed Stogner.</t>
  </si>
  <si>
    <t>Eddie Ray Epperson</t>
  </si>
  <si>
    <t>https://d3jpl91pxevbkh.cloudfront.net/gf/image/upload/c_crop,w_480,h_319,x_0,y_0/c_limit,h_340,w_647/v1397775739/QLh5FahnRpWKLi5WqkganA.jpg</t>
  </si>
  <si>
    <t>Gibson Wells Road</t>
  </si>
  <si>
    <t>Gibson</t>
  </si>
  <si>
    <t>Humboldt Police Department</t>
  </si>
  <si>
    <t>Epperson was allegedly intoxicated and running through the streets when police attempted to detain him. Epperson and police struggled for some time before Epperson suffered a fatal heart attack.</t>
  </si>
  <si>
    <t>http://www.wbbjtv.com/news/local/TBI-Confirms-Officer-Involved-Struggle-253920491.html</t>
  </si>
  <si>
    <t>Lindsay C. Eldessoky</t>
  </si>
  <si>
    <t>1300 Dual Highway</t>
  </si>
  <si>
    <t>Washington County Sheriff’s Office</t>
  </si>
  <si>
    <t>Pedestrian Eldessoky was struck and killed at about 3:30 a.m. by a speeding unmarked county vehicle on a highway. The deputy was on duty, and not charged.</t>
  </si>
  <si>
    <t>http://www.heraldmailmedia.com/news/breaking/woman-struck-and-killed-by-unmarked-sheriff-s-office-vehicle/article_d41a42a8-bce3-11e3-8145-001a4bcf6878.html</t>
  </si>
  <si>
    <t>27407</t>
  </si>
  <si>
    <t>Cody Spafford</t>
  </si>
  <si>
    <t>http://www.thestranger.com/binary/749b/1396635147-image.jpeg</t>
  </si>
  <si>
    <t>100 39th Avenue East</t>
  </si>
  <si>
    <t>98112</t>
  </si>
  <si>
    <t>Spafford reportedly robbed a bank and fled. His car was found flipped. He was hiding in a yard where an officer found him with a knife. The officer felt threatened and shot and killed Spafford.</t>
  </si>
  <si>
    <t>http://slog.thestranger.com/slog/archives/2014/04/04/the-man-seattle-police-killed-yesterday-26-year-old-chef-cody-spafford</t>
  </si>
  <si>
    <t>Stanley "Laransie" Whitman</t>
  </si>
  <si>
    <t>http://wrcb.images.worldnow.com/images/25166937_BG1.jpg</t>
  </si>
  <si>
    <t>Marion Avenue</t>
  </si>
  <si>
    <t>Richard City</t>
  </si>
  <si>
    <t>37380</t>
  </si>
  <si>
    <t>Monteagle Police Department</t>
  </si>
  <si>
    <t>Chief McNeese was on a hunting trip with a friend when he accidentally shot and killed his friend Whitman.</t>
  </si>
  <si>
    <t>http://www.wrcbtv.com/story/25166937/monteagle-police-chief-involved-in-hunting-accident</t>
  </si>
  <si>
    <t>Marcus Garner</t>
  </si>
  <si>
    <t>http://media.cmgdigital.com/shared/lt/lt_cache/thumbnail/188/img/photos/2014/04/02/a3/cc/Marcus_Garner.JPG</t>
  </si>
  <si>
    <t>3100 Sweetwater Rd</t>
  </si>
  <si>
    <t>Two officers were called to the Sweetwater apartments in Lawrenceville due to a suspicious vehicle. After chasing the occupants, an officer returned to the car to find Garner fighting with another officer. Garner allegedly retrieved the officer's gun, pointed it at the officer, and the other officer shot and killed Garner.</t>
  </si>
  <si>
    <t>Tyler Evans Terry</t>
  </si>
  <si>
    <t>http://wbtw.images.worldnow.com/images/25167034_BG2.jpg</t>
  </si>
  <si>
    <t>West Old Camden Road and New Market Road</t>
  </si>
  <si>
    <t>Hartsville</t>
  </si>
  <si>
    <t>29550</t>
  </si>
  <si>
    <t>Darlington</t>
  </si>
  <si>
    <t>Darlington County Sheriff's Office</t>
  </si>
  <si>
    <t>In the early morning hours of a Wednesday Amberley Hunnicutt and Tyler Evans Terry drew the attention of a county deputy by speeding through a 35 MPH zone at 70, and after a brief police chase they crashed and overturned at a bridge. The deputy also collided into their car as well. Both were killed; the deputy was unharmed.</t>
  </si>
  <si>
    <t>http://www.wbtw.com/story/25167034/funeral-plans-set-for-hartsville-pair-killed-after-police-chase</t>
  </si>
  <si>
    <t>Amberley McKenzie Hunnicutt</t>
  </si>
  <si>
    <t>Matthew Troy Pollow</t>
  </si>
  <si>
    <t>http://media.cmgdigital.com/shared/lt/lt_cache/thumbnail/275/img/photos/2014/04/03/14/1c/boca-shoot</t>
  </si>
  <si>
    <t>23200 Camino Del Mar</t>
  </si>
  <si>
    <t>Boca Raton</t>
  </si>
  <si>
    <t>33433</t>
  </si>
  <si>
    <t>Palm Beach County Sheriff’s Office</t>
  </si>
  <si>
    <t>Deputies were called for an armed disturbance. On scene was Pollow; he was ordered to empty his pockets. He allegedly drew a knife and charged at a deputy prompting the deputy to shoot and kill him.</t>
  </si>
  <si>
    <t>http://www.mypalmbeachpost.com/news/news/crime-law/multiple-witnesses-say-they-heard-shots-deputy-fir/nfRMF/</t>
  </si>
  <si>
    <t>Natividad Nuñez</t>
  </si>
  <si>
    <t>http://extras.mnginteractive.com/live/media/site557/2014/0417/20140417__LSN-L-deputy%20charged-0418~p2_200.jpg</t>
  </si>
  <si>
    <t>Sequoia Avenue</t>
  </si>
  <si>
    <t>87120</t>
  </si>
  <si>
    <t>Doña Ana County Sheriff's Office</t>
  </si>
  <si>
    <t>Doña Ana County Sheriff's deputy Eden Terrazas was responding to a call related to a missing child case. She was following a car on Interstate 10, driving 114 mph as she approached the curve in N.M. 192, near Sequoia Road. Terrazas lost control, crossed the opposite traffic lane and hit Natividad Nuñez who was walking in the dirt shoulder. She was charged with minor crimes such as driving without a seatbelt.</t>
  </si>
  <si>
    <t>http://www.lcsun-news.com/las_cruces-news/ci_25587778/sheriffs-deputy-faces-vehicular-homicide-charge-death-mesquite</t>
  </si>
  <si>
    <t>Shirley Joyce Brown</t>
  </si>
  <si>
    <t>195 Russell Braden Road</t>
  </si>
  <si>
    <t>30016</t>
  </si>
  <si>
    <t>Brown was threatening suicide when she walked out of her home with a rifle. She pointed it at an officer. Officer(s) fired. Brown later died at the hospital from her wounds.</t>
  </si>
  <si>
    <t>http://www.newtoncitizen.com/news/2014/apr/01/74-year-old-woman-id8217d-as-victim-in-fatal/</t>
  </si>
  <si>
    <t>Kimberly Dawn Whitworth</t>
  </si>
  <si>
    <t>http://ak-cache.legacy.net/legacy/images/Cobrands/shelbystar/Photos/c76deab4-1a58-42b9-9ceb-5893825eb21a.jpg</t>
  </si>
  <si>
    <t>NC-9 &amp; US-74</t>
  </si>
  <si>
    <t>Tryon</t>
  </si>
  <si>
    <t>28782</t>
  </si>
  <si>
    <t>Cleveland County Sheriff’s Office</t>
  </si>
  <si>
    <t>Whitworth was the passenger in a car driven by her boyfriend, in a police chase that spanned three counties and ended with her boyfriend losing control of the vehicle after running over spike strips. Several days after the crash Whitworth died. Authorities had discovered $2,000 worth of meth on her, concealed in a body cavity.</t>
  </si>
  <si>
    <t>http://www.gastongazette.com/news/local/man-charged-with-second-degree-murder-in-wreck-1.368844</t>
  </si>
  <si>
    <t>James Clark</t>
  </si>
  <si>
    <t>http://media.wbng.com/images/Clark+gallery+1.JPG</t>
  </si>
  <si>
    <t>32 Harrison St</t>
  </si>
  <si>
    <t>Johnson City</t>
  </si>
  <si>
    <t>Broome</t>
  </si>
  <si>
    <t>Johnson City Police Department</t>
  </si>
  <si>
    <t>Police said Clark shot Officer Smith two times and then fired on responding officers, who then shot him.</t>
  </si>
  <si>
    <t>Zikarious Flint</t>
  </si>
  <si>
    <t>https://scontent-lax.xx.fbcdn.net/hphotos-xpf1/t31.0-8/10848802_824533634272919_7973339299895571120_o.jpg</t>
  </si>
  <si>
    <t>4225 University Ave</t>
  </si>
  <si>
    <t>31907</t>
  </si>
  <si>
    <t>Muscogee</t>
  </si>
  <si>
    <t>Columbus State University Campus Police</t>
  </si>
  <si>
    <t>Campus police received reports that Flint, not a student, was seen loading a gun. Officers responded and Flint fled on foot. Officers fatally shot him in the back and the back of the neck. Witnesses maintain Flint was unarmed.</t>
  </si>
  <si>
    <t>Raason Shaw</t>
  </si>
  <si>
    <t>http://www.revcom.us/i/336/Raason-Shaw-Pic.jpg</t>
  </si>
  <si>
    <t>7800 South Merrill Avenue</t>
  </si>
  <si>
    <t>Shaw reportedly fired a shot at officers while they were picking him up with an arrest warrant. Ultimately, officers shot and killed Shaw.</t>
  </si>
  <si>
    <t>Bryant Augustus "Fluke" Stallings</t>
  </si>
  <si>
    <t>http://wnct.images.worldnow.com/images/3445240_G.jpg</t>
  </si>
  <si>
    <t>175 Craven Terrace</t>
  </si>
  <si>
    <t>New Bern</t>
  </si>
  <si>
    <t>28560</t>
  </si>
  <si>
    <t>New Bern Police Department</t>
  </si>
  <si>
    <t>An officer stopped Stallings in the area of Craven Terrace. Stallings ran away from police and started shooting at two officers. Police fired back and killed Stallings. One of the officers, Thalmann, also died later from his injuries. "I see him coming up and see him putting the bike down. I'm seeing the police car pull up and asking him to 'come here'. He was like, 'sir why are you stopping me' and I guess it was because of the bike because he did not have a light, but he did have a light on the bike."</t>
  </si>
  <si>
    <t>Tracy L. McCraw</t>
  </si>
  <si>
    <t>http://wave.images.worldnow.com/images/25105217_BG5.jpg</t>
  </si>
  <si>
    <t>3100 Melody Acres Lane</t>
  </si>
  <si>
    <t>40216</t>
  </si>
  <si>
    <t>McCraw was visiting friends in the neighborhood and had an argument with his girlfriend. Officers first responded to a call about someone firing a gun. When they arrived, they didn't find a shooter or victim. So they left. About forty five minutes later, several calls came in that a man was firing a gun. When officers arrived, they found McCraw wielding a handgun. He then ran and fired a round at the police. Officers fired back. McCraw died at University of Louisville Hospital.</t>
  </si>
  <si>
    <t>http://www.wave3.com/story/25105217/man-who-died-in-officer-involved-shooting-identified</t>
  </si>
  <si>
    <t>Christopher Leo Knight</t>
  </si>
  <si>
    <t>300 South West Temple</t>
  </si>
  <si>
    <t>84101</t>
  </si>
  <si>
    <t>Salt Lake Police Department</t>
  </si>
  <si>
    <t>Knight was the passenger in a car pulled over because of a broken headlight. Police found out the driver's license was suspended with traffic-related warrants. One officer questioned Knight to determine whether he could drive the car. When Knight gave two different names, police became suspicious. Knight refused to come out of the car, and an altercation ensued. Police says Knight pulled a gun and shot at the officers.</t>
  </si>
  <si>
    <t>http://www.deseretnews.com/article/865603048/Report-Officer-justified-in-shooting-killing-man-who-fired-at-police.html?pg=all</t>
  </si>
  <si>
    <t>Anthony Ray Osburn</t>
  </si>
  <si>
    <t>112 Colonial Village Dr</t>
  </si>
  <si>
    <t>Lincolnton</t>
  </si>
  <si>
    <t>28092</t>
  </si>
  <si>
    <t>Lincoln County Sheriff's Office</t>
  </si>
  <si>
    <t>Osburn was a suspect in a murder investigation of a woman in Lincolnton. During a traffic stop, he attempted to shoot an officer and then fled into the Lantern Ridge apartment complex. There was a standoff for hours. Then Osburn exited the complex with a weapon and fired at officers. Police returned fire and killed Osburn.</t>
  </si>
  <si>
    <t>http://www.lincolntimesnews.com/2014/03/28/suspect-killed-by-swat-team/</t>
  </si>
  <si>
    <t>Jason Roy Wilson</t>
  </si>
  <si>
    <t>5800 Brushwood Court</t>
  </si>
  <si>
    <t>Chino Hills</t>
  </si>
  <si>
    <t>91709</t>
  </si>
  <si>
    <t>Wilson broke into a house, and the owner confronted him. Wilson ran out of the house and charged at deputies. He was holding a gun and a knife. Wilson was shot to death by one of the deputies.</t>
  </si>
  <si>
    <t>http://blog.pe.com/crime/2014/03/28/chino-hills-perimeter-formed-around-neighborhood-for-search/</t>
  </si>
  <si>
    <t>Antoquan T. Watson</t>
  </si>
  <si>
    <t>South Missouri Avenue and Atlantic Avenue</t>
  </si>
  <si>
    <t>Antoquan Watson led police on a 7-mile chase that ended in a hail of gunfire. The chase began over an unpaid restaurant bill of less than $9. Watson led police on a chase from La Escondida II restaurant in Pleasantville through parts of Egg Harbor Township and Ventnor into Atlantic City. At Atlantic Avenue, witnesses and police said, he fired at officers. Officers then returned fire and killed him.</t>
  </si>
  <si>
    <t>http://www.pressofatlanticcity.com/news/crime/little-known-about-man-killed-in-atlantic-city-after-chase/article_37d0a94c-b6c5-11e3-a65c-001a4bcf887a.html</t>
  </si>
  <si>
    <t>Eduardo Rodriguez</t>
  </si>
  <si>
    <t>John Avenue and Peek Avenue</t>
  </si>
  <si>
    <t>77642</t>
  </si>
  <si>
    <t>Port Arthur Pollice Department</t>
  </si>
  <si>
    <t>http://www.12newsnow.com/story/25092399/port-arthur-shooting</t>
  </si>
  <si>
    <t>Lonnie Duane "L.D." Baker</t>
  </si>
  <si>
    <t>100 Bosque Street</t>
  </si>
  <si>
    <t>Glen Rose</t>
  </si>
  <si>
    <t>76043</t>
  </si>
  <si>
    <t>Somervell</t>
  </si>
  <si>
    <t>Somervell County Sheriff's Office</t>
  </si>
  <si>
    <t>Dispatchers received a report of a disturbance. Caller said screams could be heard coming from a residence, and a gun was fired. Deputies responded and confronted Baker who had a gun. One of the officers fired a shot. Baker was pronounced dead at the hospital shortly after the incident.</t>
  </si>
  <si>
    <t>http://www.yourglenrosetx.com/news/local/article_07513166-2501-5e4c-9f96-82a4e7e50785.html</t>
  </si>
  <si>
    <t>Larry Dale Plaster</t>
  </si>
  <si>
    <t>http://localtvkfor.files.wordpress.com/2014/03/plaster_larry.jpg?w=640</t>
  </si>
  <si>
    <t>200 South Broadway St.</t>
  </si>
  <si>
    <t>Sayre</t>
  </si>
  <si>
    <t>73662</t>
  </si>
  <si>
    <t>Beckham</t>
  </si>
  <si>
    <t>Beckham County Sheriff's Office</t>
  </si>
  <si>
    <t>Two Sayre police officers tried to serve Plaster a felony warrants for failure to pay child support and attempting to elude police while under the influence. Police chased Plaster and called for backup. A Beckham County deputy responded and attempted to arrest Plaster. Police says Plaster hit the deputy several times with an axe. The deputy fired several shots, and at least one bullet struck and killed Plaster.</t>
  </si>
  <si>
    <t>http://www.koco.com/news/1-dead-in-beckham-county-officerinvolved-shooting/25199176</t>
  </si>
  <si>
    <t>Christopher McDaniel</t>
  </si>
  <si>
    <t>300 Beardsley Avenue</t>
  </si>
  <si>
    <t>Oildale</t>
  </si>
  <si>
    <t>Deputies attempted to pull over McDaniel on a motorcycle for a vehicle code violation. He didn't stop, and there was a short pursuit in Oildale until he crashed his motorcycle. Witnesses say McDaniel put his hands in the air to surrender, but police shot him. He was struck at least once and was later pronounced dead at Kern Medical Center.</t>
  </si>
  <si>
    <t>http://www.bakersfieldnow.com/news/local/Breaking-News-Officer-involved-shooting-leaves-1-dead-252589101.html</t>
  </si>
  <si>
    <t>Steven Charles Corkery</t>
  </si>
  <si>
    <t>http://khq.images.worldnow.com/images/3437178_G.jpg</t>
  </si>
  <si>
    <t>West Grace Avenue &amp; North Maple Street</t>
  </si>
  <si>
    <t>99205</t>
  </si>
  <si>
    <t>Detectives received information about a possible suspect in a recent armed robbery and had Corkery's home under surveillance when the suspect appeared. The detectives called in the SWAT team as they attempted to get Corkery out of the house using a PA system. He eventually came out of the house and appeared to have a gun in his left hand. While speaking with officers, Corkery made a threatening move, and officers opened fire. A weapon was recovered at the scene on the porch close to where Corkery was standing.</t>
  </si>
  <si>
    <t>http://www.khq.com/story/25084883/breaking-shots-fired-at-police-situation-in-north-spokane</t>
  </si>
  <si>
    <t>Chieu-di Thi Vo</t>
  </si>
  <si>
    <t>http://ak-cache.legacy.net/legacy/Images/Cobrands/DignityMemorial/Photos/6b6106fb-65c5-43c2-9e52-a11d9f1874ee.jpg</t>
  </si>
  <si>
    <t>1007 Pineland St</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</si>
  <si>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</si>
  <si>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</si>
  <si>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</si>
  <si>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DeAndre Lloyd Starks</t>
  </si>
  <si>
    <t>http://bloximages.newyork1.vip.townnews.com/tulsaworld.com/content/tncms/assets/v3/editorial/7/58/75856a84-b4f4-11e3-8b9a-0017a43b2370/5332e6c208317.preview-300.jpg</t>
  </si>
  <si>
    <t>239 East Young Street</t>
  </si>
  <si>
    <t>74106</t>
  </si>
  <si>
    <t>Police served a search warrant for drugs at a house where Starks and several other people were present. Starks was wearing loose clothing and concealing his hands and repeatedly refused police orders to display his hands. Fearing Starks was armed, one officer shot and killed Starks. Starks was unarmed but in possession of crack cocaine. The officer who shot Starks had been involved in a previous fatal encounter.</t>
  </si>
  <si>
    <t>http://www.mapinc.org/drugnews/v14/n282/a06.html</t>
  </si>
  <si>
    <t>Alfred Redwine</t>
  </si>
  <si>
    <t>30</t>
  </si>
  <si>
    <t>http://binaryapi.ap.org/8ecf5045cf444117ac32baa2f30d254a/460x.jpg</t>
  </si>
  <si>
    <t>228 60th Street NW</t>
  </si>
  <si>
    <t>87105</t>
  </si>
  <si>
    <t>Officer James Eichel shot and killed 30-year-old Alfred Redwine after police said Redwine shot at least one shot while standing outside of his apartment near 60th Street and Central. Police were called to the scene after a 14-year-old girl said Redwine pointed a gun at her.</t>
  </si>
  <si>
    <t>Sakhar Williye Robinson</t>
  </si>
  <si>
    <t>http://northcarolina.arrests.org/mugs/Rowan/22126.jpg</t>
  </si>
  <si>
    <t>205 North Arlington Road</t>
  </si>
  <si>
    <t>28144</t>
  </si>
  <si>
    <t>Rowan</t>
  </si>
  <si>
    <t>Rowan County Sheriff's Office</t>
  </si>
  <si>
    <t>Wearing a mask and armed with a shotgun, Robinson attempted to rob a Chinese restaurant. An off-duty correctional officer who was dining at the restaurant showed Robinson his badge, but he continued to menace customers. The officer shot Robinson three times, killing him. Sheriff's office cleared officer, investigation pending.</t>
  </si>
  <si>
    <t>http://rowanfreepress.com/2014/03/26/off-duty-sheriffs-deputy-guns-down-robber-at-china-buffet-in-salisbury-n-c/</t>
  </si>
  <si>
    <t>Charles D. Welborn</t>
  </si>
  <si>
    <t>http://sanangelolive.com/sites/default/files/styles/iosslider_node/public/field/image/welborn_0.jpg?itok=9ERKmrwm</t>
  </si>
  <si>
    <t>610 W 29Th St</t>
  </si>
  <si>
    <t>Suspect broke into gun case at Wal-Mart and attempted to take a rifle. After employee fought off suspect he ran to parking lot. Suspect lunged at SAPD officer with broken bottle and was shot 3 times.</t>
  </si>
  <si>
    <t>http://sanangelolive.com/news/crime/2014-03-27/family-member-incident-Wal-Mart-prompted-string-tragedies</t>
  </si>
  <si>
    <t>Israel Rondon</t>
  </si>
  <si>
    <t>http://www.splcenter.org/blog/wp-content/uploads/2014/03/Israel-Rondon1.jpg</t>
  </si>
  <si>
    <t>15445 Sheldon Road</t>
  </si>
  <si>
    <t>Middleburg</t>
  </si>
  <si>
    <t>44130</t>
  </si>
  <si>
    <t>Cuyahoga County Sheriff's Office</t>
  </si>
  <si>
    <t>Rondon was a sovereign citizen or "freeman" well known to local police. After he violated his parole, three officers came to his house to serve a warrant. He greeted them with a beer in his hand and a rifle. He refused to put the weapon down and instead aimed it at one of the officers. The other two officers shot and killed Rondon. Rondon's rifle misfired, according to police.</t>
  </si>
  <si>
    <t>http://prosecutor.cuyahogacounty.us/en-US/20140715-PR-Prosecutor-concludes-use-of-deadly-force-justified.aspx</t>
  </si>
  <si>
    <t>Brendan K. Wright</t>
  </si>
  <si>
    <t>http://thumbs.mugshots.com/gallery/images/2/bd/53/Brendan-K-Wright_mugshot.400x800.jpg</t>
  </si>
  <si>
    <t>2400 Scott Road</t>
  </si>
  <si>
    <t>Rice</t>
  </si>
  <si>
    <t>99167</t>
  </si>
  <si>
    <t>Stevens County Sheriff's Department</t>
  </si>
  <si>
    <t>Wright was causing a violent disturbance outside a man's house in a rural area. The man called a neighbor, who was a detective with the sheriff's department. The detective was off-duty, but put his uniform on and proceeded to the residence. When the detective arrived, Wright immediately began shooting at him with a shotgun. Wright's BAC was over legal driving limit. Spokane Investigative Regional Response team found shooting justified.</t>
  </si>
  <si>
    <t>http://www.spokesman.com/stories/2014/aug/18/stevens-co-prosecutor-no-charges-officer-involved-/</t>
  </si>
  <si>
    <t>Michael Valentino</t>
  </si>
  <si>
    <t>http://media.nbclosangeles.com/images/652*370/valentino-michael-hollywood-hills-ois.gif</t>
  </si>
  <si>
    <t>8100 Gould Avenue</t>
  </si>
  <si>
    <t>90046</t>
  </si>
  <si>
    <t>Officers responded to a call for domestic violence and went to Valentino's home. Police says he opened fired, and officers returned fire. Valentino had a history of criminal convictions including forgery, battery and burglary.</t>
  </si>
  <si>
    <t>http://www.nbclosangeles.com/news/local/Hollywood-Hills-Shooting-LAPD-Police-Shootout-Michael-Valentino-252672211.html</t>
  </si>
  <si>
    <t>Willie Neall Harden</t>
  </si>
  <si>
    <t>https://apps.azcorrections.gov/mugshots/210560.jpg</t>
  </si>
  <si>
    <t>North 59th Avenue and West McDowell Road</t>
  </si>
  <si>
    <t>85035</t>
  </si>
  <si>
    <t>Harden approached a police sergeant who was parked in a patrol car filling out a report. The sergeant rolled down his window, they began conversing, when suddenly Harden tried to grab the sergeant through the window. There was a struggle, the sergeant shot Harden one time and killed him.</t>
  </si>
  <si>
    <t>http://www.azcentral.com/story/news/local/phoenix/2014/03/25/name-man-killed-phoenix-police-sergent-released-abrk/6874563/</t>
  </si>
  <si>
    <t>Gail Dean Fairless</t>
  </si>
  <si>
    <t>http://www.koco.com/image/view/-/25135332/highRes/1/-/maxh/480/maxw/640/-/14oi4w1/-/Mug-Gail-Fairless-jpg.jpg</t>
  </si>
  <si>
    <t>4300 Northwest 21st Terrace</t>
  </si>
  <si>
    <t>Fairless' wife called police and reported her husband was suicidal and armed. Four officers found Fairless in the master bedroom, sitting on the bed with a handgun close by. Police ordered him to move away from the weapon, instead he allegedly picked the weapon up and all four officers opened fire, killing him. Fairless family requested an investigation but was apparently denied.</t>
  </si>
  <si>
    <t>http://www.koco.com/news/man-killed-in-officerinvolved-shooting-idd-by-oklahoma-city-police/25135226</t>
  </si>
  <si>
    <t>Douglas Cooper</t>
  </si>
  <si>
    <t>http://i1.ytimg.com/vi/fYoM_iHSt0o/0.jpg</t>
  </si>
  <si>
    <t>100 Canton Street</t>
  </si>
  <si>
    <t>02908</t>
  </si>
  <si>
    <t>Providence Police Department and Rhode Island State Police</t>
  </si>
  <si>
    <t>Police happened across two rival street groups in an active firefight, Cooper among them. Three local plainclothes officers engaged both groups when they were fired on. Cooper was the only shooting victim.</t>
  </si>
  <si>
    <t>http://www.providencejournal.com/breaking-news/content/20140323-update-providence-police-say-undetermined-who-fired-fatal-shot-in-gunfight.ece</t>
  </si>
  <si>
    <t>Brian McLeod</t>
  </si>
  <si>
    <t>http://tribkcpq.files.wordpress.com/2014/04/brianmcleod2.jpg</t>
  </si>
  <si>
    <t>5098 Grandview Drive West</t>
  </si>
  <si>
    <t>Pierce County Sheriff's Department</t>
  </si>
  <si>
    <t>McLeod was an Army veteran with heavy combat experience in Afghanistan. Police were called to McLeod's apartment, where he and an Army buddy had been drinking then fighting. McLeod's friend told police McLeod had stabbed him. McLeod came out carrying a shotgun. When he pointed it at police, a deputy opened fire, killing him. McLeod's friends believe he suffered from PTSD. His family requested and was denied a special coroner's inquest.</t>
  </si>
  <si>
    <t>http://www.military.com/daily-news/2014/07/11/prosecutor-fatal-shooting-of-soldier-justified.html</t>
  </si>
  <si>
    <t>Rajsaun McCray</t>
  </si>
  <si>
    <t>http://bloximages.chicago2.vip.townnews.com/myeasternshoremd.com/content/tncms/assets/v3/editorial/e/15/e1510f2c-b18f-5df2-bfbc-5e4ee9e146c5/533142c71b815.preview-300.jpg</t>
  </si>
  <si>
    <t>1000 Middelton Road</t>
  </si>
  <si>
    <t>Aberdeen</t>
  </si>
  <si>
    <t>21001</t>
  </si>
  <si>
    <t>http://www.myeasternshoremd.com/news/queen_annes_county/article_43def559-3c33-58d2-83aa-f690df5cb7c8.html?mode=jqm</t>
  </si>
  <si>
    <t>Homer Ken Warren</t>
  </si>
  <si>
    <t>Division Street and 25th Street</t>
  </si>
  <si>
    <t>32209</t>
  </si>
  <si>
    <t>Warren was with two other individuals in an automobile known by police to be stolen. A police officer spotted them and after a short pursuit, Warren and the other two individuals parked and fled on foot. The officer pursued on foot, and when Warren turned and pointed a handgun at him, the officer shot Warren multiple times.</t>
  </si>
  <si>
    <t>http://jacksonville.com/news/crime/2014-03-21/story/carjacking-supsects-chased-1-shot-dead-jacksonville-police</t>
  </si>
  <si>
    <t>Dario Tena</t>
  </si>
  <si>
    <t>141 School St.</t>
  </si>
  <si>
    <t>10701</t>
  </si>
  <si>
    <t>Tena fell from his third-floor apartment to his death caused by severe head injuries, during a police drug raid. The warrant was one of many falsified by officers who racked up thousands in overtime; as of September 2014 many of the resulting drug cases have been tossed out of court, and a grand jury convened.</t>
  </si>
  <si>
    <t>http://www.lohud.com/story/news/local/2014/09/07/yonkers-man-death-sister-questions-tainted-search-warrant/15265517/</t>
  </si>
  <si>
    <t>Aaron Dino Smith Jr.</t>
  </si>
  <si>
    <t>http://www.gannett-cdn.com/-mm-/5873f4735443538603636ed5a1e808455211ca98/c=22-0-690-890&amp;r=537&amp;c=0-0-534-712/local/-/media/Nashville/2014/05/08/aarondinosmith.jpg</t>
  </si>
  <si>
    <t>Elliston Place</t>
  </si>
  <si>
    <t>37203</t>
  </si>
  <si>
    <t>A police officer investigating credit card theft encountered Smith, the suspect pulled a gun and pointed it at the officer. He then fled, hijacking an automobile. An hour later, police cornered Smith near a busy shopping center. Smith now had two guns, and he pointed one at his head and one at his stomach. When he pointed one of the guns at police, five officers open fired, killing him.</t>
  </si>
  <si>
    <t>Alejandro "Alex" Nieto</t>
  </si>
  <si>
    <t>http://hiphopandpolitics.com/wp-content/uploads/2014/03/Screen-Shot-2014-03-25-at-7.43.54-PM.png</t>
  </si>
  <si>
    <t>Bernal Heights Park</t>
  </si>
  <si>
    <t>Police officers were investigating reports of a man with a gun at Bernal Heights Park, acting erratically and threatening passersby. Police said he appeared to reach for a weapon - friends and witnesses suggested it was a Taser stun gun - and officers shot and killed him.</t>
  </si>
  <si>
    <t>http://www.sfgate.com/crime/article/Man-killed-by-S-F-police-was-inspiration-but-5344159.php</t>
  </si>
  <si>
    <t>William Slade Sullivan</t>
  </si>
  <si>
    <t>http://bloximages.newyork1.vip.townnews.com/kdhnews.com/content/tncms/assets/v3/editorial/3/50/3505ff74-d276-11e3-bb76-0017a43b2370/536467f1d200b.preview-300.jpg</t>
  </si>
  <si>
    <t>201 Seton Pkwy</t>
  </si>
  <si>
    <t>Round Rock</t>
  </si>
  <si>
    <t>78665</t>
  </si>
  <si>
    <t>Round Rock Police Department</t>
  </si>
  <si>
    <t>A handicapped man who was pulled from his truck and thrown to the ground by police who thought he was attempting to drive while intoxicated. As a result of the assault, he was paralyzed from the neck down. He died from complications related to the paralysis on 8/18/14.</t>
  </si>
  <si>
    <t>http://kdhnews.com/news/lawyer-florence-man-dies-from-arrest-related-injuries/article_d13c5c94-27f8-11e4-81c1-001a4bcf6878.html?mode=jqm</t>
  </si>
  <si>
    <t>Monty Wayne Barker</t>
  </si>
  <si>
    <t>http://homicide.latimes.com.s3.amazonaws.com/media/homicide/4954780a-fb11-4c9e-ae85-d226bc07ce9d.jpg</t>
  </si>
  <si>
    <t>5249 Mecca Ave.</t>
  </si>
  <si>
    <t>When officers arrived on the scene, Barker walked from the rear of his Mecca Avenue residence to the front, still carrying a shotgun. He confronted the officers and there was an officer-involved shooting.</t>
  </si>
  <si>
    <t>http://homicide.latimes.com/post/monty-wayne-barker/</t>
  </si>
  <si>
    <t>Angel Ruiz</t>
  </si>
  <si>
    <t>http://bloximages.newyork1.vip.townnews.com/montereycountyweekly.com/content/tncms/assets/v3/editorial/3/0f/30f22dd6-b467-11e3-af2d-0017a43b2370/5331f9e1c69f5.preview-300.jpg</t>
  </si>
  <si>
    <t>1488 Constitution Boulevard</t>
  </si>
  <si>
    <t>Ruiz went on a crime spree that allegedly included a hit and run accident in which he shot at a CHP motorcycle officer and the armed robbery of a restaurant. Police confronted Ruiz outside the restaurant. He attempted to go for his gun, and three officers shot and killed him. The weapon turned out to be an Aersoft pellet gun.</t>
  </si>
  <si>
    <t>http://www.montereycountyweekly.com/blogs/news_blog/man-killed-by-salinas-police-linked-to-multiple-crimes-including/article_9ea4dd3e-b466-11e3-90b0-0017a43b2370.html</t>
  </si>
  <si>
    <t>Hector Chairez</t>
  </si>
  <si>
    <t>http://extras.mnginteractive.com/live/media/site570/2014/0325/20140325__MCH-L-bigsur-0326~1_GALLERY.jpg</t>
  </si>
  <si>
    <t>Palo Colorado Canyon Road</t>
  </si>
  <si>
    <t>Big Sur</t>
  </si>
  <si>
    <t>93923</t>
  </si>
  <si>
    <t>Monterey County Sheriff’s Office</t>
  </si>
  <si>
    <t>Chairez was a parolee at-large who was wanted for multiple felonies. Deputies recognized Chairez's car and tried to pull him over, but he led them on a high-speed chase. During the high-speed chase, California Highway Patrol officers described Chairez as a burglary suspect. Chairez was killed after he bailed out of the car and was running on foot with a female passenger. The woman was captured and arrested.</t>
  </si>
  <si>
    <t>http://www.ksbw.com/news/central-california/monterey/man-killed-by-deputies-in-big-sur-identified/25143778</t>
  </si>
  <si>
    <t>Robert Moreno Jr.</t>
  </si>
  <si>
    <t>http://blogs.ocweekly.com/navelgazing/lil_clumsy_anaheim.jpg</t>
  </si>
  <si>
    <t>1100 Mayfair Avenue</t>
  </si>
  <si>
    <t>Anaheim police was searching for suspects to search for three suspects. Two suspects took off running, but Moreno pulled a handgun out and shot a K-9. Police fired back, killing Moreno.</t>
  </si>
  <si>
    <t>Willie D. Michilak</t>
  </si>
  <si>
    <t>http://cdn.nebraskaradionetwork.com/wp-content/uploads/2014/03/Michalak-Willie.jpg</t>
  </si>
  <si>
    <t>S 11th St &amp; Dorcas St</t>
  </si>
  <si>
    <t>Authorities said as officers approached Michalak, gunshots were fired by multiple officers from multiple agencies. In total, five officers from three agencies fired their duty weapons, two from the Omaha Police Department, two from the United States Marshals Service and one from the U.S. Immigration and Customs Enforcement (ICE).</t>
  </si>
  <si>
    <t>Errol Chang</t>
  </si>
  <si>
    <t>http://www.fatalencounters.org/wp-content/uploads/2013/10/ErrolChang.jpg</t>
  </si>
  <si>
    <t>300 San Pedro Avenue</t>
  </si>
  <si>
    <t>Pacifica</t>
  </si>
  <si>
    <t>94044</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</si>
  <si>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</si>
  <si>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</si>
  <si>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</si>
  <si>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Joe Gorden</t>
  </si>
  <si>
    <t>http://blogs.westword.com/latestword/assets_c/2014/03/joe.gorden.facebook.2-thumb-565x706.jpg</t>
  </si>
  <si>
    <t>East 16th Avenue and North Quentin Street</t>
  </si>
  <si>
    <t>80045</t>
  </si>
  <si>
    <t>Officers from the University of Colorado Denver Police Department were initially sent to a parking garage on the campus on a report of a suicidal man. When they found Gorden, he drove off. CU Denver police officers followed him, pulling him over at 16th Avenue and Quentin Street, and that's when shots were fired, hitting the man. He was taken to the emergency department at the University of Colorado Hospital where he was pronounced dead.</t>
  </si>
  <si>
    <t>http://denver.cbslocal.com/2014/03/21/coroner-identifies-man-shot-killed-by-police/</t>
  </si>
  <si>
    <t>Daquan Hendrix</t>
  </si>
  <si>
    <t>198 K St NW</t>
  </si>
  <si>
    <t>20001</t>
  </si>
  <si>
    <t>Capital Area Regional Fugitive Task Force</t>
  </si>
  <si>
    <t>A regional task force was serving a warrant on Hendrix related to the earlier death of another woman. Hendrix left his apartment building and fired at officers, leading them to return fire and fatally kill Hendrix.</t>
  </si>
  <si>
    <t>Winfield Carlton Fisher III</t>
  </si>
  <si>
    <t>http://www.wbaltv.com/image/view/-/25056774/highRes/1/-/yl87ed/-/Winfield-Fisher.jpg</t>
  </si>
  <si>
    <t>2765 N Salisbury Blvd</t>
  </si>
  <si>
    <t>Fisher had received an "safety equipment repair order" for his vehicle and came to the state police barracks to have it approved. The duty officer met him in the parking lot -- then called for help. Two more troopers found the duty officer lying with injuries consistent with being run down, and Fisher in his car, yards away, fatally shot.</t>
  </si>
  <si>
    <t>http://www.wbaltv.com/news/man-killed-during-incident-at-md-state-police-barracks/25051400</t>
  </si>
  <si>
    <t>Ryan Charles Deitrich</t>
  </si>
  <si>
    <t>8600 Oakleigh Road</t>
  </si>
  <si>
    <t>Parkville</t>
  </si>
  <si>
    <t>21234</t>
  </si>
  <si>
    <t>Officers who were called to check on the well-being of a man in the 8600 block of Oakleigh Road. When they arrived, Deitrich was outside his home. He threatened officers with a knife and charged them. At least one officer shot him multiple times. An emergency medical team treated Deitrich lying in the street for about 15 minutes, while tactical units searched the house to make sure no one else was inside.</t>
  </si>
  <si>
    <t>http://www.baltimoresun.com/news/maryland/baltimore-county/parkville/bs-md-co-towson-shooting-0319-20140318,0,812046.story</t>
  </si>
  <si>
    <t>Craig Uran</t>
  </si>
  <si>
    <t>http://www.gannett-cdn.com/-mm-/6a1ea7af7b4b6e444ce35057fe1b2e8bb6fae8ff/c=0-0-450-600&amp;r=183&amp;c=0-0-180-238/local/-/media/Phoenix/GenericImages/2014/03/19//1395261243000-uran.jpg</t>
  </si>
  <si>
    <t>1 East Washington Street</t>
  </si>
  <si>
    <t>85004</t>
  </si>
  <si>
    <t>Hallis Kinsey</t>
  </si>
  <si>
    <t>http://www.millerjosey.com/sitemaker/memsol_data/748/1272988/1272988_profile_pic.jpg?1425610668</t>
  </si>
  <si>
    <t>9638 Plainfield St</t>
  </si>
  <si>
    <t>Kinsey was stopped by police after he allegedly tried to rob a motel patron, and was found making boxing motions in a nearby street. After struggling with the officer, Kinsey was shot after charging at the officer. Hotel guests say they saw the man hanging around overnight. They say he stood around for hours and didn't seem a bother to anyone. They wonder if whatever happened here could have gone differently. "He was just cold and homeless and innocent. I'm thinking he was really mentally ill," said eyewitness Robbie Meraz.</t>
  </si>
  <si>
    <t>http://abclocal.go.com/ktrk/story?section=news%2Flocal&amp;id=9468645</t>
  </si>
  <si>
    <t>Kenny Roger Drake</t>
  </si>
  <si>
    <t>7900 Nicholson Rd</t>
  </si>
  <si>
    <t>30028</t>
  </si>
  <si>
    <t>Forsyth County Sheriff's Office</t>
  </si>
  <si>
    <t>Officers responding to a "routine 911 call" shot and killed Drake after he threatened them with a gun. The county District Attorney cleared the officers of any wrongdoing.</t>
  </si>
  <si>
    <t>William L. Daniels</t>
  </si>
  <si>
    <t>12 S Clinton St</t>
  </si>
  <si>
    <t>City of Poughkeepsie Police Department</t>
  </si>
  <si>
    <t>Police were called after a woman reported that Daniels had taken drugs and began acting violent. Officers attempted to tase Daniels to little effect, and shot him after he lunged at them with a knife.</t>
  </si>
  <si>
    <t>http://www.dailyfreeman.com/general-news/20140319/poughkeepsie-police-id-officer-deceased-suspect-in-monday-shooting</t>
  </si>
  <si>
    <t>Deosaran Maharaj</t>
  </si>
  <si>
    <t>http://wsvn.images.worldnow.com/images/3394598_G.jpg</t>
  </si>
  <si>
    <t>1101 NW 31st Ave</t>
  </si>
  <si>
    <t>Maharaj allegedly threatened a woman with a machete, and was soon pulled over by an officer. He was shot after ignoring the officer's orders to stand down.</t>
  </si>
  <si>
    <t>http://www.nbcmiami.com/news/local/Suspect-Killed-in-Deputy-Involved-Shooting-in-Pompano-Beach-BSO-250583181.html</t>
  </si>
  <si>
    <t>Daniel Martin</t>
  </si>
  <si>
    <t>http://cdn2.newsok.biz/cache/r960-a2ba8a2cbff574ed782d1c3a02a9e368.jpg</t>
  </si>
  <si>
    <t>4100 SW Parkridge Blvd</t>
  </si>
  <si>
    <t>Lawton</t>
  </si>
  <si>
    <t>73505</t>
  </si>
  <si>
    <t>Comanche</t>
  </si>
  <si>
    <t>Lawton Police Department</t>
  </si>
  <si>
    <t>Martin initially called police regarding vandals in his front yard. Officers shot Martin, who suffered from post-traumatic stress disorder and had methamphetamine in his system, after he answered the door holding a gun. The officers were cleared of any wrongdoing.</t>
  </si>
  <si>
    <t>http://www.news9.com/story/24987893/osbi-investigates-deadly-officer-involved-shooting-in-lawton</t>
  </si>
  <si>
    <t>Ronald Wayne Tate</t>
  </si>
  <si>
    <t>23600 S Las Vegas Blvd</t>
  </si>
  <si>
    <t>89019</t>
  </si>
  <si>
    <t>After threatening a number of skydiving employees with a gun, Tate was shot and killed by police after chambering a round into a shotgun pointed toward officers. Tate had no prior criminal history, and had earlier talked about having a bomb in his RV.</t>
  </si>
  <si>
    <t>http://www.mynews3.com/content/news/story/Standoff-with-Metro-SWAT-ends-with-RV-occupant/37u0MWSjcUagXZmutmnPTw.cspx</t>
  </si>
  <si>
    <t>James M. Boyd</t>
  </si>
  <si>
    <t>38</t>
  </si>
  <si>
    <t>Tramway Blvd NE &amp; Copper Ave NE</t>
  </si>
  <si>
    <t>Detective Keith Sandy and officer Dominique Perez shot 38-year-old James Boyd after APD responded to the Copper Trailhead after receiving reports of an illegal camper in the Sandia foothills.</t>
  </si>
  <si>
    <t>Brian Garber</t>
  </si>
  <si>
    <t>http://www.gannett-cdn.com/-mm-/23854a3075019acea0972b883bfbd1d497943c5b/c=124-0-835-533&amp;r=x404&amp;c=534x401/local/-/media/Mansfield/2014/08/15/briangarber.jpg</t>
  </si>
  <si>
    <t>Mill Run Road</t>
  </si>
  <si>
    <t>44904</t>
  </si>
  <si>
    <t>Richland County Sheriff's Office</t>
  </si>
  <si>
    <t>Garber became involved in a domestic incident with his estranged wife while having an adverse reaction to an antidepressant he had been prescribed. He left the scene before police arrived and eventually returned to his parents' home, where he was living. He sent a text to his wife that he had a gun and was going to kill her. Police arrived, rushed into his bedroom without any attempt to talk to him and reportedly fired 16 shots, 14 of which hit Garber, killing him. No gun was found.</t>
  </si>
  <si>
    <t>http://www.mansfieldnewsjournal.com/story/news/investigations/2014/08/15/action-mo-shooting-brings-local-case-question/14137475/</t>
  </si>
  <si>
    <t>Derral Kenneth "Kenny" Mosby</t>
  </si>
  <si>
    <t>http://columbian.media.clients.ellingtoncms.com/img/photos/2014/03/07/424622_fricops_gee_creek_1_t410.jpg?abf12a76e9e2bd182938a896e77d4d6f18815d64</t>
  </si>
  <si>
    <t>19306 NE 29th Ave</t>
  </si>
  <si>
    <t>Ridgefield</t>
  </si>
  <si>
    <t>98642</t>
  </si>
  <si>
    <t>Clark County Regional SWAT</t>
  </si>
  <si>
    <t>Mosby, who was wanted by police for a number of burglaries, was found hiding in his parents house and engaged in a short standoff with a SWAT team. He was shot after leaving the home while holding a firearm.</t>
  </si>
  <si>
    <t>http://www.columbian.com/news/2014/mar/14/swat-team-searched-wanted-subject-ridgefield/</t>
  </si>
  <si>
    <t>Jimmy Eugene Barker</t>
  </si>
  <si>
    <t>http://bloximages.chicago2.vip.townnews.com/thedailytimes.com/content/tncms/assets/v3/editorial/f/ba/fba29b8e-ae12-11e3-9ffc-001a4bcf887a/53275c545e946.image.jpg</t>
  </si>
  <si>
    <t>1400 E Duval St</t>
  </si>
  <si>
    <t>Lake City Police Department</t>
  </si>
  <si>
    <t>Barker was shot and killed at a DUI checkpoint after attempting to pull a gun on an officer. The officer was later cleared of any wrongdoing.</t>
  </si>
  <si>
    <t>Raul Altimirano Suarez Jr.</t>
  </si>
  <si>
    <t>N 51st St and E Thomas Rd</t>
  </si>
  <si>
    <t>Police were called to Suarez's home due to his erratic behavior. Upon arrival, Suarez told police that he had taken drugs and threatened to kill the officers. After a brief struggle and failed taser use, an officer fatally shot Suarez.</t>
  </si>
  <si>
    <t>http://www.kpho.com/story/24970140/phoenix-pd-officer-injured-suspect-dead-in-shooting</t>
  </si>
  <si>
    <t>Stanley Preston Thompson</t>
  </si>
  <si>
    <t>2900 Hillview Dr</t>
  </si>
  <si>
    <t>Yuba City</t>
  </si>
  <si>
    <t>95993</t>
  </si>
  <si>
    <t>Yuba City Police Department</t>
  </si>
  <si>
    <t>Police were called to Thompson's home after he allegedly threatened neighbors with a gun, and subsequently engaged gunfire with police intermittently for an hour before succumbing to fatal gunshot wounds. Neighbors said Thompson had shown signs of mental illness.</t>
  </si>
  <si>
    <t>http://www.mercedsunstar.com/2014/03/14/3547169/man-dies-in-shootout-with-yuba.html</t>
  </si>
  <si>
    <t>Eric Paul Andrews</t>
  </si>
  <si>
    <t>6800 Victoria Ave</t>
  </si>
  <si>
    <t>Deputies found the suspect standing over the victim who had been moderately injured by a sharp object, she added. As deputies approached the two, the suspect turned, raised a hatchet over his head and ran toward deputies. A deputy-involved shooting occurred.</t>
  </si>
  <si>
    <t>http://www.sbsun.com/general-news/20140312/highland-deputies-shoot-kill-hatchet-wielding-man</t>
  </si>
  <si>
    <t>Troy David Whisnant</t>
  </si>
  <si>
    <t>http://heavyeditorial.files.wordpress.com/2014/03/whisnant-mug.jpg?w=640&amp;h=473</t>
  </si>
  <si>
    <t>5500 Fish Hatchery Rd</t>
  </si>
  <si>
    <t>28655</t>
  </si>
  <si>
    <t>Burke</t>
  </si>
  <si>
    <t>Avery County Sheriff’s Department</t>
  </si>
  <si>
    <t>Whisnant, who earlier had killed his parents in a double homicide, also shot and killed another officer during a massive manhunt. Whisnant was eventually found and shot after exchanging gunfire with other police.</t>
  </si>
  <si>
    <t>http://www2.wataugademocrat.com/News/story/Update-Sheriff-releases-names-in-double-homicide-officer-killing-id-014365</t>
  </si>
  <si>
    <t>Kelly Vern Mark Swoboda</t>
  </si>
  <si>
    <t>http://media.katu.com/images/140128_kelly_vern_swoboda_405.jpg</t>
  </si>
  <si>
    <t>1217 SW Cheltenham St</t>
  </si>
  <si>
    <t>97239</t>
  </si>
  <si>
    <t>An officer shot Swoboda after identifying his van as one involved in an earlier kidnapping, then stopping him and briefly exchanging gunfire. Swoboda was a fugitive and suspected of stalking women in the Portland area, and a grand jury cleared the officer of any charges following the shooting.</t>
  </si>
  <si>
    <t>http://www.oregonlive.com/portland/index.ssf/2014/04/detectives_found_evidence_fugi.html</t>
  </si>
  <si>
    <t>Michael Snyder</t>
  </si>
  <si>
    <t>U.S. Route 90</t>
  </si>
  <si>
    <t>Chipley</t>
  </si>
  <si>
    <t>32428</t>
  </si>
  <si>
    <t>Police were called to Snyder's location and attempted to negotiate with him, asking him to put down what was later revealed to be an air rifle. Snyder refused to do so and was eventually shot by police after pointing the air gun at officers. The shooting was later determined to be justified.</t>
  </si>
  <si>
    <t>http://www.newsherald.com/news/crime-public-safety/fdle-officer-involved-fatal-shooting-ruled-justified-1.374053?page=0</t>
  </si>
  <si>
    <t>Albert William Keyes</t>
  </si>
  <si>
    <t>http://www.gannett-cdn.com/-mm-/2203a2fa5e4d01f89c2156854411118b9f179df5/c=0-1-300-402&amp;r=537&amp;c=0-0-534-712/local/-/media/USATODAY/USATODAY/2014/03/12//1394667338000-Albert-William-Keyes-031214.jpg</t>
  </si>
  <si>
    <t>4609 Poplar Level Rd</t>
  </si>
  <si>
    <t>40213</t>
  </si>
  <si>
    <t>Jefferson County Sheriff's Department</t>
  </si>
  <si>
    <t>Deputies serving a warrant for another man found Keyes instead, who nevertheless fled in a vehicle, eventually stopping and brandishing a knife at officers. Keyes, who was wanted in connection to a number of bank robberies in other states, was fatally shot.</t>
  </si>
  <si>
    <t>http://www.wdrb.com/story/24954338/man-fatally-shot-by-sheriffs-deputies-wasnt-suspect-they-were-looking-for</t>
  </si>
  <si>
    <t>David L. Robinson</t>
  </si>
  <si>
    <t>1799 Woodard St</t>
  </si>
  <si>
    <t>After an early-morning confrontation with an officer, the homeless Robinson was shot and killed in the backyard of an abandoned house. Robinson was armed with a knife at the time of the shooting. He was shot in the back.</t>
  </si>
  <si>
    <t>Andrew Rael</t>
  </si>
  <si>
    <t>http://kpho.images.worldnow.com/images/24929858_BG3.JPG</t>
  </si>
  <si>
    <t>4153 S Priest Dr</t>
  </si>
  <si>
    <t>85282</t>
  </si>
  <si>
    <t>Arizona Department of Public Safety</t>
  </si>
  <si>
    <t>Rael was killed in a shootout with police following a short car chase. He had recently been released from prison and was connected to two recent murders in Arizona.</t>
  </si>
  <si>
    <t>http://www.kpho.com/story/24929858/suspect-shot-dead-by-dps-officersprobably-suspect-in-buckeye-homicide</t>
  </si>
  <si>
    <t>18000 Westphalia Street</t>
  </si>
  <si>
    <t>48025</t>
  </si>
  <si>
    <t>An off-duty Border Patrol agent from California shot and killed an unknown man in a residential area of Detroit after socializing with family members. Remarkably the name of the victim, the circumstances and any justification for the homicide have been withheld from the public without explanation.</t>
  </si>
  <si>
    <t>http://www.clickondetroit.com/news/detroit-police-offduty-border-patrol-agent-involved-in-fatal-shooting-on-citys-east-side/24896026</t>
  </si>
  <si>
    <t>John Weipert</t>
  </si>
  <si>
    <t>http://bloximages.newyork1.vip.townnews.com/newspressnow.com/content/tncms/assets/v3/editorial/5/bb/5bbc2128-6b03-52ad-8d67-79411ee86928/5320f1fb3c7aa.image.jpg</t>
  </si>
  <si>
    <t>1510 S. 41st St.</t>
  </si>
  <si>
    <t>St. Joseph</t>
  </si>
  <si>
    <t>64507</t>
  </si>
  <si>
    <t>Buchanan</t>
  </si>
  <si>
    <t>St. Joseph Police Department</t>
  </si>
  <si>
    <t>Officers initially responded to Mr. Weipert’s home in reference to a disturbance that involved an alleged armed, intoxicated man who was threatening suicide. Witnesses said several officers surrounded the house and took cover, with guns drawn. A police negotiator made contact with Mr. Weipert, who refused to comply with officers. “Threatening acts toward officers present resulted in shots being fired by one officer,” police wrote in a press release.</t>
  </si>
  <si>
    <t>http://www.newspressnow.com/news/local_news/article_f508d924-5208-5a01-a84a-57631e99e732.html</t>
  </si>
  <si>
    <t>Ben Shannon</t>
  </si>
  <si>
    <t>Periwinkle Drive</t>
  </si>
  <si>
    <t>03868</t>
  </si>
  <si>
    <t>Strafford</t>
  </si>
  <si>
    <t>New Hampshire Department of Corrections Probation/Parole Officers and Strafford County Sheriff's Department</t>
  </si>
  <si>
    <t>Brian P. Spooner</t>
  </si>
  <si>
    <t>http://media.graytvinc.com/images/brian-spooner.JPG</t>
  </si>
  <si>
    <t>700 E Commercial St</t>
  </si>
  <si>
    <t>Oberlin</t>
  </si>
  <si>
    <t>67749</t>
  </si>
  <si>
    <t>Police responding to reports of an armed man making threats shot Spooner after he fled a home and exchanged gunfire with a group of police.</t>
  </si>
  <si>
    <t>http://www.salina.com/news/Oberlin2014-03-12T16-27-32</t>
  </si>
  <si>
    <t>Erdenebileg Sambuunyam</t>
  </si>
  <si>
    <t>http://bullseye-prod.aggrego.org/wp-ag/wp-content/mercury/uploads/sites/33/2014/03/stalking-BGC-03132014.jpg?o=eyJ3aWR0aCI6NjI4LCJoZWlnaHQiOjQ3NiwieCI6MC41LCJ5IjowLjV9&amp;s=b5y1heXN4RElTHzPMWvqoqf6XWc%3D</t>
  </si>
  <si>
    <t>1200 Deerfield Pkwy</t>
  </si>
  <si>
    <t>Buffalo Grove</t>
  </si>
  <si>
    <t>60089</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</si>
  <si>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</si>
  <si>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</si>
  <si>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</si>
  <si>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Victor White III</t>
  </si>
  <si>
    <t>http://media3.s-nbcnews.com/i/newscms/2014_34/633596/140824-victor-white-file2_e23f82acd335572b3e140a9c62fda718.jpg</t>
  </si>
  <si>
    <t>3616 Par Road 515</t>
  </si>
  <si>
    <t>Iberia Parish Sheriff’s Office</t>
  </si>
  <si>
    <t>White was apprehended for fighting and for possession of illegal drugs. Transported to the parish sheriff's office, he refused to exit the vehicle. According to officers and a report from the State Police, while handcuffed White produced a pistol and fatally shot himself in the back. An autopsy from the parish coroner's office released in August 2014 contradicts the initial report and describes White's gunshot wound as a chest wound. Only the first page of the autopsy report was released to the public.</t>
  </si>
  <si>
    <t>http://www1.katc.com/news/autopsy-report-victor-white-iii-shot-in-the-chest-not-back/</t>
  </si>
  <si>
    <t>Floyd Gene Hodge</t>
  </si>
  <si>
    <t>215 Plantation Dr</t>
  </si>
  <si>
    <t>Sebring</t>
  </si>
  <si>
    <t>33876</t>
  </si>
  <si>
    <t>Highlands</t>
  </si>
  <si>
    <t>Highlands County Sheriff's Department</t>
  </si>
  <si>
    <t>Hodge's wife frantically called police to report issues with her husband, who was equipped with a high-powered rifle. Police arrived and engaged in a short gun battle with Hodge, fatally shooting him.</t>
  </si>
  <si>
    <t>Justin Aguilar</t>
  </si>
  <si>
    <t>http://bloximages.chicago2.vip.townnews.com/news-journal.com/content/tncms/assets/v3/editorial/a/e8/ae8c20fa-a894-11e3-8af5-0019bb2963f4/531e242fb5503.image.jpg</t>
  </si>
  <si>
    <t>Avalon Avenue and Edgefield Avenue E</t>
  </si>
  <si>
    <t>75602</t>
  </si>
  <si>
    <t>Justin Aguilar was shot by police after he opened fire against them following an attempted robbery at the New-Way convenience store in the 1300 block of South Green Street.</t>
  </si>
  <si>
    <t>http://www.news-journal.com/news/police/mom-of-robbery-suspect-shot-by-police-i-just-don/article_27eab4f8-a86c-11e3-a4e6-0019bb2963f4.html</t>
  </si>
  <si>
    <t>Herbert Wayne Morehead</t>
  </si>
  <si>
    <t>Taliaferro Springs Rd</t>
  </si>
  <si>
    <t>Lyerly</t>
  </si>
  <si>
    <t>30730</t>
  </si>
  <si>
    <t>Chattooga</t>
  </si>
  <si>
    <t>Chattooga County Sheriff's Department</t>
  </si>
  <si>
    <t>An officer responding to a domestic disturbance call was shot at by Morehead, who was equipped with a high-power rifle. The officer returned fire and fatally shot Morehead, and was later cleared of any wrongdoing by the county District Attorney.</t>
  </si>
  <si>
    <t>http://timesfreepress.com/news/2014/mar/10/one-dead-after-standoff-chattooga-county/</t>
  </si>
  <si>
    <t>Gordon E. Samel</t>
  </si>
  <si>
    <t>http://www.newsmatsu.com/news/1405/images/09samel.jpg</t>
  </si>
  <si>
    <t>Seward Meridian Rd &amp; E Whispering Woods Dr</t>
  </si>
  <si>
    <t>99654</t>
  </si>
  <si>
    <t>Alaska State Troopers</t>
  </si>
  <si>
    <t>A drunk driver was reported in Wasilla, Ak, leading troopers to pursue the driver and eventually corner him in an intersection. Cornered, the Samel's truck quickly reversed towards the officers, prompting them to fire into the cab of the truck, killing Samel and wounding a passenger. Samel suffered from bipolar disorder and was one of the hunters who discovered the body of Chris McCandless, whose death was captured in the book and movie "Into The Wild."</t>
  </si>
  <si>
    <t>http://www.reuters.com/article/2014/03/14/us-usa-alaska-intothewild-idUSBREA2D1LD20140314</t>
  </si>
  <si>
    <t>Emerson Clayton Jr.</t>
  </si>
  <si>
    <t>http://greenecountydemocrat.com/wp-content/uploads/2014/06/Emerson-Crayton-Jr..jpg</t>
  </si>
  <si>
    <t>4727 U.S. 280</t>
  </si>
  <si>
    <t>Alexander City</t>
  </si>
  <si>
    <t>35010</t>
  </si>
  <si>
    <t>Alexander City Police Department</t>
  </si>
  <si>
    <t>An officer responding to calls of a fight at a local restaurant found Clayton in his car and revving the engine. The officer fatally shot Clayton, and was later cleared of wrongdoing by a grand jury despite significant protests.</t>
  </si>
  <si>
    <t>http://www.alexcityoutlook.com/2014/05/28/breaking-grand-jury-finds-officer-not-at-fault-in-huddle-house-shooting-death/</t>
  </si>
  <si>
    <t>John Harmon</t>
  </si>
  <si>
    <t>R St &amp; 13th St</t>
  </si>
  <si>
    <t>95811</t>
  </si>
  <si>
    <t>Harmon was allegedly threatening to commit suicide on a light-rail train in downtown Sacramento, then brandished a knife and implored responding officers to shoot him. Harmon was fatally shot after being tasered twice to little effect.</t>
  </si>
  <si>
    <t>http://www.sacbee.com/2014/03/12/6230774/armed-man-shot-by-police-on-light.html</t>
  </si>
  <si>
    <t>Thomas Hawes</t>
  </si>
  <si>
    <t>http://media2.abc15.com//photo/2013/03/08/hawes_20130308164413_640_480.JPG</t>
  </si>
  <si>
    <t>N. 83rd St. and E. Vista Dr.</t>
  </si>
  <si>
    <t>Police were trying to contact Hawes for questioning about past sex crimes and were following him southbound on 83rd St. Hawes pulled over his vehicle and police said he had a gun pointed at himself. Hawes then exited the vehicle and fired at officers, who returned fire and killed him.</t>
  </si>
  <si>
    <t>http://www.abc15.com/news/region-northeast-valley/scottsdale/scottsdale-police-forced-to-use-deadly-force-on-suicidal-man</t>
  </si>
  <si>
    <t>Veronica Canter</t>
  </si>
  <si>
    <t>San Bruno Ave and N 4th St</t>
  </si>
  <si>
    <t>93710</t>
  </si>
  <si>
    <t>Police were called after Carter entered an apartment of an acquaintance and started acting strange. The 49-year-old allegedly approached officers while holding a kitchen knife, and was fatally tasered before being shot.</t>
  </si>
  <si>
    <t>JoAnna Miller</t>
  </si>
  <si>
    <t>http://www.rawstory.com/rs/wp-content/uploads/2014/03/wcau_miller_140310a-800x430.jpg</t>
  </si>
  <si>
    <t>3000 Stoney Creek Rd</t>
  </si>
  <si>
    <t>Norristown</t>
  </si>
  <si>
    <t>19401</t>
  </si>
  <si>
    <t>Miller's husband accidentally shot her in the head when he was cleaning his gun. She was 22 weeks pregnant, and the child died after an emergency c-section. The killing was ruled accidental.</t>
  </si>
  <si>
    <t>http://www.rawstory.com/rs/2014/03/10/pennsylvania-trooper-fatally-shoots-pregnant-wife-in-the-head-while-cleaning-his-gun/</t>
  </si>
  <si>
    <t>503 West Road</t>
  </si>
  <si>
    <t>77038</t>
  </si>
  <si>
    <t>An off-duty Houston Police officer awoke to find three men breaking into his house, and began firing toward them and then chasing the three. One of the burglars pointed a handgun at the officer, causing the officer to fatally shoot the man.</t>
  </si>
  <si>
    <t>http://www.chron.com/news/houston-texas/houston/article/Off-duty-officer-shoots-burglary-suspect-in-north-5293756.php</t>
  </si>
  <si>
    <t>Kenny Clinton Walker</t>
  </si>
  <si>
    <t>9617 South San Pedro Street</t>
  </si>
  <si>
    <t>Kenny Clinton Walker, a 23-year-old black male, was shot to death by a Los Angeles police officer March 6 behind a home in the 9600 block of South San Pedro Street in Broadway-Manchester, according to the Los Angeles County coroner’s office.</t>
  </si>
  <si>
    <t>http://homicide.latimes.com/post/kenny-clinton-walker/</t>
  </si>
  <si>
    <t>Lonnie Gene Roberts</t>
  </si>
  <si>
    <t>http://bloximages.chicago2.vip.townnews.com/ravallirepublic.com/content/tncms/assets/v3/editorial/2/17/217a963a-afd6-11e3-a014-0019bb2963f4/532a5242d90ec.preview-620.jpg</t>
  </si>
  <si>
    <t>899 Cuff Ln</t>
  </si>
  <si>
    <t>59840</t>
  </si>
  <si>
    <t>Ravalli</t>
  </si>
  <si>
    <t>Ravalli County Sheriff's Department</t>
  </si>
  <si>
    <t>A sheriff's deputy was called to Roberts' home for a domestic disturbance, where he found Roberts acting agitated and accusing the deputy of not being an actual officer. Roberts was shot after picking up a weapon and pointing it at the deputy.</t>
  </si>
  <si>
    <t>http://www.nbcmontana.com/news/officer-involved-shooting-south-of-hamilton/24859042</t>
  </si>
  <si>
    <t>James Stutchman</t>
  </si>
  <si>
    <t>http://kotv.images.worldnow.com/images/24910001_BG1.jpg</t>
  </si>
  <si>
    <t>1300 East First Street</t>
  </si>
  <si>
    <t>74447</t>
  </si>
  <si>
    <t>Okmulgee Police Department</t>
  </si>
  <si>
    <t>Police attempted to stop Stutchman for a traffic violation at 2 a.m. Stutchman sped off and a pursuit ensued. Stutchman crashed his SUV and got out of the vehicle brandishing a handgun. Officers opened fire, hitting Stutchman multiple times and killing him. Stutchman's sister told reporters that her brother had several warrants out for his arrest. Oklahoma State Bureau of Investigation found shooting justified.</t>
  </si>
  <si>
    <t>http://www.news9.com/story/24910001/neighbors-react-to-okmulgee-mans-death</t>
  </si>
  <si>
    <t>Clifford Crowe</t>
  </si>
  <si>
    <t>http://wate.images.worldnow.com/images/24911343_BG4.JPG</t>
  </si>
  <si>
    <t>4111 Tazewell Pike</t>
  </si>
  <si>
    <t>Crowe's sister initially called police and told them that her brother was acting suicidal, and was threatening to shoot anyone who came into his house. Arriving officers found Crowe, who was bipolar, hiding under a bed and began shooting towards the officers, leading them to exchange gunfire at fatally hit Crowe.</t>
  </si>
  <si>
    <t>http://www.wate.com/story/24911343/suicide-call-turns-into-shots-fired-on-officers</t>
  </si>
  <si>
    <t>Robert J. Storay</t>
  </si>
  <si>
    <t>http://www.gannett-cdn.com/-mm-/786c4c7fec9569a09edc8a24d7b9044a7e7c4a42/c=0-10-480-371&amp;r=x404&amp;c=534x401/local/-/media/KTHV/KTHV/2014/03/06//1394133736000-robert-storay.jpg</t>
  </si>
  <si>
    <t>400 South Maple Street</t>
  </si>
  <si>
    <t>72205</t>
  </si>
  <si>
    <t>North Little Rock Police Department</t>
  </si>
  <si>
    <t>Police responded to a call that Storay was causing a disturbance on a city bus. As the officer escorted Storay off the bus, Storay allegedly hit him with a cane. The officer responded by shooting and killing Storay. Storay was a disabled Army veteran who required the cane to walk. In 2011, Storay filed a lawsuit against the North Little Rock Police Department after three officers allegedly assaulted him.</t>
  </si>
  <si>
    <t>http://joeland7.blogspot.com/2014/03/north-little-rock-police-shoot-pulaski_6.html</t>
  </si>
  <si>
    <t>Eddy Barrios</t>
  </si>
  <si>
    <t>E Road</t>
  </si>
  <si>
    <t>LaBelle</t>
  </si>
  <si>
    <t>33935</t>
  </si>
  <si>
    <t>Hendry</t>
  </si>
  <si>
    <t>Hendry County Sheriff's Office</t>
  </si>
  <si>
    <t>Barrios was suspected of battery and police went to his home to interrogate him. They found Barrios in the road outside his home holding a sawed-off shotgun and another firearm. Barrios pointed the firearms in the direction of the deputies, and three out of four of the officers opened fire, killing him. The four officers were placed on leave pending an investigation by the Florida Department of Law Enforcement.</t>
  </si>
  <si>
    <t>http://www.jrn.com/fox4now/news/Deputy-involved-shooting-248722341.html</t>
  </si>
  <si>
    <t>Robert James Gonzales</t>
  </si>
  <si>
    <t>http://www.fatalencounters.org/wp-content/uploads/2013/10/RobertJamesGozalez.jpg</t>
  </si>
  <si>
    <t>1600 Jackson Street</t>
  </si>
  <si>
    <t>81004</t>
  </si>
  <si>
    <t>Police responded to a call that Gonzales was threatening two women at gunpoint in a home. Gonzales fired a shot above one woman's head just as police arrived. Gonzales ignored commands to drop his weapon and instead turned it on police. Police opened fire, killing Gonzales. Pueblo County District Attorney found shooting justified.</t>
  </si>
  <si>
    <t>http://www.krdo.com/news/pueblo-police-chief-talks-about-officerinvolved-shootings/25010024</t>
  </si>
  <si>
    <t>Gary E. Wenzel</t>
  </si>
  <si>
    <t>http://bloximages.newyork1.vip.townnews.com/stltoday.com/content/tncms/assets/v3/editorial/f/84/f84a02f4-de9b-59b6-a34b-832d4485fb0c/5318984566f2d.preview-620.jpg</t>
  </si>
  <si>
    <t>3756 State Highway J</t>
  </si>
  <si>
    <t>Bourbon</t>
  </si>
  <si>
    <t>65441</t>
  </si>
  <si>
    <t>Crawford</t>
  </si>
  <si>
    <t>Bourbon Police Department</t>
  </si>
  <si>
    <t>Wenzel spent ten years in prison on drug-related charges and was well known to local police. Police attempted to pull him over for warrants, but Wenzel eluded them. He was later spotted by another patrol car, and a high-speed chase ensued. Wenzel, who was unarmed, crashed his car. He then approached the first officer at the scene, who shot and killed Wenzel because he felt threatened.</t>
  </si>
  <si>
    <t>http://www.sullivanjournal.com/news/article_83321136-a9e7-11e3-887d-001a4bcf6878.html</t>
  </si>
  <si>
    <t>Andrew Sizemore</t>
  </si>
  <si>
    <t>http://www.gannett-cdn.com/-mm-/8334042135d7f679c06190b7cdf533ced74a407e/c=15-0-465-600&amp;r=537&amp;c=0-0-534-712/local/-/media/Indianapolis/Indianapolis/2014/03/06//1394107533000-sizemore-andrew.jpg</t>
  </si>
  <si>
    <t>1600 South State Avenue</t>
  </si>
  <si>
    <t>46203</t>
  </si>
  <si>
    <t>The officers from Special Weapons and Tactics came under fire from a suspect, Andrew Sizemore, 27, of Indianapolis, who was killed in the gunbattle about 7:41 p.m. in the home in the 1600 block of South State Avenue, according to the Indianapolis Metropolitan Police Department. Indy Star</t>
  </si>
  <si>
    <t>Maria McEwen</t>
  </si>
  <si>
    <t>http://ak-cache.legacy.net/legacy/images/Cobrands/News-JournalOnline/Photos/0309MARIAMCEWEN.eps_20140308.jpg</t>
  </si>
  <si>
    <t>2679 N Atlantic Ave</t>
  </si>
  <si>
    <t>32118</t>
  </si>
  <si>
    <t>McEwen was hit by a Florida Highway Patrol vehicle as the trooper was pulling into a parking lot. McEwen died the next day in a nearby hospital.</t>
  </si>
  <si>
    <t>http://newsdaytonabeach.com/97-year-old-woman-in-hospital-after-fhp-trooper-hits-her-with-car/</t>
  </si>
  <si>
    <t>Lew G. Tyree II</t>
  </si>
  <si>
    <t>http://www.baynews9.com/content/dam/news/images/2014/03/1/Lew-Tyree-34.jpg</t>
  </si>
  <si>
    <t>2100 Bloomingdale Villas Court</t>
  </si>
  <si>
    <t>33511</t>
  </si>
  <si>
    <t>Officers responded to calls that Tyree was threatening passersby with a knife and 20-pound dumbbell. Officers attempted to subdue Tyree with a taser to no effect, and shot him when he charged them.</t>
  </si>
  <si>
    <t>http://www.baynews9.com/content/news/baynews9/news/article.html/content/news/articles/bn9/2014/3/4/deputy_involved_shoo.html</t>
  </si>
  <si>
    <t>Federico Osorio</t>
  </si>
  <si>
    <t>10511 SW 108th Ave.</t>
  </si>
  <si>
    <t>33176</t>
  </si>
  <si>
    <t>Osorio's mother called 911 after he threatened to kill her and his sister with knives. Police attempted to use a tazer, which malfunctioned, to subdue Osorio. Armed with knives, he charged at officers who then fatally shot him. Osorio was reported as being bipolar.</t>
  </si>
  <si>
    <t>http://www.local10.com/news/police-investigate-officerinvolved-shooting-in-kendall/24796220</t>
  </si>
  <si>
    <t>Antonio Moreno</t>
  </si>
  <si>
    <t>1100 Cloverdale Road</t>
  </si>
  <si>
    <t>Maryland Transit Administration Police Department</t>
  </si>
  <si>
    <t>Moreno became combative while riding the bus. Responding officers attempted to restrain Moreno, who then went into cardiac arrest and was transported to a hospital where he died three hours later.</t>
  </si>
  <si>
    <t>http://articles.baltimoresun.com/2014-03-04/news/bs-md-man-who-died-on-bus-identified-20140304_1_gavrilis-bus-driver-mta</t>
  </si>
  <si>
    <t>Charles Muse III</t>
  </si>
  <si>
    <t>http://img01.funeralnet.com/obit_photo.php?type=obit&amp;fullsize=1&amp;id=1351747&amp;clientid=desmondfuneralhome&amp;rand=1412622318</t>
  </si>
  <si>
    <t>400 Phillips Avenue</t>
  </si>
  <si>
    <t>Clawson</t>
  </si>
  <si>
    <t>48017</t>
  </si>
  <si>
    <t>Police received a call that Muse was armed and threatening his wife and three children. By the time they arrived, his family had escaped and Muse, armed with a shotgun, had barricaded himself in the house. Deputies attempted to get Muse to surrender, but he refused. When a deputy approached the front of the house, Muse shot at him and the deputy fired back, killing Muse. Muse's wife said her husband was intoxicated.</t>
  </si>
  <si>
    <t>http://www.dailytribune.com/general-news/20140306/clawson-man-was-kind-neighbor-churchgoer-before-fatal-shootout-with-police</t>
  </si>
  <si>
    <t>Rebecca Lynn Oliver</t>
  </si>
  <si>
    <t>http://whns.images.worldnow.com/images/7346362_G.jpg</t>
  </si>
  <si>
    <t>255 S 33</t>
  </si>
  <si>
    <t>Duncan</t>
  </si>
  <si>
    <t>29334</t>
  </si>
  <si>
    <t>Duncan Police Department</t>
  </si>
  <si>
    <t>After an officer responded to a couple causing a disturbance and allegedly tampering with a vehicle, the officer shot and killed Oliver when she got behind the wheel of his patrol car and put it in drive.</t>
  </si>
  <si>
    <t>http://www.goupstate.com/article/20140304/ARTICLES/140309896?Title=Chief-Duncan-officer-fatally-shoots-woman-near-I-85</t>
  </si>
  <si>
    <t>Clay Spotted Bear</t>
  </si>
  <si>
    <t>Browning</t>
  </si>
  <si>
    <t>59417</t>
  </si>
  <si>
    <t>Glacier</t>
  </si>
  <si>
    <t>Blackfeet Police Department</t>
  </si>
  <si>
    <t>Blackfeet police officers were responding to reports of a man with a gun. According to the FBI, Spotted Bear was armed during the incident and shots were exchanged, and Spotted Bear was hit during the exchange and died upon arrival at the hospital.</t>
  </si>
  <si>
    <t>http://www.krtv.com/news/fbi-releases-name-of-teen-shot-and-killed-on-blackfeet-reservation/</t>
  </si>
  <si>
    <t>Michael Cravey</t>
  </si>
  <si>
    <t>http://www.ocala.com/apps/pbcsi.dll/bilde?Site=OS&amp;Date=20140303&amp;Category=ARTICLES&amp;ArtNo=140309940&amp;Ref=V2&amp;MaxW=728&amp;logo=/images/watermark.gif&amp;logoxpos=0&amp;logoypos=0</t>
  </si>
  <si>
    <t>3750 SW Archer Rd</t>
  </si>
  <si>
    <t>Gainesville</t>
  </si>
  <si>
    <t>32608</t>
  </si>
  <si>
    <t>Gainesville Police Department</t>
  </si>
  <si>
    <t>Cravey was being chased after he allegedly stabbed a stranger on University of Florida campus. After wrecking his vehicle, he allegedly approached officers with a raised hatchet.</t>
  </si>
  <si>
    <t>http://www.gainesville.com/article/20140303/ARTICLES/140309941</t>
  </si>
  <si>
    <t>William Thornton</t>
  </si>
  <si>
    <t>43rd Avenue and Bethany Home Road</t>
  </si>
  <si>
    <t>85301</t>
  </si>
  <si>
    <t>Two officers on fugitive apprehension detail were pursuing a suspect wanted on a felony warrant at about 3:20 p.m. Thornton, realizing he was being followed, collided with several other vehicles at 43rd Avenue and Bethany Home Road. Two people were injured in the crash - a 50-year-old man and an 83-year-old woman. Thornton fled on foot around a building. The officers got out of their car and chased Thornton. The suspect started shooting at the two officers. A third undercover officer with the fugitive apprehension squad appeared on the scene and heard gunshots. The officer saw the suspect shooting at the two other officers. The third officer shot and killed Thornton.</t>
  </si>
  <si>
    <t>http://www.kpho.com/story/24874138/pd-2-officers-shot-in-phoenix</t>
  </si>
  <si>
    <t>Gabriella Monique Nevarez</t>
  </si>
  <si>
    <t>7323 Sunset Ave</t>
  </si>
  <si>
    <t>Fair Oaks</t>
  </si>
  <si>
    <t>95628</t>
  </si>
  <si>
    <t>Citrus Heights police spokesman Bryan Fritsch said officers had pulled over a suspected stolen vehicle at about 11:30 a.m. on the 7000 block of Madison Avenue. The female occupant rammed one police vehicle and then drove away, leading to a pursuit at up to 70 mph. She subsequently rammed a second police vehicle on the 7500 block of Sunset Avenue just east of San Juan Avenue. At that point, officers shot and killed her.</t>
  </si>
  <si>
    <t>http://www.kcra.com/news/officers-shoot-at-woman-in-stolen-vehicle-in-citrus-heights/24766092</t>
  </si>
  <si>
    <t>Robert Joseph Minjarez Jr.</t>
  </si>
  <si>
    <t>http://www.kinchenfuneralhome.com/fh_live/10900/10975/images/obituaries/2476096.jpg</t>
  </si>
  <si>
    <t>120 East Pont Des Mouton Road</t>
  </si>
  <si>
    <t>Lafayette</t>
  </si>
  <si>
    <t>70507</t>
  </si>
  <si>
    <t>Lafayette Parish Sheriff's Office, Carencro Police Department, Scott Police Department</t>
  </si>
  <si>
    <t>Minjarez was hallucinating when police were called. Minjarez was then pinned facedown to the ground by 3 or 4 officers. One officer was on his legs, another on his thighs, and two on his back. According to an audio recording from the scene, Minjarez is heard pleading for his life, repeatedly telling the officers he was unable to breathe. He was arrested and died six days later. The autopsy ruled Minjarez's death a homicide.</t>
  </si>
  <si>
    <t>http://theind.com/article-18557-another-dead-at-the-hands-of-local-police.html</t>
  </si>
  <si>
    <t>Ryan Matthew Shannon</t>
  </si>
  <si>
    <t>Don Julio Boulevard and Antelope Road</t>
  </si>
  <si>
    <t>Antelope</t>
  </si>
  <si>
    <t>95843</t>
  </si>
  <si>
    <t>Sacramento County Sheriff's Office</t>
  </si>
  <si>
    <t>Deputies were responding to a report of shots fired. When they approached Shannon, he fired on them. They shot and killed him.</t>
  </si>
  <si>
    <t>http://www.sacbee.com/news/local/crime/article2592271.html</t>
  </si>
  <si>
    <t>Nicholas Castillo Soria</t>
  </si>
  <si>
    <t>3600 Colonial Avenue</t>
  </si>
  <si>
    <t>Man was dancing around naked in bar when police arrived, who tasered him. They then wrestled him into an ambulance. Medical examiners discovered he was stabbed and he died of unknown causes.</t>
  </si>
  <si>
    <t>http://www.dallasnews.com/news/metro/20140301-irving-man-on-drugs-dies-after-naked-scuffle-with-police.ece</t>
  </si>
  <si>
    <t>Anthony Kovac</t>
  </si>
  <si>
    <t>2000 Old Hwy 79</t>
  </si>
  <si>
    <t>O'Fallon</t>
  </si>
  <si>
    <t>63366</t>
  </si>
  <si>
    <t>Saint Charles County Sheriff's Office</t>
  </si>
  <si>
    <t>Kovac was shot in a home after threatening to hurt himself and then pointing the gun at a responding officer.</t>
  </si>
  <si>
    <t>http://www.stltoday.com/news/local/crime-and-courts/suicidal-man-killed-after-pointing-gun-at-st-charles-county/article_815fa09e-dcf5-5cbb-93f4-1e5cd24de1a5.html</t>
  </si>
  <si>
    <t>Marquise Jones</t>
  </si>
  <si>
    <t>http://opnateye.com/wp-content/uploads/2014/03/Marquise-Jones.png</t>
  </si>
  <si>
    <t>8614 Perrin Beitel Road</t>
  </si>
  <si>
    <t>Jones was the passenger in a car involved in a minor accident in a drive-through restaurant, exited the vehicle, and attempted to run away. An off-duty but uniformed SAPD officer working security shot him in the back on the claim that Jones had a weapon. Many witnesses dispute the officer's account.</t>
  </si>
  <si>
    <t>http://www.mysanantonio.com/news/local/article/Off-duty-SAPD-officer-fatally-shoots-man-on-5276687.php</t>
  </si>
  <si>
    <t>Maykel Antonio Barrera</t>
  </si>
  <si>
    <t>http://www.nbcmiami.com/news/local/Miami-Dade-Officers-Injured-After-Responding-to-Domestic-Disturbance-247765331.html</t>
  </si>
  <si>
    <t>21240 SW 202nd St</t>
  </si>
  <si>
    <t>33177</t>
  </si>
  <si>
    <t>Barrera was tasered after fleeing a police response to a domestic-disturbance call in his apartment.</t>
  </si>
  <si>
    <t>http://www.miamiherald.com/2014/02/28/3965145/gerogia-man-visiting-family-in.html</t>
  </si>
  <si>
    <t>Robert Striffler</t>
  </si>
  <si>
    <t>http://www.wesh.com/image/view/-/24750854/medRes/1/-/maxh/460/maxw/620/-/70ddxlz/-/Robert-Striffler.jpg</t>
  </si>
  <si>
    <t>2825 Judge Fran Jamieson Way</t>
  </si>
  <si>
    <t>32940</t>
  </si>
  <si>
    <t>Striffler was shot after brandishing a gun in the traffic circle outside courthouse after law enforcement failed to taser him and he attempted to flee the shootout. Records state he'd threatened to bomb the courthouse two weeks prior.</t>
  </si>
  <si>
    <t>http://www.clickorlando.com/news/gunman-prompts-lockdown-at-brevard-county-courthouse/-/1637132/24732712/-/56lgb4z/-/index.html</t>
  </si>
  <si>
    <t>Treon "Tree" Johnson</t>
  </si>
  <si>
    <t>http://media.nbcmiami.com/images/1200*675/Treon-Johnson.jpg</t>
  </si>
  <si>
    <t>East 7th Avenue and 24th Street</t>
  </si>
  <si>
    <t>33013</t>
  </si>
  <si>
    <t>Hialeah Polce Department</t>
  </si>
  <si>
    <t>Police said they responded to a 911 emergency disturbance call in the area of East 7th Avenue and 24th Street and found Johnson was beating two dogs. Johnson resisted arrest and was shot with a Taser. He died later after several hospital transfers.</t>
  </si>
  <si>
    <t>http://www.nbcmiami.com/news/local/Family-Friends-Mourn-Man-Fatally-Shot-With-Police-Taser-250479101.html</t>
  </si>
  <si>
    <t>Ronald Shoup</t>
  </si>
  <si>
    <t>http://www.sussexcountian.com/storyimage/DE/20140422/NEWS/140429922/AR/0/AR-140429922.jpg&amp;MaxW=315&amp;MaxH=315</t>
  </si>
  <si>
    <t>23203 Dupont Boulevard</t>
  </si>
  <si>
    <t>Delaware Department of Correction</t>
  </si>
  <si>
    <t>Painter said the medical staff again requested assistance from DOC security staff to forcibly administer emergency medications. Again, Painter said Shoup was severely agitated and the security staff helped administer the medication. within minutes, the mental health observer did not see chest movements. Medical staff entered the room and initiated CPR after [Shoup] was found unresponsive.”</t>
  </si>
  <si>
    <t>http://www.sussexcountian.com/article/20140422/NEWS/140429922</t>
  </si>
  <si>
    <t>Ye Hua Jian</t>
  </si>
  <si>
    <t>Interstate 95</t>
  </si>
  <si>
    <t>Norwalk</t>
  </si>
  <si>
    <t>06854</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</si>
  <si>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</si>
  <si>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</si>
  <si>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Gray Hill Court</t>
  </si>
  <si>
    <t>Police shot and killed a man in Shelbyville on Tuesday night after he barricaded himself inside his house and fired on officers "numerous times,"</t>
  </si>
  <si>
    <t>http://www.kentucky.com/2014/02/26/3109277/police-shoot-man-who-fired-at.html</t>
  </si>
  <si>
    <t>John Edward Chesney</t>
  </si>
  <si>
    <t>http://media.nbcsandiego.com/images/1200*675/john+chesney+ois+.JPG</t>
  </si>
  <si>
    <t>900 Broadway</t>
  </si>
  <si>
    <t>92101</t>
  </si>
  <si>
    <t>John Edward Chesney, 62, was shot and killed by police in his apartment after an hour long standoff. Chesney was said to be suicidal at the time of his death.</t>
  </si>
  <si>
    <t>Scott Islam</t>
  </si>
  <si>
    <t>North Logan Ave and Kimber Street</t>
  </si>
  <si>
    <t>Danville</t>
  </si>
  <si>
    <t>61832</t>
  </si>
  <si>
    <t>Vermilion</t>
  </si>
  <si>
    <t>Danville Police Department</t>
  </si>
  <si>
    <t>Islam was shot after a car chase with police that ended in a shootout.</t>
  </si>
  <si>
    <t>Vanessa Pitofsky</t>
  </si>
  <si>
    <t>http://cbsdallas.files.wordpress.com/2014/02/vanessa-and-nick-pitofsky.jpg?w=620&amp;h=349&amp;crop=1</t>
  </si>
  <si>
    <t>1800 Browder St</t>
  </si>
  <si>
    <t>Crandall Police Department</t>
  </si>
  <si>
    <t>http://www.wfaa.com/story/local/2014/10/05/14175584/</t>
  </si>
  <si>
    <t>Billie Joe Woolford</t>
  </si>
  <si>
    <t>395 Labadie Court</t>
  </si>
  <si>
    <t>Ecorse</t>
  </si>
  <si>
    <t>48229</t>
  </si>
  <si>
    <t>Downriver SWAT Team</t>
  </si>
  <si>
    <t>Woolford was acting agitated in his trailer park neighborhood and a park employee called the police. SWAT was called, who Woolford fired on. SWAT shot him.</t>
  </si>
  <si>
    <t>Harold Lynn Phelps</t>
  </si>
  <si>
    <t>http://media2.abc15.com/photo/2014/02/25/KNXV%20Harold%20Phelps_1393386295241_3150912_ver1.0_640_480.jpg</t>
  </si>
  <si>
    <t>9860 E. Broadway Road</t>
  </si>
  <si>
    <t>85208</t>
  </si>
  <si>
    <t>After being identified as a bank robbery suspect, Phelps led law enforcement on an extended chase before being shot to death after threatening officers.</t>
  </si>
  <si>
    <t>http://www.azcentral.com/community/gilbert/articles/20140225gilbert--officer-involved-shooting-abrk.html</t>
  </si>
  <si>
    <t>Bobby Canipe</t>
  </si>
  <si>
    <t>http://wbtw.images.worldnow.com/images/24833263_BG2.JPG</t>
  </si>
  <si>
    <t>Clover</t>
  </si>
  <si>
    <t>York County Sheriff's Office</t>
  </si>
  <si>
    <t>York County deputies say an officer shot a 70-year-old man reaching for a cane during a traffic stop because he thought the man was grabbing a rifle from the bed of his pickup truck.</t>
  </si>
  <si>
    <t>http://www.wbtw.com/story/24833263/70-year-old-man-reaching-for-cane-is-shot-during-sc-traffic-stop</t>
  </si>
  <si>
    <t>Kenneth Christopher Lucas</t>
  </si>
  <si>
    <t>14350 Wallisville Road</t>
  </si>
  <si>
    <t>Lucas disabled a smoke detector and became disruptive. The Specialized Emergency Response Team Unit of the Harris County Sheriff’s Department extracted Lucas from his cell. Lucas, 38, was then placed in a holding area and put in a restraint chair. Thirty minutes after the unit left, Lucas was found unconscious with no pulse in the restraint chair and was transported to the medical center where he was pronounced dead.</t>
  </si>
  <si>
    <t>Gregory Sanders</t>
  </si>
  <si>
    <t>http://i.ytimg.com/vi/JuuCm2lsStc/hqdefault.jpg</t>
  </si>
  <si>
    <t>1200 Lincoln Avenue</t>
  </si>
  <si>
    <t>45206</t>
  </si>
  <si>
    <t>Sanders called 911 to report that he had just stabbed his mother to death. When police arrived, he approached with a rifle in his hands. Three officers opened fire when he refused to drop the weapon.</t>
  </si>
  <si>
    <t>http://www.fox19.com/story/24802127/one-man-dead-after-being-stabbed-in-walnut-hills</t>
  </si>
  <si>
    <t>Joseph Ma</t>
  </si>
  <si>
    <t>http://opnateye.com/wp-content/uploads/2014/02/Joseph-Ma.png</t>
  </si>
  <si>
    <t>Lorena Avenue and Bardell Avenue</t>
  </si>
  <si>
    <t>Police pulled over a car for not having plates. Three suspects ran and officers pursued, fatally shooting one who was armed.</t>
  </si>
  <si>
    <t>http://abclocal.go.com/kfsn/story?section=news%2Flocal&amp;id=9442643</t>
  </si>
  <si>
    <t>Christopher James Parker</t>
  </si>
  <si>
    <t>http://media.krem.com/images/ChrisParker.jpg</t>
  </si>
  <si>
    <t>1100 W Mallon Ave</t>
  </si>
  <si>
    <t>99260</t>
  </si>
  <si>
    <t>Spokane County Sheriff’s Office</t>
  </si>
  <si>
    <t>Parker called 911 for help and admitted he had taken meth around 3AM on the night of the 23rd. Police arrived and took him into custody after discovering he was intoxicated as well as wanted on several misdemeanor charges. Medics at the jail examined Parker and discovered his blood sugar level was 416, a level that Nurse Kerrie Fernlund described as "maple syrup." Nurse Fernlund offered Mr. Parker insulin, which he declined. Parker became belligerent and combative, at which point officers at the jail tasered him repeatedly and placed him in a restraint chair. Rather than seeking further medical attention, Mr. Parker was left restrained unattended and died.</t>
  </si>
  <si>
    <t>http://www.krem.com/news/local/Family-mourns-inmate-who-died-at-the-Spokane-County-Jail--193129961.html</t>
  </si>
  <si>
    <t>Armando Alvarez</t>
  </si>
  <si>
    <t>5600 E 9th Street</t>
  </si>
  <si>
    <t>85711</t>
  </si>
  <si>
    <t>Alvarez was suspected of bank robbery and was apprehended by police after fleeing the scene. He allegedly pointed something, later found to be a wrench-like tool, at the officers who then opened fire.</t>
  </si>
  <si>
    <t>http://www.jrn.com/kgun9/news/Police-responding-to-officer-involved-shooting--246690951.html</t>
  </si>
  <si>
    <t>Antonio Guzman Lopez</t>
  </si>
  <si>
    <t>https://www.indybay.org/uploads/2014/03/23/josiah_and_antonio_lopez_san_jose.jpg</t>
  </si>
  <si>
    <t>South 8th Street and San Salvador Street</t>
  </si>
  <si>
    <t>95112</t>
  </si>
  <si>
    <t>San Jose State University Police</t>
  </si>
  <si>
    <t>Two officers responded to a call about a man carrying a knife. Lopez was carrying a drywall saw he used for his job. After approaching one officer and refusing to drop the saw, he was shot twice in the back.</t>
  </si>
  <si>
    <t>http://sanfrancisco.cbslocal.com/2014/02/21/reports-of-officer-involved-shooting-near-san-jose-sate-university/</t>
  </si>
  <si>
    <t>James Marlowe Ness</t>
  </si>
  <si>
    <t>U.S. Highway 2</t>
  </si>
  <si>
    <t>Glacier County Sheriff's Department</t>
  </si>
  <si>
    <t>Ness left his home with a shotgun and no indication of where he was going. His wife called police to conduct a welfare check. After a multi-county car chase, deputies fatally shot Ness who allegedly fired upon law enforcement with the shotgun. Ness was described as suicidal.</t>
  </si>
  <si>
    <t>http://flatheadbeacon.com/2014/02/22/helena-man-shot-and-killed-after-high-speed-chase-on-marias-pass/</t>
  </si>
  <si>
    <t>David Goins</t>
  </si>
  <si>
    <t>97 Paseo Grande</t>
  </si>
  <si>
    <t>San Lorenzo</t>
  </si>
  <si>
    <t>94580</t>
  </si>
  <si>
    <t>Deputies responding to a paramedic dispute fatally shot Goins after he became combative with a baseball bat after they entered his home for a welfare check. Goins was apparently suffering a seizure at the time of the response.</t>
  </si>
  <si>
    <t>http://www.timesheraldonline.com/news/ci_25169426/san-lorenzo-man-dies-officer-involved-shooting</t>
  </si>
  <si>
    <t>Jesus Flores-Cruz</t>
  </si>
  <si>
    <t>Alta Road</t>
  </si>
  <si>
    <t>92154</t>
  </si>
  <si>
    <t>http://www.nbcsandiego.com/news/local/Shooting-San-Diego-Border-Patrol-Otay-Truck-Trail--245985161.html</t>
  </si>
  <si>
    <t>Randy Ray Vinson</t>
  </si>
  <si>
    <t>http://kltv.images.worldnow.com/images/3313007_G.jpg</t>
  </si>
  <si>
    <t>Rabbit Creek Drive</t>
  </si>
  <si>
    <t>Kilgore</t>
  </si>
  <si>
    <t>75662</t>
  </si>
  <si>
    <t>Gregg County Sheriff's Office, Kilgore Police Department</t>
  </si>
  <si>
    <t>Elizabeth Ann Vinson was shot and killed in a vehicle outside a residence. When officers arrived at the home, her brother-in-law 37-year-old Randy Ray Vinson, armed with a rifle, was on the bridge over Rabbit Creek. When Randy fired his weapon, he was shot and killed by officers from the Kilgore Police Department and the Gregg County Sheriff's Department.</t>
  </si>
  <si>
    <t>http://www.news-journal.com/news/police/police-release-name-of-woman-killed-gun-shot-by-officers/article_a840e406-98bd-11e3-ae3d-001a4bcf887a.html</t>
  </si>
  <si>
    <t>Oscar Gaspar</t>
  </si>
  <si>
    <t>http://www.guns.com/wp-content/uploads/2014/02/Screenshot-126.jpg</t>
  </si>
  <si>
    <t>700 West Gulf Bank Road</t>
  </si>
  <si>
    <t>77088</t>
  </si>
  <si>
    <t>Off-duty officer witnessed two suspects beating a pedestrian outside of a convenience store. Officer told them to stop and was approached by one suspect who apparently brandished a gun. Officer fired from his truck.</t>
  </si>
  <si>
    <t>http://abclocal.go.com/ktrk/story?section=news%2Flocal&amp;id=9434538</t>
  </si>
  <si>
    <t>66106</t>
  </si>
  <si>
    <t>John E. Brown II</t>
  </si>
  <si>
    <t>6600 Ohio Avenue</t>
  </si>
  <si>
    <t>46323</t>
  </si>
  <si>
    <t>Hammond Police Department</t>
  </si>
  <si>
    <t>Police responding to a domestic disturbance fatally shot Brown after he stabbed his wife and brandished two knives at police.</t>
  </si>
  <si>
    <t>http://www.nwitimes.com/news/local/lake/hammond/man-dies-in-cop-related-shooting-in-hammond/article_9e95243b-9294-5d4e-bfa4-8fa4a7594b93.html</t>
  </si>
  <si>
    <t>Yvette Smith</t>
  </si>
  <si>
    <t>http://www.policestateusa.com/wp-content/uploads/2014/02/Yvette-Smith-272x300.jpg</t>
  </si>
  <si>
    <t>105 Zimmerman Avenue</t>
  </si>
  <si>
    <t>Bastrop</t>
  </si>
  <si>
    <t>78602</t>
  </si>
  <si>
    <t>Bastrop County Sheriff's Office</t>
  </si>
  <si>
    <t>Bastrop deputies responded to a 911 call regarding gunshots. Reports are unclear as to what exactly happened. Yvette was shot when coming out the door at the direction of the police. They may have believed she had a gun, though she did not. The Sheriff's department initially claimed that she was disregarding officer commands, but later retracted that statement</t>
  </si>
  <si>
    <t>http://www.scribd.com/doc/208230113/Yvette-Smith-Shooting-First-Police-Statement</t>
  </si>
  <si>
    <t>Keith Atkinson</t>
  </si>
  <si>
    <t>http://media.nola.com/tpphotos/photo/2014/02/14299610-standard.jpg</t>
  </si>
  <si>
    <t>8638 Belfast St</t>
  </si>
  <si>
    <t>70118</t>
  </si>
  <si>
    <t>Police say that Atkinson was a perceived threat when officers encountered him for allegedly shoplifting juice from a convenient store. Police say a gun was found near his body.</t>
  </si>
  <si>
    <t>http://www.nola.com/crime/index.ssf/2014/02/family_of_man_slain_by_nopd_of.html</t>
  </si>
  <si>
    <t>Michael Walker Jr.</t>
  </si>
  <si>
    <t>U.S. 70 and Interstate 85 Business</t>
  </si>
  <si>
    <t>Efland</t>
  </si>
  <si>
    <t>27243</t>
  </si>
  <si>
    <t>Mebane Police Department</t>
  </si>
  <si>
    <t>Police attempted to pull over Michael Walker Jr. on suspicion of impaired driving. Walker refused to pull over and led a high-speed pursuit for several miles before he lost control of his 2005 Ultima. One of his passengers, Jazzman Jacobs, also died in the crash.</t>
  </si>
  <si>
    <t>http://www.wral.com/two-dead-after-fatal-police-chase-in-orange-county/13399771/</t>
  </si>
  <si>
    <t>15100 Perdido Drive</t>
  </si>
  <si>
    <t>32828</t>
  </si>
  <si>
    <t>Man was reported to have been threatening his family with shotgun. After standoff, was shot once by deputy after refusing to lower shotgun.</t>
  </si>
  <si>
    <t>http://www.wesh.com/news/central-florida/orange-county/man-fatally-shot-after-aiming-shotgun-at-deputies/24514162#mid=18357185</t>
  </si>
  <si>
    <t>Jazzman Vontrazc Jacobs</t>
  </si>
  <si>
    <t>Riley Leif Ottersen</t>
  </si>
  <si>
    <t>http://ak-cache.legacy.net/legacy/images/Cobrands/Spokesman/Photos/43B745ED07d0e23692Wkm3721F8F_0_43B745ED07d0e23803Lnx372A75F_031450.jpg</t>
  </si>
  <si>
    <t>5335 92nd St SW</t>
  </si>
  <si>
    <t>Mukilteo</t>
  </si>
  <si>
    <t>98275</t>
  </si>
  <si>
    <t>Snohomish County Multi-Agency Response Team</t>
  </si>
  <si>
    <t>Police began pursuing Ottersen after an earlier double shooting, and engaged in a high-speed pursuit that ended when he crashed his car into a ditch. Police shot Otterson after he went for his gun, and he died a month later.</t>
  </si>
  <si>
    <t>http://heraldnet.com/article/20140318/NEWS01/140319163/Man-shot-by-police-last-month-in-Mukilteo-dies</t>
  </si>
  <si>
    <t>Bernard Lofton</t>
  </si>
  <si>
    <t>1800 Spence St.</t>
  </si>
  <si>
    <t>21230</t>
  </si>
  <si>
    <t>Two officers walked into a southwest Baltimore home to investigate a report of a burglary and found two men inside wearing clothing bearing the word "police." One of the men was armed with a handgun, police said, and two officers fatally shot him after he did not follow orders to drop his weapon. The man who was killed was identified as Bernard Lofton, 22, of Parkville.</t>
  </si>
  <si>
    <t>http://articles.baltimoresun.com/2014-02-15/news/bs-md-ci-police-involved-shootings-ids-20140215_1_two-officers-shootings-cash-register</t>
  </si>
  <si>
    <t>Luis Antonio Elena Rodriguez</t>
  </si>
  <si>
    <t>http://www.koco.com/image/view/-/24682116/medRes/2/-/maxh/480/maxw/640/-/uyw3nj/-/img-Family-releases-video-of-Norman-man-s-in-custody-death-at-Warren-Theater.jpg</t>
  </si>
  <si>
    <t>Warren Theatre, 1000 S Telephone Rd</t>
  </si>
  <si>
    <t>73160</t>
  </si>
  <si>
    <t>Moore Police Department</t>
  </si>
  <si>
    <t>Officers confronted Luis Rodriguez and asked to see his identification. According to Lunahi and Nair Rodriguez , he tried to bypass the officers to stop his wife from driving off because she was so angry. They said officers took him down and it escalated.Lunahi Rodriguez said that five officers beat her father to death right in front of her, in the parking lot of the movie theater.</t>
  </si>
  <si>
    <t>http://www.news9.com/story/24735856/family-says-moore-police-beat-father-to-death</t>
  </si>
  <si>
    <t>Jeffrey M. Harris</t>
  </si>
  <si>
    <t>http://media.syracuse.com/news/photo/2014/02/14293582-small.jpg</t>
  </si>
  <si>
    <t>11 Barber Street</t>
  </si>
  <si>
    <t>13021</t>
  </si>
  <si>
    <t>Cayuga</t>
  </si>
  <si>
    <t>Auburn Police Department</t>
  </si>
  <si>
    <t>Two officers were involved in the killing of an estranged husband who had broken into his wife's home and attacked with a meat cleaver, Auburn police said.</t>
  </si>
  <si>
    <t>http://www.syracuse.com/news/index.ssf/2014/02/auburn_police_name_two_officers_involved_in_shooting_of_estranged_husband_who_at.html</t>
  </si>
  <si>
    <t>Brandon Keeler</t>
  </si>
  <si>
    <t>1100 Sipple Avenue</t>
  </si>
  <si>
    <t>45011</t>
  </si>
  <si>
    <t>Keeler was openly firing an AK-47 in a residential area. He struck an officer who returned fire and killed Keeler.</t>
  </si>
  <si>
    <t>http://news.cincinnati.com/article/20140215/NEWS/302150037/AirCare-responds-officer-involved-shooting-Hamilton</t>
  </si>
  <si>
    <t>D’Andre Berghardt Jr.</t>
  </si>
  <si>
    <t>http://www.reviewjournal.com/sites/default/files/field/media/web1_WEB_Berghardt_Red_Rock_OIS_mug_1.jpg</t>
  </si>
  <si>
    <t>Calico Basin Road and Blue Diamond Road</t>
  </si>
  <si>
    <t>89161</t>
  </si>
  <si>
    <t>Bureau of Land Management</t>
  </si>
  <si>
    <t>A pedestrian in the Red Rock Canyon National Conservation Area got in an argument with two bicyclists. Upon arrival of NHP a struggle ensued, and the pedestrian was killed.</t>
  </si>
  <si>
    <t>Christopher Roupe</t>
  </si>
  <si>
    <t>http://media.cmgdigital.com/shared/lt/lt_cache/thumbnail/615/img/photos/2014/02/18/c9/ca/Teen_Killed.jpg</t>
  </si>
  <si>
    <t>937 Euharlee Road</t>
  </si>
  <si>
    <t>Euharlee</t>
  </si>
  <si>
    <t>Euharlee Police Department</t>
  </si>
  <si>
    <t>Euharlee police said 17-year-old Christopher Roupe pointed a gun at one of their officers on Feb. 14, when officers knocked on the door of the family’s home to serve a probation warrant for Roupe’s father. Family members, however, said the teen was holding a Nintendo Wii controller.</t>
  </si>
  <si>
    <t>http://www.wsbtv.com/news/news/local/euharlee-police-officer-wont-be-charged-fatal-shoo/nggyG/</t>
  </si>
  <si>
    <t>Jose Manuel Meza Avendano</t>
  </si>
  <si>
    <t>19th Avenue and McDowell Road</t>
  </si>
  <si>
    <t>Officers approached suspicious looking vehicle. Avendano was shot after swinging a sword at officers, who were unable to use a Taser.</t>
  </si>
  <si>
    <t>Javier Mendez</t>
  </si>
  <si>
    <t>19100 Elberland Street</t>
  </si>
  <si>
    <t>91792</t>
  </si>
  <si>
    <t>Sheriff’s Homicide Bureau Lt. Steve Jauch told reporters at the scene a man in the home reported the suspect had been inside the residence, demanding money from his mother. Jauch said that as deputies arrived at the scene, a black compact sedan driven by the suspect sped toward them. Jauch said the pursuit led deputies to the parking lot of the Bestway Supermarket in the 19000 block of La Puente Road and ran through the market. Jauch said the suspect ran east through neighborhood backyards before encountering deputies at a residence on the corner of Elberland Street and Abelian Avenue.</t>
  </si>
  <si>
    <t>http://www.sgvtribune.com/general-news/20140214/man-killed-in-west-covina-area-deputy-involved-shooting-is-identified</t>
  </si>
  <si>
    <t>Joseph R. Wharton</t>
  </si>
  <si>
    <t>http://www.lewiscountysirens.com/wp-content/uploads/2014/02/2014.0214.joseph.wharton.jpg</t>
  </si>
  <si>
    <t>1200 Mellen Street</t>
  </si>
  <si>
    <t>Wharton was running from an officer after he approached him outside Fiddler's Coffee shop. He turned and showed a knife halfway through the chase and was shot when he attempted to scale a fence.</t>
  </si>
  <si>
    <t>Stephon Averyhart</t>
  </si>
  <si>
    <t>http://blogs.riverfronttimes.com/dailyrft/stephon.jpg</t>
  </si>
  <si>
    <t>5300 Union Blvd</t>
  </si>
  <si>
    <t>63115</t>
  </si>
  <si>
    <t>Detectives were in pursuit of the deceased and were able to disable his vehicle. After a brief foot chase, police say the suspect pointed a gun at their direction at which time the officers opened fire multiple times causing death.</t>
  </si>
  <si>
    <t>http://blogs.riverfronttimes.com/dailyrft/2014/02/police_kill_stephon_averyhart.php</t>
  </si>
  <si>
    <t>Dennis Grohn</t>
  </si>
  <si>
    <t>http://bloximages.chicago2.vip.townnews.com/chippewa.com/content/tncms/assets/v3/editorial/1/3a/13a1a89f-de48-566c-9fc3-caba76051f05/5329a5650f921.preview-300.jpg</t>
  </si>
  <si>
    <t>E5480 708th Ave.</t>
  </si>
  <si>
    <t>Menomonie</t>
  </si>
  <si>
    <t>54751</t>
  </si>
  <si>
    <t>Eau Claire S.W.A.T</t>
  </si>
  <si>
    <t>After SWAT entered the home, Grohn charged two officers and wrestled one to the ground. Shot once by both officers.</t>
  </si>
  <si>
    <t>Pamela Hutcherson</t>
  </si>
  <si>
    <t>1500 Bridgecrest Drive.</t>
  </si>
  <si>
    <t>37013</t>
  </si>
  <si>
    <t>Officers arrived at Hutcherson's residence with gun making suicidal threats. She closed door of her home on officers who then made a forced entry into home. She allegedly pointed gun at officers who then shot her. She died from her wounds at hospital.</t>
  </si>
  <si>
    <t>http://www.tennessean.com/story/news/crime/2014/02/11/shooting-reported-at-antioch-townhome/5404479/</t>
  </si>
  <si>
    <t>Jedadiah Zillmer</t>
  </si>
  <si>
    <t>http://assets.nydailynews.com/polopoly_fs/1.1769091.1398454908!/img/httpImage/image.jpg_gen/derivatives/article_970/veteran26n-3-web.jpg?enlarged</t>
  </si>
  <si>
    <t>14700 E Indiana Ave</t>
  </si>
  <si>
    <t>Spokane Valley</t>
  </si>
  <si>
    <t>99216</t>
  </si>
  <si>
    <t>A motorist described as despondent and possibly suicidal was shot and killed following a police chase that ended near Spokane Valley Mall.</t>
  </si>
  <si>
    <t>Anthony Bartley</t>
  </si>
  <si>
    <t>http://www.news4jax.com/image/view/-/27727962/medRes/1/-/4nbd3xz/-/More-from-Nassau-police-shooting-911-calls.jpg</t>
  </si>
  <si>
    <t>Amelia Concourse southeast of Yulee</t>
  </si>
  <si>
    <t>32034</t>
  </si>
  <si>
    <t>Several neighbors called the police on Anthony after he had gotten in a fight with someone whose house he spent the night at. One officer came, they got in an argument, the officer used a Taser gun on him but did not have the desired effect. The officer then proceeded to shoot him once, when Anthony did not go to the ground the officer shot him 4-5 more times until he was pronounced dead.</t>
  </si>
  <si>
    <t>http://fernandinaobserver.com/2014/08/25/north-hampton-shooting-summary-of-facts-from-states-attorney-investigation/</t>
  </si>
  <si>
    <t>Ernest Satterwhite</t>
  </si>
  <si>
    <t>http://i.kinja-img.com/gawker-media/image/upload/s--fP71seuY--/ltnicvlp7f9vjat3txmq.jpg</t>
  </si>
  <si>
    <t>Rose Drive</t>
  </si>
  <si>
    <t>29860</t>
  </si>
  <si>
    <t>Edgefield</t>
  </si>
  <si>
    <t>North Augusta Department of Public Safety</t>
  </si>
  <si>
    <t>Officer Craven chased Satterwhite for 9 miles beyond city limits to the man's driveway in Edgefield County. After Satterwhite parked, the officer repeatedly fired through the driver-side door, prosecutors said. The 25-year-old officer faces up to 10 years in prison if convicted of the gun charge.</t>
  </si>
  <si>
    <t>Deonta Dewight Mackey</t>
  </si>
  <si>
    <t>103rd Street and Cottage Grove Avenue</t>
  </si>
  <si>
    <t>60628</t>
  </si>
  <si>
    <t>Cook County Sheriff's Office</t>
  </si>
  <si>
    <t>A sergeant was filling his car at the Citgo station when Mackey and two other individuals tried to rob him. Mackey was shot in the head and died at the scene.</t>
  </si>
  <si>
    <t>http://www.chicagotribune.com/news/local/breaking/chi-at-least-2-wounded-in-separate-south-side-shootings-20140210-story.html</t>
  </si>
  <si>
    <t>Leroy Turner</t>
  </si>
  <si>
    <t>http://s16.postimg.org/vy8swh5md/leroyturner.png</t>
  </si>
  <si>
    <t>7550 Kirby</t>
  </si>
  <si>
    <t>77030</t>
  </si>
  <si>
    <t>University of Texas Police Department</t>
  </si>
  <si>
    <t>An off-duty police officer shot and killed a burglary suspect at an upscale apartment complex. The University of Texas police officer was working security at the Arcadian Apartments when he responded to a call about a possible break-in. The officer found the door of apartment 731 kicked in. He went inside and confronted an apparent burglar. The suspect immediately charged him. As the two men fought,the officer managed to break free. He pulled his gun and fired. The suspect was pronounced dead at the scene.</t>
  </si>
  <si>
    <t>http://www.khou.com/news/editors-pick/Off-duty-officer-kills-burglary-suspect-at-upscale-apartments-on-Kirby-244790931.html</t>
  </si>
  <si>
    <t>Robert Miguel Gutierrez Villa</t>
  </si>
  <si>
    <t>http://images.onset.freedom.com/ocregister/gallery/n0v3mm-b781264554z.120140211184003000g6m1igfvr.1.jpg</t>
  </si>
  <si>
    <t>Red Hill Avenue and Nisson Road</t>
  </si>
  <si>
    <t>Tustin</t>
  </si>
  <si>
    <t>92780</t>
  </si>
  <si>
    <t>Tustin Police Department</t>
  </si>
  <si>
    <t>Officers were called to the area of Red Hill Avenue and Nisson Road for a domestic disturbance. At the apartment building, officers confronted the man, who appeared to be holding a weapon. The man was armed with a knife. Multiple officers fired their weapons. Paramedics took him to Western Medical Center Santa Ana where he died from his injuries.</t>
  </si>
  <si>
    <t>http://www.ocregister.com/articles/villa-601348-officers-police.html</t>
  </si>
  <si>
    <t>Fernandina Beach</t>
  </si>
  <si>
    <t>http://members.jacksonville.com/news/crime/2014-02-10/story/sheriff-nassau-deputy-fatally-shoots-suspected-burglar-during-struggle</t>
  </si>
  <si>
    <t>Donald Haynes</t>
  </si>
  <si>
    <t>https://scontent-lax.xx.fbcdn.net/hphotos-xpf1/v/t1.0-9/971231_1438866803024613_1527015152947715617_n.png?oh=d0726eb2a04b954a00322c52c4d4f008&amp;oe=5582B4FD</t>
  </si>
  <si>
    <t>1658 S. Airport Way</t>
  </si>
  <si>
    <t>Police were called to the scene of a domestic dispute. After stopping Haynes in a traffic stop, he refused to drop a 20-inch bayonet and was shot by police.</t>
  </si>
  <si>
    <t>http://sacramento.cbslocal.com/2014/02/09/stockton-assault-suspect-dies-in-violent-confrontation-with-police/</t>
  </si>
  <si>
    <t>Johnny Rico Richardson</t>
  </si>
  <si>
    <t>South Farmerville Street and Martin Luther King Drive</t>
  </si>
  <si>
    <t>Ruston</t>
  </si>
  <si>
    <t>71270</t>
  </si>
  <si>
    <t>Lincoln Parish Sheriff Office</t>
  </si>
  <si>
    <t>Deputies were on routine duty around a Mini-Mart in Ruston. They came into contact with a group of individuals in the parking lot of the convenience store. One of those individuals was Richardson. He immediately began running from the deputy who pursuit him on foot. A deputy identified himself and ordered the suspect to stop. As the pursuit continued, Richardson suddenly stopped and pointed a weapon at police. A deputy fired multiple shots. Richardson was taken to North Louisiana Medical Center for treatment and was later pronounced dead.</t>
  </si>
  <si>
    <t>Mathew Vincent Serbus</t>
  </si>
  <si>
    <t>36</t>
  </si>
  <si>
    <t>HWY 212</t>
  </si>
  <si>
    <t>Eden Prairie</t>
  </si>
  <si>
    <t>55344</t>
  </si>
  <si>
    <t>Chaska Police Department/Minnesota State Patrol/Carver County sheriff's office</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</si>
  <si>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Four officers fired their weapons and were placed on leave: Sgt. Brady Juell and officer Trent Wurtz of the Chaska Police Department; trooper Mark Lund of the Minnesota State Patrol; and Corp. Nathan Mueller of the Carver County sheriff's office."</t>
  </si>
  <si>
    <t>http://www.twincities.com/localnews/ci_25898660/eden-prairie-police-shooting-reviewed-by-hennepin-county?source=pkg</t>
  </si>
  <si>
    <t>Keith Walker</t>
  </si>
  <si>
    <t>http://www.click2houston.com/image/view/-/24393380/highRes/2/-/maxh/360/maxw/640/-/wi6qauz/-/Keith-Walker.png</t>
  </si>
  <si>
    <t>3900 5th Street</t>
  </si>
  <si>
    <t>77423</t>
  </si>
  <si>
    <t>After robbing a bank with a gun, Walker was stopped by an off-duty officer working as private security. Walker was shot and killed when he turned on the officer, gun in hand.</t>
  </si>
  <si>
    <t>http://www.chron.com/news/houston-texas/article/Reports-Officer-kills-suspect-outside-Brookshire-5215607.php?cmpid=htx</t>
  </si>
  <si>
    <t>Brad Allen Mason</t>
  </si>
  <si>
    <t>http://tribwxmi.files.wordpress.com/2014/02/brad-mason-mdoc-mugshot.jpg</t>
  </si>
  <si>
    <t>100 Dutton St.</t>
  </si>
  <si>
    <t>49007</t>
  </si>
  <si>
    <t>Kalamazoo Department of Public Safety</t>
  </si>
  <si>
    <t>Mason was shot and killed by Public Safety Officers during an ongoing sexual assault investigation. The Michigan Sex Offender Registry show Mason was a registered sex offender.</t>
  </si>
  <si>
    <t>http://fox17online.com/2014/02/07/family-identifies-sex-assault-suspect-shot-killed-by-officers/</t>
  </si>
  <si>
    <t>Dawn Marie Pfister</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</si>
  <si>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http://www.twincities.com/localnews/ci_25898660/eden-prairie-police-shooting-reviewed-by-hennepin-county?source=pkg</t>
  </si>
  <si>
    <t>Stephen Wayne Ross</t>
  </si>
  <si>
    <t>North 59th Avenue and Thunderbird Road</t>
  </si>
  <si>
    <t>85306</t>
  </si>
  <si>
    <t>Ross was shot multiple times as he tried to escape from authorities who were serving warrants for his arrest. Ross had outstanding felony warrants for dangerous drugs and aggravated identity theft and forgery, and had a history of fleeing from police. While they did find a gun in the suspect's truck, there is no indication the suspect fired on officers.</t>
  </si>
  <si>
    <t>http://www.kpho.com/story/24653868/glendale-officer-shoots-kills-wanted-fugitive</t>
  </si>
  <si>
    <t>Willie James Sams</t>
  </si>
  <si>
    <t>http://blogs.miaminewtimes.com/riptide/assets_c/2014/02/Willie_Sams_profile-thumb-200x229.jpg</t>
  </si>
  <si>
    <t>1635 NW 75th St</t>
  </si>
  <si>
    <t>Liberty City</t>
  </si>
  <si>
    <t>Sams was tasered by police during a domestic dispute call.</t>
  </si>
  <si>
    <t>James L. Norris</t>
  </si>
  <si>
    <t>http://cmsimg.delmarvanow.com/apps/pbcsi.dll/bilde?Site=A7&amp;Date=20140204&amp;Category=NEWS01&amp;ArtNo=302040042&amp;Ref=AR&amp;MaxW=300&amp;Border=0&amp;Man-who-died-in-Salisbury-shooting-identified-Milton-Rodriguez-James-L-Norris</t>
  </si>
  <si>
    <t>E Philadelphia Ave and N Salisbury Road</t>
  </si>
  <si>
    <t>Norris was a fugitive and a passenger in a car stopped at a traffic light. A member of the Maryland State Apprehension Team that takes violent fugitives into custody shot him. Norris was armed with two revolvers.</t>
  </si>
  <si>
    <t>Earl Edward Clague Jr.</t>
  </si>
  <si>
    <t>2400 South Byron Butler Parkway</t>
  </si>
  <si>
    <t>32348</t>
  </si>
  <si>
    <t>Taylor County Sheriff's Office</t>
  </si>
  <si>
    <t>Taylor County Deputy Robert Lundy was on duty, getting his patrol car serviced at the dealership on the 24-hundred block of South Byron Butler Parkway. That's when Claugue crashed his vehicle into the front of the building and opened fire. Deputy Lundy and the suspect exchanged shots, and Claugue was killed.</t>
  </si>
  <si>
    <t>Anesson Joseph</t>
  </si>
  <si>
    <t>http://assets.nydailynews.com/polopoly_fs/1.1604178.1391692968!/img/httpImage/image.jpg_gen/derivatives/article_970/naked7n-6-web.jpg?enlarged</t>
  </si>
  <si>
    <t>Modern Drive and South Military Trail</t>
  </si>
  <si>
    <t>33484</t>
  </si>
  <si>
    <t>Deputies in Florida shot Anesson Joseph after he beat several victims including biting a teen's face in a random street attack. Deputies tasered Joseph, but he continued ranting and raving. Joseph was naked. One cop opened fire and shot Joseph in the torso and twice on his lower body. He was taken to Delray Medical Center where he later died.</t>
  </si>
  <si>
    <t>http://www.nydailynews.com/news/national/florida-man-shot-dead-attack-teen-face-article-1.1604155</t>
  </si>
  <si>
    <t>Don Pooley</t>
  </si>
  <si>
    <t>http://ak-cache.legacy.net/legacy/images/Cobrands/lcsun-news/Photos/76b32872-7c17-4e0f-9df4-b39ca652e53a.jpg</t>
  </si>
  <si>
    <t>West 62nd Avenue and Gray Street</t>
  </si>
  <si>
    <t>Arvada</t>
  </si>
  <si>
    <t>80003</t>
  </si>
  <si>
    <t>Arvada Police Department</t>
  </si>
  <si>
    <t>Police were initially called to the neighborhood on a domestic disturbance call. When police arrived, Pooley fled the house, ran into another home and took a 13-year-old hostage. The situation was resolved when Pooley went to the front door to retrieve some items. The SWAT team shot him.</t>
  </si>
  <si>
    <t>http://denver.cbslocal.com/2014/02/05/man-who-took-teen-hostage-had-recently-violated-parole/</t>
  </si>
  <si>
    <t>Randall Hatori</t>
  </si>
  <si>
    <t>http://bigislandnow.com/wp-content/uploads/2014/02/randall-hatori.jpg</t>
  </si>
  <si>
    <t>Palani Road</t>
  </si>
  <si>
    <t>Kailua-Kona</t>
  </si>
  <si>
    <t>96740</t>
  </si>
  <si>
    <t>Hawaii County Police Department</t>
  </si>
  <si>
    <t>A Kona patrol officer made a traffic stop at a gas station in a shopping center on Palani Road. Following the stop, police arrested the vehicle’s driver on a bench warrant for contempt of court. Alvarez’s passenger, Randall Hatori, fled on foot. An officer ran after Hatori, and a struggle ensued while he attempted to arrest him. Other officers responded to the scene, and Hatori became unresponsive after he was placed in custody and arrested. Fire department paramedics arrived and took Hatori to Kona Community Hospital where he was pronounced dead.</t>
  </si>
  <si>
    <t>http://bigislandnow.com/2014/02/04/kona-man-dies-in-police-custody-investigation-underway/</t>
  </si>
  <si>
    <t>6500 Castor Avenue</t>
  </si>
  <si>
    <t>19149</t>
  </si>
  <si>
    <t>An officer witnessed a strong armed robbery in action. When he intervened, the suspect punched him several times in the face. The officer pulled his tasered the suspect two times, but it had no effect. The suspect ran off with a stolen phone and a wad of cash. The officer gave chase. The suspect picked up the officer and slammed him violently onto the concrete. The officer took out his gun and told the suspect to get on the ground. He refused, and the officer shot him.</t>
  </si>
  <si>
    <t>http://6abc.com/archive/9419416/</t>
  </si>
  <si>
    <t>Ariel Levy</t>
  </si>
  <si>
    <t>21700 Foothill Blvd</t>
  </si>
  <si>
    <t>Mark Garcia</t>
  </si>
  <si>
    <t>5200 North Milwaukee Avenue</t>
  </si>
  <si>
    <t>60630</t>
  </si>
  <si>
    <t>An off-duty Chicago police officer fatally shot a robbery suspect at a Walgreens store. The officer walked into the store to use the ATM machine. The officer became suspicious when he saw a female employee frantically stashing money in a bag behind the counter while a large man stood in front of the register. The officer walked toward the man, identified himself as an officer and asked the man to get down. There was a struggle, and the officer discharged his weapon. Police recovered a semi-automatic handgun from the scene.</t>
  </si>
  <si>
    <t>http://www.chicagotribune.com/news/local/breaking/chi-police-person-wounded-by-officer-on-northwest-side-20140203,0,5401765.story</t>
  </si>
  <si>
    <t>Kevin Dejon Grissett</t>
  </si>
  <si>
    <t>National Avenue and Snow Hill Road</t>
  </si>
  <si>
    <t>Grissett was shot by a police officer after crashing his car into law enforcement vehicles. The high-speed chase started after authorities tried to pull him over in connection with a drug investigation. It ended when Grissett rammed his car into two law enforcement vehicles. Officers fired at the car, hitting Grissett.</t>
  </si>
  <si>
    <t>http://www.wral.com/man-dies-from-injuries-sustained-following-hope-mills-chase-shooting/13351322/</t>
  </si>
  <si>
    <t>Michael Bourquin-Burch</t>
  </si>
  <si>
    <t>174th Street and Pacific Ave South</t>
  </si>
  <si>
    <t>Spanaway</t>
  </si>
  <si>
    <t>98387</t>
  </si>
  <si>
    <t>Pierce County Sheriff's Department Deputies</t>
  </si>
  <si>
    <t>Burch was shot in a traffic stop when police "knew" he was wanted for a federal drug charge and identity theft warrant. Shot after macing officers, who punched him first.</t>
  </si>
  <si>
    <t>http://www.kirotv.com/news/news/one-person-dead-after-early-morning-officer-involv/nc9HL/</t>
  </si>
  <si>
    <t>Zachary Andrews</t>
  </si>
  <si>
    <t>3675 Needles Highway</t>
  </si>
  <si>
    <t>Laughlin</t>
  </si>
  <si>
    <t>89029</t>
  </si>
  <si>
    <t>Zachary Andrews had been approached for robbing a convenience store. He placed a gun to his head and told officers to "kill him." Officer opened fire after Andrews approached him, gun in hand.</t>
  </si>
  <si>
    <t>http://www.fox5vegas.com/story/24608408/armed-robbery-suspect-dead-after-officer-involved-shooting-in-laughlin</t>
  </si>
  <si>
    <t>Alton Reaves</t>
  </si>
  <si>
    <t>Main Street and Railroad Avenue</t>
  </si>
  <si>
    <t>Kingstree</t>
  </si>
  <si>
    <t>29556</t>
  </si>
  <si>
    <t>Kingstree Police Department</t>
  </si>
  <si>
    <t>Reaves was waving a gun near a building on Railroad Avenue. Police received a call and responded. When an officer approached him, he pointed the gun toward the officer who shot Reaves. He died on Friday night at the Medical University of Charleston.</t>
  </si>
  <si>
    <t>http://www.carolinalive.com/news/story.aspx?id=1002336#.VDBGWRYXNrt</t>
  </si>
  <si>
    <t>Michael Paul Napier</t>
  </si>
  <si>
    <t>http://media.utsandiego.com/img/photos/2014/02/01/napier_t730.png?b0f0cf804b45a2830ba759010b8a41b9b1684c1a</t>
  </si>
  <si>
    <t>2000 South Melrose Drive</t>
  </si>
  <si>
    <t>Vista</t>
  </si>
  <si>
    <t>92081</t>
  </si>
  <si>
    <t>Michael Paul Napier was confronted in his parents garage about a drug-related arrest warrant. Two deputies opened fire after he reached for his waistband. He was unarmed.</t>
  </si>
  <si>
    <t>Jose Angel Garcia Jauregui</t>
  </si>
  <si>
    <t>http://cdn2-b.examiner.com/sites/default/files/styles/image_content_width/hash/3d/3b/3d3b00c116fa58f92355508c58d0124f.jpg?itok=1G0T6cXM</t>
  </si>
  <si>
    <t>Exit 222, I-15</t>
  </si>
  <si>
    <t>Nephi</t>
  </si>
  <si>
    <t>84648</t>
  </si>
  <si>
    <t>Juab</t>
  </si>
  <si>
    <t>Juab County Sheriff's Department Deputies</t>
  </si>
  <si>
    <t>Garcia Juargeui was a parolee who shot a Utah County Sheriff in a traffic stop in Eagle Mountain, a multi-county chase ensued, Juargeui was shot after his car was disabled on I-15 the same day</t>
  </si>
  <si>
    <t>http://fox13now.com/2014/01/31/suspect-who-allegedly-shot-two-officers-in-utah-county-has-died/</t>
  </si>
  <si>
    <t>Mark Anthony Ayala</t>
  </si>
  <si>
    <t>http://ak-cache.legacy.net/legacy/images/Cobrands/IVPressOnline/Photos/AyalaMark__20140211_0.jpg</t>
  </si>
  <si>
    <t>500 Woodward Ave.</t>
  </si>
  <si>
    <t>El Centro</t>
  </si>
  <si>
    <t>92243</t>
  </si>
  <si>
    <t>Ayala was parolee with a misdemeanor warrant. When authorities made contact, a shootout occurred. Ayala was shot and killed.</t>
  </si>
  <si>
    <t>Steven Burke Pettersen</t>
  </si>
  <si>
    <t>http://tribktla.files.wordpress.com/2014/01/pettersen.jpg</t>
  </si>
  <si>
    <t>Soledad Canyon Road and Sierra Highway</t>
  </si>
  <si>
    <t>Santa Clarita</t>
  </si>
  <si>
    <t>91351</t>
  </si>
  <si>
    <t>Police received a call that a man with a spear, Pettersen, was running wildly in and out of freeway traffic. Police first shot Pettersen after he struck a car with the "spear." Pettersen then approached them with a knife and police shot and killed him. Petersen, a veteran diagnosed with PTSD, was in his underwear and the "spear" turned out to be a hockey stick. In May 2014, Pettersen's son filed a civil rights lawsuit against Los Angeles County.</t>
  </si>
  <si>
    <t>http://www.dailynews.com/general-news/20140519/los-angeles-county-sued-over-unarmed-fathers-deputy-involved-shooting-death-in-santa-clarita</t>
  </si>
  <si>
    <t>Christopher Stirkens</t>
  </si>
  <si>
    <t>http://img.washingtonpost.com/rw/2010-2019/WashingtonPost/2014/01/30/Local/Images/GaithersburgShooting0041391108951.jpg?uuid=A2p8koniEeOnYKhkFdCUTQ</t>
  </si>
  <si>
    <t>7400 Lake Katrine Terrace</t>
  </si>
  <si>
    <t>Gaithersburg</t>
  </si>
  <si>
    <t>20879</t>
  </si>
  <si>
    <t>Christopher Stirkens, 25, lived with his mother and father, Denise and James Stirkens. James, a 27-year police veteran, was off-duty at home when he heard Christopher arguing with his mother. James went to investigate, and found Christopher stabbing his mother. James shot his son with his service handgun, killing him. Denise died later in the hospital. No charges have been filed against James Stirkens.</t>
  </si>
  <si>
    <t>http://www.washingtonpost.com/local/crime/montgomery-police-sergeant-shoots-son-while-defending-wife-police-say/2014/01/30/64973086-89b6-11e3-833c-33098f9e5267_story.html</t>
  </si>
  <si>
    <t>Cornelius Turner</t>
  </si>
  <si>
    <t>https://localtvwiti.files.wordpress.com/2014/01/turner-250.jpg</t>
  </si>
  <si>
    <t>5300 N 58th St</t>
  </si>
  <si>
    <t>53218</t>
  </si>
  <si>
    <t>Turner and a friend had conspired to rob a beer delivery truck but ran after police arrived. An officer caught Turner and struggled with him before fatally shooting him.</t>
  </si>
  <si>
    <t>http://www.jsonline.com/news/milwaukee/fatal-shooting-reported-on-northwest-side-b99194891z1-242673201.html</t>
  </si>
  <si>
    <t>Lawrence D. Chavez</t>
  </si>
  <si>
    <t>300 Wilson Street</t>
  </si>
  <si>
    <t>DeRidder Police Department</t>
  </si>
  <si>
    <t>Chavez was an Army veteran who served in Afghanistan and Iraq. Police received a call from family members that Chavez was armed and suicidal. Chavez was outside but went inside when the police arrived. Three officers cornered Chavez in a bedroom. Chavez attempted to shoot himself, but the gun misfired. As he cycled the weapon, one of the officers shot him. Then Chavez shot himself in the chest. Louisiana State Patrol investigated, results unknown.</t>
  </si>
  <si>
    <t>http://www.beauregarddailynews.net/article/20140130/News/140139972</t>
  </si>
  <si>
    <t>Curley Edward Spry</t>
  </si>
  <si>
    <t>http://ak-cache.legacy.net/legacy/images/Cobrands/loganbanner/Photos//3024430_web_curley-spry_20140201.jpg</t>
  </si>
  <si>
    <t>Harts Creek Road and Briar Branch Road</t>
  </si>
  <si>
    <t>Chapmanville</t>
  </si>
  <si>
    <t>25508</t>
  </si>
  <si>
    <t>Spry had been battling depression for more than a year. His wife called 911 to report he was armed and threatening the family. State troopers found Spry laying on the couch with a handgun. He pointed the gun at one of the troopers and the trooper, sensing an imminent threat, shot and killed him. Spry's wife said her husband had stopped taking his medication.</t>
  </si>
  <si>
    <t>http://www.loganbanner.com/apps/pbcs.dll/article?AID=/20140131/news/301319960/</t>
  </si>
  <si>
    <t>Felix Navarette</t>
  </si>
  <si>
    <t>http://bloximages.chicago2.vip.townnews.com/siouxcityjournal.com/content/tncms/assets/v3/editorial/5/f2/5f298c3e-82d3-5e66-8e0d-ad4a44af4b1b/52e9921477bf0.preview-620.jpg</t>
  </si>
  <si>
    <t>2728 South Helen Street</t>
  </si>
  <si>
    <t>Sioux City</t>
  </si>
  <si>
    <t>51106</t>
  </si>
  <si>
    <t>Woodbury</t>
  </si>
  <si>
    <t>Sioux City Police Department</t>
  </si>
  <si>
    <t>Navarette was a homicide suspect with a criminal history who vowed not to not go down without a fight. In a raid led by Sioux City Police Department's SWAT team, police broke down Navarette's door and used a flash bang grenade to disable the suspect, who fled to the second floor. He was leaning out an upstairs window when a police sniper shot and killed him after he appeared to threaten officers on the street below. A handgun was found in Navarette's waistband.</t>
  </si>
  <si>
    <t>https://www.facebook.com/siouxcitylockup/photos/pcb.1402168316709445/1402168226709454/?type=1&amp;theater</t>
  </si>
  <si>
    <t>Michael Gabriele</t>
  </si>
  <si>
    <t>200 Pennington Avenue</t>
  </si>
  <si>
    <t>07055</t>
  </si>
  <si>
    <t>Passaic Police Department</t>
  </si>
  <si>
    <t>Police were called to a senior citizen home where Gabriele was arguing with his mother. When police arrived at the apartment, Gabriele grabbed a kitchen knife and charged them. One officer fired one shot, killing Gabriele. Gabriele had a criminal history, including burglary and drug possession charges. More information needed about this encounter.</t>
  </si>
  <si>
    <t>http://www.northjersey.com/story-archives/prosecutor-passaic-man-fatally-shot-after-charging-at-cops-with-knife-1.667275</t>
  </si>
  <si>
    <t>Grace Louise Denk</t>
  </si>
  <si>
    <t>http://ak-cache.legacy.net/legacy/images/Cobrands/bozemandailychronicle/Photos/b0f536f9-a0e0-40e2-a901-a168990f958e.jpg</t>
  </si>
  <si>
    <t>Sunglow Drive and Tabor Lane</t>
  </si>
  <si>
    <t>28405</t>
  </si>
  <si>
    <t>Denk was a 21-year-old Marine suffering from depression since her return from Afghanistan. After an alcohol-fueled argument with her boyfriend, she got in her car with a handgun and began texting suicidal messages to him. Her boyfriend called 911. Police encountered Denk parked outside. Both officers claim Denk raised her gun, so they shot her four times in self defense. District Attorney said shooting justified. Denk family considering legal action.</t>
  </si>
  <si>
    <t>http://www.wwaytv3.com/2014/03/14/only-3-shooting-victims-sister-says-police-could-have-done-more</t>
  </si>
  <si>
    <t>Cameron Lupton</t>
  </si>
  <si>
    <t>http://ak-cache.legacy.net/legacy/images/cobrands/daily-chronicle/photos/5cb2a5f8-dde8-422b-8b87-047061336abe.jpgx?w=130&amp;h=180&amp;option=1&amp;v=0x000000002ca5d1f5</t>
  </si>
  <si>
    <t>1020 Quail Run</t>
  </si>
  <si>
    <t>60115</t>
  </si>
  <si>
    <t>Lupton was an Afghanistan War veteran with a history of mental illness. Police were in the process of conducting a well-being check on Lupton when they received a call he was attacking his father and step-mother with a knife at their residence. Upon their arrival, one officer tasered Lupton, to no effect, after which the second officer shot and killed him. Lupton's father and step-mother survived the attack.</t>
  </si>
  <si>
    <t>http://northernstar.info/city/article_928328f4-98cc-11e3-b98e-001a4bcf6878.html</t>
  </si>
  <si>
    <t>Charles Hull</t>
  </si>
  <si>
    <t>http://www.fatalencounters.org/wp-content/uploads/2013/10/CharlesHull.jpg</t>
  </si>
  <si>
    <t>10000 Calvin St</t>
  </si>
  <si>
    <t>Penn Hills</t>
  </si>
  <si>
    <t>15235</t>
  </si>
  <si>
    <t>Penn Hills Police Department</t>
  </si>
  <si>
    <t>Officers arrived at Hull's home after his girlfriend called police worried that the 56-year-old was going to kill himself. Officers shot and killed Hull after he became agitated and pointed a rifle at responding officers.</t>
  </si>
  <si>
    <t>http://triblive.com/news/adminpage/5486399-74/county-hills-penn#axzz3EwmwN4dH</t>
  </si>
  <si>
    <t>Luis Morin</t>
  </si>
  <si>
    <t>48800 Camino Real</t>
  </si>
  <si>
    <t>92236</t>
  </si>
  <si>
    <t>Morin was wanted on two nonviolent felony warrants. He was visiting relatives and a deputy staked out the relative's house in order to serve arrest Morin. When Morin and his relatives returned home from dinner, the deputy attempted to arrest the unarmed Morin, a scuffle ensued, ending with the deputy shooting and killing Morin in front of his family. A federal civil rights lawsuit was filed against Riverside County on Aug. 26.</t>
  </si>
  <si>
    <t>http://www.desertsun.com/story/news/crime/2014/01/27/sheriffs-deputy-kills-man-in-coachella-officials-say/4956737/</t>
  </si>
  <si>
    <t>Julius Cecil Freeman</t>
  </si>
  <si>
    <t>http://archives.webexpressventures.com/fullsize/16/27/1627a5ac311740b53e37205588a1a9dd5cd6e772.jpg</t>
  </si>
  <si>
    <t>207 Commerce Ave</t>
  </si>
  <si>
    <t>Chesterfield</t>
  </si>
  <si>
    <t>29709</t>
  </si>
  <si>
    <t>Department of Probation, Parole and Pardon Services</t>
  </si>
  <si>
    <t>A South Carolina probation officer shot and killed a patient at a Chesterfield mental health clinic after the patient attacked a receptionist. Freeman was unarmed at the time of the shooting.</t>
  </si>
  <si>
    <t>http://www.southcarolinaradionetwork.com/2014/02/03/mental-health-patient-fatally-shot-in-chesterfield-was-unarmed/</t>
  </si>
  <si>
    <t>Pierree Davis</t>
  </si>
  <si>
    <t>8495 Pecos St</t>
  </si>
  <si>
    <t>Federal Heights</t>
  </si>
  <si>
    <t>80260</t>
  </si>
  <si>
    <t>Federal Heights Police Department</t>
  </si>
  <si>
    <t>Davis was in the middle of robbing a Family Dollar store when officers arrived and ordered him to surrender. Davis attempted to flee and was shot several times. The officer involved in the shooting was cleared of any wrongdoing.</t>
  </si>
  <si>
    <t>http://www.denverpost.com/News/ci_25753369/Federal-Heights-officer-cleared-in-January</t>
  </si>
  <si>
    <t>Aaron DeVenere</t>
  </si>
  <si>
    <t>http://media.utsandiego.com/img/photos/2014/01/26/devenere2_t180.jpg?6ec45598a0efd272cf6d6631efc8bbae7a2ee918</t>
  </si>
  <si>
    <t>3050 S Centre City Pkwy</t>
  </si>
  <si>
    <t>Escondido</t>
  </si>
  <si>
    <t>92025</t>
  </si>
  <si>
    <t>DeVenere led police on a high-speed chase while holding the female driver of the car hostage. After being slowed with spike strips, the vehicle came to a stop and an officer fired and killed DeVenere.</t>
  </si>
  <si>
    <t>http://www.utsandiego.com/news/2014/jan/27/officer-involved-shooting-escondido-sdpd/</t>
  </si>
  <si>
    <t>Praminder Singh Shergill</t>
  </si>
  <si>
    <t>https://d3n8a8pro7vhmx.cloudfront.net/jakara/pages/418/attachments/original/1393035698/shergill.jpeg?1393035698</t>
  </si>
  <si>
    <t>Elderica Way</t>
  </si>
  <si>
    <t>95242</t>
  </si>
  <si>
    <t>Victim suffered from PTSD. Family called police, they shot him 12 times. Police allege Shergill was armed with a knife. Family believes his death was unwarrented.</t>
  </si>
  <si>
    <t>http://sacramento.cbslocal.com/2014/05/05/911-call-released-in-lodi-police-shooting-of-gulf-war-veteran/</t>
  </si>
  <si>
    <t>Zachary J. Sumner</t>
  </si>
  <si>
    <t>http://www.koco.com/image/view/-/24148058/medRes/1/-/jcv4fiz/-/img-New-details-in-weekend-trooper-involved-shooting.jpg</t>
  </si>
  <si>
    <t>1101 S Sunnylane Rd</t>
  </si>
  <si>
    <t>Del City</t>
  </si>
  <si>
    <t>73115</t>
  </si>
  <si>
    <t>Troopers began pursuing Sumner after he ran a stop sign, ending several miles later. Sumner exchanged gunfire with troopers and injured two before being shot and killed.</t>
  </si>
  <si>
    <t>http://newsok.com/troopers-identify-midwest-city-man-involved-in-pursuit-officer-involved-shooting/article/3927759</t>
  </si>
  <si>
    <t>David Turnbull</t>
  </si>
  <si>
    <t>513 Center St</t>
  </si>
  <si>
    <t>Lakeview</t>
  </si>
  <si>
    <t>97630</t>
  </si>
  <si>
    <t>Police found Turnbull in a grocery store parking lot with a knife and a meth pipe. As officers walked him towards jail, he collapsed, and was pronounced dead within half-an-hour.</t>
  </si>
  <si>
    <t>http://www.kgw.com/story/local/2014/10/27/12603606/</t>
  </si>
  <si>
    <t>Clint Evans McKinney</t>
  </si>
  <si>
    <t>http://d1t3gia0in9tdj.cloudfront.net/photo/tributes/t/8/r/207x207/1800678/1a4f6508-7306-4b42-9586-01a5644fa63a.jpg</t>
  </si>
  <si>
    <t>160 Sarratt School Rd</t>
  </si>
  <si>
    <t>Gaffney</t>
  </si>
  <si>
    <t>29341</t>
  </si>
  <si>
    <t>South Carolina Highway Patrol, Gaffney Police department, Cherokee County Sheriff's Office</t>
  </si>
  <si>
    <t>McKinney was in his trailer firing rounds towards Police. Police returned fire, killing McKinney</t>
  </si>
  <si>
    <t>Kevin Shane McCoshum</t>
  </si>
  <si>
    <t>http://bloximages.newyork1.vip.townnews.com/appeal-democrat.com/content/tncms/assets/v3/editorial/1/8f/18f44cac-8981-11e3-82bc-001a4bcf6878/52ea01227f781.preview-300.jpg</t>
  </si>
  <si>
    <t>216 Wilbur Ave</t>
  </si>
  <si>
    <t>95991</t>
  </si>
  <si>
    <t>Yuba City Police department</t>
  </si>
  <si>
    <t>McCoshum had a rifle and was not listen to the police. Police say he moved the rifle in a threatening manner and responded by shooting and killing McCoshum.</t>
  </si>
  <si>
    <t>http://www.appeal-democrat.com/news/yuba-city-police-shoot-armed-man-officials-suspect-in-mobile/article_12362f68-8597-11e3-9c69-001a4bcf6878.html</t>
  </si>
  <si>
    <t>100 Joy Circle</t>
  </si>
  <si>
    <t>The suspect abandoned the car he stole and fired a shot at officers. Officers returned fire, killing the suspect.</t>
  </si>
  <si>
    <t>http://www.chron.com/news/houston-texas/houston/article/Houston-police-kill-suspect-outside-home-near-5170340.php</t>
  </si>
  <si>
    <t>Harold Powers</t>
  </si>
  <si>
    <t>http://www.wlky.com/image/view/-/24085730/medRes/2/-/110x88uz/-/img-Police-believe-retaliation-led-to-deputy-involved-shooting.jpg</t>
  </si>
  <si>
    <t>1700 block Kentucky 2181</t>
  </si>
  <si>
    <t>Hawesville</t>
  </si>
  <si>
    <t>42348</t>
  </si>
  <si>
    <t>Powers attempted to kill off-duty deputy Eubanks. Eubanks fired his weapon in self-defense, killing Powers.</t>
  </si>
  <si>
    <t>http://www.tristatehomepage.com/story/man-dies-following-shootout-with-off-duty-hancock/d/story/3R_mG1yEmEilb0y8qvsfpA</t>
  </si>
  <si>
    <t>Eldrin Smart</t>
  </si>
  <si>
    <t>http://www.wdsu.com/image/view/-/24058474/medRes/1/-/maxh/358/maxw/538/-/7ja6sk/-/Kenner-shooting-crash1-JPG.jpg</t>
  </si>
  <si>
    <t>1000 Clay St</t>
  </si>
  <si>
    <t>Kenner Police Department</t>
  </si>
  <si>
    <t>Officers were speaking with Smart and a passenger as part of a narcotics investigation when Smart suddenly accelerated, pulling an officer into the car and punching him. The officer fired and hit Smart several times, forcing the car to crash. Smart was pronounced dead at the scene.</t>
  </si>
  <si>
    <t>http://www.nola.com/crime/index.ssf/2014/01/kenner_police_officer_fatally.html</t>
  </si>
  <si>
    <t>Antonio Mestas</t>
  </si>
  <si>
    <t>5700 E 15th St</t>
  </si>
  <si>
    <t>94621</t>
  </si>
  <si>
    <t>Mestas led officers on a chase in a stolen SUV through east Oakland after they attempted to pull him over. Officers fired and hit Mestas after he fled the vehicle while holding a loaded handgun.</t>
  </si>
  <si>
    <t>http://www.sfgate.com/crime/article/Man-shot-dead-by-CHP-in-Oakland-identified-5180347.php</t>
  </si>
  <si>
    <t>Jose Munguia</t>
  </si>
  <si>
    <t>1500 67th Ave</t>
  </si>
  <si>
    <t>Officers pulled over Munguia's SUV for not having license plates, leading the 21-year-old to flee with a loaded handgun. Officers with a police dog were able to catch up to Munguia, and shot him after he pointed his gun at them.</t>
  </si>
  <si>
    <t>Joshua Seth Layne</t>
  </si>
  <si>
    <t>http://video-static.clipsyndicate.com/zStorage/clipsyndicate/247/2014/01/22/23/09/nlumgydhugkjspgfukbf.jpg</t>
  </si>
  <si>
    <t>East Valley Road</t>
  </si>
  <si>
    <t>Dunlap</t>
  </si>
  <si>
    <t>37327</t>
  </si>
  <si>
    <t>Sequatchie</t>
  </si>
  <si>
    <t>Sequatchie Sheriff's Office</t>
  </si>
  <si>
    <t>Layne opened fire on officers serving him a warrant. Officers retaliated by shooting and killing Layne.</t>
  </si>
  <si>
    <t>Tom Smith, Jr.</t>
  </si>
  <si>
    <t>http://ww4.hdnux.com/photos/25/76/07/5759451/13/628x471.jpg</t>
  </si>
  <si>
    <t>6400 Dougherty Rd</t>
  </si>
  <si>
    <t>Bay Area Rapid Transit Police Department</t>
  </si>
  <si>
    <t>http://www.mercurynews.com/breaking-news/ci_24960548/dublin-bart-police-officer-shot-during-warrant-service</t>
  </si>
  <si>
    <t>Earl Douglas Braddy</t>
  </si>
  <si>
    <t>County Road 49</t>
  </si>
  <si>
    <t>Loxley</t>
  </si>
  <si>
    <t>36551</t>
  </si>
  <si>
    <t>Loxley Police Department</t>
  </si>
  <si>
    <t>Officers responding to a domestic disturbance call found Braddy struggling with his wife over a handgun, after he had shot her through the hand. Braddy refused to drop the gun and was subsequently shot by police.</t>
  </si>
  <si>
    <t>http://blog.al.com/live/2014/01/police_shoot_kill_man_in_loxle.html</t>
  </si>
  <si>
    <t>Andrew Law</t>
  </si>
  <si>
    <t>http://media.komonews.com/images/140121_law_small.jpg</t>
  </si>
  <si>
    <t>1st Ave S &amp; S Hanford St</t>
  </si>
  <si>
    <t>Law was allegedly drunk, fighting a homeless man and pointing a gun at passing cars when officers arrived to his location. Law was shot after pointing the gun, later revealed as fake, at the officers.</t>
  </si>
  <si>
    <t>http://blog.seattlepi.com/seattle911/2014/01/22/more-details-emerge-in-seattle-officer-involved-shootings/</t>
  </si>
  <si>
    <t>Keith Ronald Koster</t>
  </si>
  <si>
    <t>http://www.leppertmortuary.com/obit_images/1390591433.jpg</t>
  </si>
  <si>
    <t>8200 Harcourt Rd</t>
  </si>
  <si>
    <t>46260</t>
  </si>
  <si>
    <t>After a welfare check, Koster and police engaged in a short standoff after Koster began acting strangely and pointing a gun at officers. Police shot Koster after he waved his gun at responding paramedics.</t>
  </si>
  <si>
    <t>http://www.indystar.com/article/20140121/NEWS02/301210019/Police-fatally-shoot-man-Far-Northside-during-standoff</t>
  </si>
  <si>
    <t>Rodney Golden</t>
  </si>
  <si>
    <t>http://www.post-gazette.com/image/2014/01/20/ca51,0,1627,1051/20140120golden.jpg</t>
  </si>
  <si>
    <t>2500 S. Grande Blvd</t>
  </si>
  <si>
    <t>Greensburg</t>
  </si>
  <si>
    <t>15601</t>
  </si>
  <si>
    <t>Westmoreland</t>
  </si>
  <si>
    <t>Golden was shot to death by a state trooper after he slashed a woman's throat.</t>
  </si>
  <si>
    <t>http://www.post-gazette.com/local/east/2014/01/19/Westmoreland-County-authorities-converge-on-attempted-homicide-scene/stories/201401190201</t>
  </si>
  <si>
    <t>Caleb Surface</t>
  </si>
  <si>
    <t>http://media.cmgdigital.com/shared/lt/lt_cache/thumbnail/188/img/photos/2014/01/24/a8/6e/Surface-Caleb-1.jpg</t>
  </si>
  <si>
    <t>2000 St Andrews Ct</t>
  </si>
  <si>
    <t>45014</t>
  </si>
  <si>
    <t>Fairfield Township Police Department</t>
  </si>
  <si>
    <t>After getting into a fight with his father and suffering from depression, Surface was found by police and ordered to stop. Surface allegedly threatened the officer and was shot after reaching into his pocket. Surface was found to be reaching for a silver portable telephone in his pocket. The officer was later cleared of any wrongdoing.</t>
  </si>
  <si>
    <t>http://raycomgroup.worldnow.com/story/25039475/no-charges-against-against-fairfield-officer-who-shot-man</t>
  </si>
  <si>
    <t>Gabriel Sanchez Velasquez</t>
  </si>
  <si>
    <t>Sanchez, a sinewy 5-foot-9 car mechanic who spoke English well after spending 15 years in the United States, had allegedly leapt from under a mesquite bush and lunged to seize the agent’s firearm, forcing him to shoot.</t>
  </si>
  <si>
    <t>https://facebook.com/KilledByPolice/posts/613431745371112</t>
  </si>
  <si>
    <t>Jordan Baker</t>
  </si>
  <si>
    <t>http://forwardtimesonline.com/2013/images/Jordan%20-%20LEAD%20-%20Copy.jpg</t>
  </si>
  <si>
    <t>9500 Hempstead Hwy</t>
  </si>
  <si>
    <t>77092</t>
  </si>
  <si>
    <t>http://forwardtimesonline.com/2013/index.php/state-local/item/1004-another-mother-left-to-mourn-unarmed-black-man-mistaken-for-criminal-shot</t>
  </si>
  <si>
    <t>Henry Jackson</t>
  </si>
  <si>
    <t>http://media.graytvinc.com/images/henry+jackson+mug.jpg</t>
  </si>
  <si>
    <t>Martin Luther King Blvd. and H Street NE</t>
  </si>
  <si>
    <t>Jackson was responsible for a string of robberies. Police were on his tail when Jackson shot at them, prompting them to fire back, killing Jackson</t>
  </si>
  <si>
    <t>http://www.cbsnews.com/news/teen-who-shot-4-including-2-atf-agents-is-killed-by-cops-they-say/</t>
  </si>
  <si>
    <t>Raymond Roberts</t>
  </si>
  <si>
    <t>18492 Dexter Ave</t>
  </si>
  <si>
    <t>Lake Elsinore</t>
  </si>
  <si>
    <t>92532</t>
  </si>
  <si>
    <t>Lake Elsinore Police Department</t>
  </si>
  <si>
    <t>An officer matched Roberts' vehicle to one connected in an earlier assault, and moved to surround the car. Roberts refused to exit the car and backed over an officer's foot, leading four officers to fire into the car and kill Roberts.</t>
  </si>
  <si>
    <t>http://patch.com/california/lakeelsinore-wildomar/coroner-releases-id-of-man-shot-dead-by-deputies-in-lake-elsinore#.VCxF1CmVnaY</t>
  </si>
  <si>
    <t>Haley Boren</t>
  </si>
  <si>
    <t>http://img.deseretnews.com/images/article/midres/1285227/1285227.jpg</t>
  </si>
  <si>
    <t>37 N 630 W</t>
  </si>
  <si>
    <t>84660</t>
  </si>
  <si>
    <t>Lindon City Police Department</t>
  </si>
  <si>
    <t>Borden, who suffered from a number of mental illnesses and depression, shot and killed his wife, two children, mother-in-law and himself.</t>
  </si>
  <si>
    <t>http://www.deseretnews.com/article/865594341/5-found-dead-in-Spanish-Fork-home-suspected-murder-suicide.html</t>
  </si>
  <si>
    <t>Joshua "Jaden" Boren</t>
  </si>
  <si>
    <t>http://img.deseretnews.com/images/article/midres/1285226/1285226.jpg</t>
  </si>
  <si>
    <t>Kelly Boren</t>
  </si>
  <si>
    <t>http://img.deseretnews.com/images/article/midres/1285225/1285225.jpg</t>
  </si>
  <si>
    <t>Marie King</t>
  </si>
  <si>
    <t>http://img.deseretnews.com/images/article/mcontentimage/1370387/1370387.jpg</t>
  </si>
  <si>
    <t>Shawn Walter Bair</t>
  </si>
  <si>
    <t>http://www.gannett-cdn.com/-mm-/f360b50fa027bcfed5c262b6ee12ae6d88fb1da3/c=0-144-436-473&amp;r=x513&amp;c=680x510/local/-/media/Indianapolis/Indianapolis/2014/01/16//1389894688000-elkhart-shooter.jpg</t>
  </si>
  <si>
    <t>3900 E Bristol St</t>
  </si>
  <si>
    <t>46514</t>
  </si>
  <si>
    <t>Bair walked in a Martin's Grocery and shot and killed two people. Police were in the area and responded within 3 minutes. they shot and killed Bair when they arrived.</t>
  </si>
  <si>
    <t>http://www.nydailynews.com/news/national/3-dead-including-gunman-indiana-supermarket-shooting-article-1.1581555</t>
  </si>
  <si>
    <t>Bernard Adams</t>
  </si>
  <si>
    <t>Standard Road and Kennedy Street</t>
  </si>
  <si>
    <t>Houghton Lake</t>
  </si>
  <si>
    <t>48629</t>
  </si>
  <si>
    <t>Roscommon</t>
  </si>
  <si>
    <t>Police arrived to a domestic violence situation.A 75-year-old resident came out on the porch with a handgun. Officers told him to put it down, he refused and was shot and killed.</t>
  </si>
  <si>
    <t>http://www.mlive.com/news/bay-city/index.ssf/2014/01/police_shoot_kill_75-year-old.html</t>
  </si>
  <si>
    <t>Gregory Vaughn Hill Jr</t>
  </si>
  <si>
    <t>http://media2.wptv.com//photo/2014/01/15/WPTV_Hill_20140115172200_640_480.JPG</t>
  </si>
  <si>
    <t>1500 Ave Q</t>
  </si>
  <si>
    <t>Saint Lucie Sheriff's Department</t>
  </si>
  <si>
    <t>Deputies arrived at Hill's residence. Hill manually opened the garage and raised a gun towards deputies prompting them to shoot and kill Hill.</t>
  </si>
  <si>
    <t>Paul Smith</t>
  </si>
  <si>
    <t>1059 W. 62nd St.</t>
  </si>
  <si>
    <t>A man fled after a robbery. Officers found the suspect held up in a house. LAPD snipers shot and killed him.</t>
  </si>
  <si>
    <t>http://ktla.com/2014/01/14/man-barricades-himself-inside-south-l-a-home-after-robbery/#axzz2qQObbRqN</t>
  </si>
  <si>
    <t>Manuel Oscar Longoria</t>
  </si>
  <si>
    <t>https://charlescarrollsociety.com/wp-content/uploads/2014/02/PinalCounty1.jpg</t>
  </si>
  <si>
    <t>East 10th and North Sunshine Boulevard</t>
  </si>
  <si>
    <t>Pinal County Sheriff's Department</t>
  </si>
  <si>
    <t>Longoria led officers in a car chase. His vehicle was rammed. Longoria later got out turned around with his hands up when an officer fired a shot, killing him.</t>
  </si>
  <si>
    <t>http://www.kpho.com/story/24450273/az-deputy-shoots-kills-man-after-car-chase-in-eloy</t>
  </si>
  <si>
    <t>Steven Lewis Pfalzgraf</t>
  </si>
  <si>
    <t>Grand Central Mall</t>
  </si>
  <si>
    <t>Vienna</t>
  </si>
  <si>
    <t>26105</t>
  </si>
  <si>
    <t>Wood</t>
  </si>
  <si>
    <t>Parkersburg Police Department</t>
  </si>
  <si>
    <t>Pfalzgraf was driving the get-away car after a purse-snatching at a nearby mall when he allegedly swerved towards a police officer. The officer shot and killed Pfalzgraf, and was later cleared of any wrongdoing.</t>
  </si>
  <si>
    <t>http://wvmetronews.com/2014/01/15/man-shot-and-killed-in-parkersburg-robbery-attempt/</t>
  </si>
  <si>
    <t>Blas Leroux</t>
  </si>
  <si>
    <t>http://assets.nydailynews.com/polopoly_fs/1.1586348!/img/httpImage/image.jpg_gen/derivatives/article_970/denver22n-4-web.jpg</t>
  </si>
  <si>
    <t>1490 Perry St</t>
  </si>
  <si>
    <t>80204</t>
  </si>
  <si>
    <t>Leroux held customers hostage in a 7-11. He tried to use a hostage as a human shield, but was gunned down. He died 3 days later from a gunshot wound to the neck.</t>
  </si>
  <si>
    <t>http://kdvr.com/2014/01/20/suspect-shot-in-7-eleven-hostage-situation-dies-of-wounds/</t>
  </si>
  <si>
    <t>William Jackson Marble</t>
  </si>
  <si>
    <t>http://bloximages.chicago2.vip.townnews.com/shorelinemedia.net/content/tncms/assets/v3/editorial/a/eb/aebe83fc-82e6-11e3-b2fa-0019bb2963f4/52deecda099a1.image.jpg</t>
  </si>
  <si>
    <t>1200 North Dennis Road</t>
  </si>
  <si>
    <t>Ludington</t>
  </si>
  <si>
    <t>49431</t>
  </si>
  <si>
    <t>Marble, drunk, pointed his pistol in officers' direction - prompting officers to shoot and kill Marble.</t>
  </si>
  <si>
    <t>http://www.mlive.com/news/muskegon/index.ssf/2014/02/troopers_fatal_shooting_of_mas.html</t>
  </si>
  <si>
    <t>Perry Webb</t>
  </si>
  <si>
    <t>1800 E. Lanvale St</t>
  </si>
  <si>
    <t>21213</t>
  </si>
  <si>
    <t>Officers were patrolling in an unmarked police car when they saw two men inside of a parked white Nissan Altima with out of state license plates. The officers felt concerned over the situation, and they called for backup. When additional officers arrived, Rodriguez said, one of the officers saw a gun and shot him to death.</t>
  </si>
  <si>
    <t>Enrique Carlos Rodarte</t>
  </si>
  <si>
    <t>16700 Lacy St</t>
  </si>
  <si>
    <t>92395</t>
  </si>
  <si>
    <t>San Bernardino County Sheriff’s Department</t>
  </si>
  <si>
    <t>Anthony Mascarino</t>
  </si>
  <si>
    <t>https://apps.azcorrections.gov/mugshots/122875.jpg</t>
  </si>
  <si>
    <t>8055 E. Thomas Rd.</t>
  </si>
  <si>
    <t>85251</t>
  </si>
  <si>
    <t>Mascarino had been arguing with a relative inside a condo unit when he fired his shotgun. He then went outside and fired the shotgun multiple times. Police arrived on the scene, Mascarino pointed the shotgun at officers and three officers fired their weapons, striking Mascarino and fatally injuring him.</t>
  </si>
  <si>
    <t>http://www.scottsdaleaz.gov/Police/newsPIO/Officer_Involved_Shooting_16537?DateTime=635252022000000000&amp;PageMode=View</t>
  </si>
  <si>
    <t>Jeffrey Ragland</t>
  </si>
  <si>
    <t>http://assets.nydailynews.com/polopoly_fs/1.1575334.1389385798!/img/httpImage/image.jpg_gen/derivatives/article_970/slain11n-2-web.jpg?enlarged</t>
  </si>
  <si>
    <t>227th St. and 108th Ave.</t>
  </si>
  <si>
    <t>11429</t>
  </si>
  <si>
    <t>Jeffrey Ragland was fatally shot by a city correction officer after he allegedly had relations with the woman both men had coveted.</t>
  </si>
  <si>
    <t>http://www.nydailynews.com/new-york/nyc-crime/man-shot-killed-street-queens-article-1.1575100</t>
  </si>
  <si>
    <t>Jose Luis Navarro</t>
  </si>
  <si>
    <t>http://media.nbcsandiego.com/images/1200*675/josenavaroo.jpg</t>
  </si>
  <si>
    <t>41st Street at Hilltop Drive</t>
  </si>
  <si>
    <t>92102</t>
  </si>
  <si>
    <t>Jose Luis Navarro was critically injured when officers shot him following a car chase. The pursuit began when a sergeant tried to stop him for talking on his cellphone while driving. While the Saturn was stopped, police said the suspect raised the gun towards officers, and fearing for their safety and the safety of others, four SDPD officers opened fire at the suspect in the vehicle. Navarro died two days later in the hospital.</t>
  </si>
  <si>
    <t>http://www.10news.com/news/suspect-shot-by-police-in-mount-hope-following-pursuit-dies-at-the-hospital011214</t>
  </si>
  <si>
    <t>Jerry Delagarza</t>
  </si>
  <si>
    <t>1761 Farm to Market Road 351</t>
  </si>
  <si>
    <t>Beeville</t>
  </si>
  <si>
    <t>78102</t>
  </si>
  <si>
    <t>Bee</t>
  </si>
  <si>
    <t>Bee County Police Department</t>
  </si>
  <si>
    <t>A warrant had been issued for Delagarza's arrest for domestic violence. He was already on parole for a prior assault conviction. He was cruising around Live Oak County in his Hummer when state troopers and deputies started chasing him. Police put down spike strips that flattened both of his tires. But he did not give up even after authorities spun his Hummer around. Finally, when Delagarza tried to hit a deputy with his car, police opened fire. He died at the scene.</t>
  </si>
  <si>
    <t>http://www.kztv10.com/news/bee-county-deputies-cleared-in-fatal-shooting-of-wanted-parolee/</t>
  </si>
  <si>
    <t>Michael Anthony Ware</t>
  </si>
  <si>
    <t>4303 Aggie Road</t>
  </si>
  <si>
    <t>72401</t>
  </si>
  <si>
    <t>Officers were investigating the theft of a vehicle on Aggie Road. During the investigation, Ware who was a suspect was in trailer #33 with a woman and several children. He fired at officers, and Corporal John Eidson fired back. The Jonesboro Police Department's Tactical Unit arrived and was able to pull the children to safety from a rear window. Ware was found dead in the trailer.</t>
  </si>
  <si>
    <t>http://www.kait8.com/story/24407468/police-shooting-at-jonesboro-mobile-home-park-was-officer-involved</t>
  </si>
  <si>
    <t>Nathan Massey</t>
  </si>
  <si>
    <t>https://scontent-sjc.xx.fbcdn.net/hphotos-xaf1/v/t1.0-9/1014101_1412913878959489_1362540006_n.jpg?oh=f45a3ca183e632a7d253599e14aad355&amp;oe=55B20980</t>
  </si>
  <si>
    <t>Josephine and Lasalle streets</t>
  </si>
  <si>
    <t>Orleans Parish</t>
  </si>
  <si>
    <t>A New Orleans police officer shot the man late Wednesday (Jan. 7) after gunfire was exchanged following a traffic stop at the intersection of Josephine and Lasalle streets in Central City, police said.</t>
  </si>
  <si>
    <t>http://www.nola.com/crime/index.ssf/2015/01/man_shot_by_nopd_officer_after.html#incart_story_package</t>
  </si>
  <si>
    <t>Ernest Attebery</t>
  </si>
  <si>
    <t>http://www.kob.com/kobtvimages/repositoryThumbs/2014-01/ernest-attebery.jpg</t>
  </si>
  <si>
    <t>700 Lexco Road</t>
  </si>
  <si>
    <t>Moriarty</t>
  </si>
  <si>
    <t>87035</t>
  </si>
  <si>
    <t>Torrance</t>
  </si>
  <si>
    <t>Attebery may have fired his rifle at officers. SWAT responded and fired on Attebery, killing him.</t>
  </si>
  <si>
    <t>http://www.koat.com/news/new-mexico/nm-police-id-man-killed-after-barricade-situation/23864988</t>
  </si>
  <si>
    <t>Vernum Blunk</t>
  </si>
  <si>
    <t>2700 Laurel Holow Drive</t>
  </si>
  <si>
    <t>Leesburg</t>
  </si>
  <si>
    <t>34748</t>
  </si>
  <si>
    <t>Eustis Police Department</t>
  </si>
  <si>
    <t>Police allege Blunk sexually abused a minor and was in possession of child pornography. An officer and a detective visited Blunk to interrogate him. During the interrogation, Blunk pulled a gun he had hidden and threatened them. The detective warned him to put the gun down and when Blunk didn't comply he shot and killed him. Florida Department of Law Enforcement found shooting justified.</t>
  </si>
  <si>
    <t>http://www.wftv.com/news/news/local/one-dead-after-officer-involved-shooting-leesburg/ncfjT/</t>
  </si>
  <si>
    <t>Shon Aaron Spencer</t>
  </si>
  <si>
    <t>http://www.arre.st/Jails/WVJails.info/images2/ShonSpencer3792790.jpg</t>
  </si>
  <si>
    <t>Interstate 79</t>
  </si>
  <si>
    <t>Anmoore</t>
  </si>
  <si>
    <t>26323</t>
  </si>
  <si>
    <t>Harrison County Sheriff's Office</t>
  </si>
  <si>
    <t>Two women called police and reported that Spencer was stalking them. When police arrived, Spencer fled in his pickup, leading police on a dangerous high-speed chase. Deputies cornered Spencer, who then attempted to ram them with his vehicle. Deputies shot and killed Spencer because they feared for their own safety. Spencer had recently been arrested and was reportedly having family problems.</t>
  </si>
  <si>
    <t>http://www.connect-bridgeport.com/connect.cfm?func=view&amp;section=News&amp;item=UPDATE-Man-Identified-by-Law-Enforcement-that-Was-Shot-Killed-Following-Car-Pursuit-Monday6487</t>
  </si>
  <si>
    <t>Keith Vidal</t>
  </si>
  <si>
    <t>http://tftppull.freethoughtllc.netdna-cdn.com/wp-content/uploads/2014/01/why.jpg</t>
  </si>
  <si>
    <t>1100 President Drive</t>
  </si>
  <si>
    <t>Boiling Spring Lakes</t>
  </si>
  <si>
    <t>28461</t>
  </si>
  <si>
    <t>Brunswick</t>
  </si>
  <si>
    <t>Southport Police Department</t>
  </si>
  <si>
    <t>http://thefreethoughtproject.com/cop-shoots-dead-unarmed-tased-subdued-teen-we-time-this-bang/</t>
  </si>
  <si>
    <t>Deacon James Clark</t>
  </si>
  <si>
    <t>http://www.heraldtribune.com/apps/pbcsi.dll/bilde?Site=SH&amp;Date=20140328&amp;Category=ARTICLE&amp;ArtNo=140329625&amp;Ref=AR&amp;MaxW=198&amp;border=0</t>
  </si>
  <si>
    <t>1000 42nd Street</t>
  </si>
  <si>
    <t>34234</t>
  </si>
  <si>
    <t>A pair of officers on bicycle patrol encountered Clark in a park known for drug sales and prostitution. Clark was pushing a bicycle and holding a weapon. Police ordered him to drop it, but instead he aimed and fired at them. Both officers returned fire killing Clark. State Attorney declared shooting justified. Clark had long history of drug abuse and criminal convictions.</t>
  </si>
  <si>
    <t>http://www.heraldtribune.com/article/20140328/ARTICLE/140329625</t>
  </si>
  <si>
    <t>Rocendo Arias</t>
  </si>
  <si>
    <t>http://i.imgur.com/1NuazfX.png</t>
  </si>
  <si>
    <t>907 E. Nob Hill Blvd.</t>
  </si>
  <si>
    <t>An officer was checking on a suspicious vehicle in the car wash’s parking lot. During the contact, the officer shot Arias, the sole occupant of the vehicle. He was pronounced dead at the scene.</t>
  </si>
  <si>
    <t>http://www.yakimaherald.com/news/latestlocalnews/1811549-8/man-shot-by-police-at-car-wash-identified</t>
  </si>
  <si>
    <t>Frankie Martinez</t>
  </si>
  <si>
    <t>1600 Gaylord Avenue</t>
  </si>
  <si>
    <t>Martinez shot a relative during an argument at his home. The relative escaped and called police. The SWAT team went to Martinez' home, where they found him violent, suicidal and pressing a gun to his head. Police tried to talk Martinez down, but instead he pointed the gun at them. They opened fire, killing him on the spot. The 10th Judicial District Attorney’s Office declared the shooting justified.</t>
  </si>
  <si>
    <t>http://www.chieftain.com/news/pueblo/2396419-120/martinez-officers-shooting-carpenter</t>
  </si>
  <si>
    <t>John Murray</t>
  </si>
  <si>
    <t>Rosa Parks Boulevard and Franklin Street</t>
  </si>
  <si>
    <t>Paterson</t>
  </si>
  <si>
    <t>07524</t>
  </si>
  <si>
    <t>Paterson Police Department</t>
  </si>
  <si>
    <t>Police encountered a motorist who fit the description of a man wanted in connection with the home invasion. A struggle ensued, and the officer fired one round which hit the suspect. The man was taken to a hospital where he died a short time later.</t>
  </si>
  <si>
    <t>http://patersontimes.com/2014/01/05/man-shot-by-officer-on-franklin-street-identified-as-a-haledon-resident/</t>
  </si>
  <si>
    <t>Igor Skorev</t>
  </si>
  <si>
    <t>http://media.thedenverchannel.com/photo/2012/09/01/Igor-Skorev-Arrested-in-Glenwood-Springs-State-Patrol-High-Speed-Chase-30937714_67688_ver1.0_320_240.jpg</t>
  </si>
  <si>
    <t>8600 W 62nd Ave</t>
  </si>
  <si>
    <t>80004</t>
  </si>
  <si>
    <t>Skorev was involved in an attempted homicide after an argument over a pool game. Officers tried to stop his car as he drove toward officers. Officers opened fire. Skorev got away but died not long after.</t>
  </si>
  <si>
    <t>http://archive.9news.com/rss/story.aspx?storyid=371955</t>
  </si>
  <si>
    <t>Michael Estrada</t>
  </si>
  <si>
    <t>http://www.svherald.com/sites/default/files/imagecache/Really_Big/6725-2378_177.jpg</t>
  </si>
  <si>
    <t>1251 Paseo San Luis Blvd.</t>
  </si>
  <si>
    <t>85635</t>
  </si>
  <si>
    <t>Two patrol units were dispatched to 1200 block of Paseo San Luis where Estrada was in the front yard of the residence brandishing a machete. Estrada began making aggressive statements and started walking toward one of the officers. Officer Michael Rathmann fired his department-issue weapon at Estrada, who sustained multiple gunshot wounds. Emergency Medical Personnel were contacted and quickly responded to provide life-saving measures. Estrada was transported to the Emergency Department at the Sierra Vista Regional Health Center where he was pronounced dead shortly thereafter.</t>
  </si>
  <si>
    <t>http://www.tucsonnewsnow.com/story/24362816/sierra-vista-man-killed-in-officer-involved-shooting</t>
  </si>
  <si>
    <t>Robert Coleman</t>
  </si>
  <si>
    <t>3800 Smokemist Trace</t>
  </si>
  <si>
    <t>Officers received a call about a burglary in progress. Two officers encountered Coleman while checking the residence and shots were fired. Coleman died at the scene. One of the two officers was shot in the leg and taken to a hospital with non-life-threatening injuries and later released.</t>
  </si>
  <si>
    <t>http://www.ajc.com/news/news/breaking-news/shooting-in-lawrenceville-leaves-suspect-dead-offi/nccgt/</t>
  </si>
  <si>
    <t>Noah Scott</t>
  </si>
  <si>
    <t>http://imgick.nola.com/home/nola-media/width620/img/crime_impact/photo/14051807-mmmain.jpg</t>
  </si>
  <si>
    <t>1342 Pier Avenue</t>
  </si>
  <si>
    <t>70005</t>
  </si>
  <si>
    <t>Noah Scott had a long history of drug abuse, including heroin. When his girlfriend backed out on marriage plans, he stabbed her seven times. Deputies found her bleeding to death on the lawn across the street from Scott's house. Scott confronted them in the doorway with a knife, asking the officers to shoot and kill him. When they didn't, he lunged at them, and three deputies shot him 29 times. His girlfriend succumbed to her injuries. The sheriff called it a case of "suicide by cop."</t>
  </si>
  <si>
    <t>http://www.nola.com/crime/index.ssf/2014/01/sister_of_bucktown_stabbing_su.html</t>
  </si>
  <si>
    <t>Joeshawn Edward Williams</t>
  </si>
  <si>
    <t>http://ak-cache.legacy.net/legacy/images/cobrands/nola/photos/01162014_0001368667_1.jpg?v=0x000000002daf358c</t>
  </si>
  <si>
    <t>10900 N Western Ave</t>
  </si>
  <si>
    <t>73114</t>
  </si>
  <si>
    <t>Two officers were patrolling looking for criminal activity when they spotted Williams standing near a 7-Eleven store. When the officers approached Williams, he ran into traffic, crossing a four-lane intersection. During the pursuit, one officer approached Williams on foot, and the other pursued Williams in his patrol car. Williams fired at Cortez as he approached him on foot. Cortez returned fire striking Williams several times. He died at the scene.</t>
  </si>
  <si>
    <t>Wesley Maldonado</t>
  </si>
  <si>
    <t>http://extras.mnginteractive.com/live/media/site36/2014/0103/20140103__wesley_maldonado~p1.jpg</t>
  </si>
  <si>
    <t>300 East 88th Avenue</t>
  </si>
  <si>
    <t>Thornton</t>
  </si>
  <si>
    <t>80229</t>
  </si>
  <si>
    <t>Thornton Police Department</t>
  </si>
  <si>
    <t>Maldonado showed up at his ex-girlfriend's apartment, who had a restraining order against him, with a sawed-off 410 shotgun. He got in a confrontation with a man there, and fired off a shot. Police were called, and Maldonado fled in a stolen SUV. He led police on a high speed chase to Denver and back to the apartment in Thornton. There, police cornered him, and when Maldonado raised his gun, three police unloaded on him, firing 21 times and striking him 17. He died on the spot. The Thornton County DA found officers justified. An autopsy found methamphetamine and alcohol in Maldonado's system.</t>
  </si>
  <si>
    <t>http://www.denverpost.com/news/ci_24838223/thornton-police-scene-reported-shootout-car-chase-suspect</t>
  </si>
  <si>
    <t>Brandon Lee Melton</t>
  </si>
  <si>
    <t>http://cbsdallas.files.wordpress.com/2014/01/brandon-melton.jpg?w=420&amp;h=315</t>
  </si>
  <si>
    <t>6400 Patsy Lane</t>
  </si>
  <si>
    <t>Watauga</t>
  </si>
  <si>
    <t>76148</t>
  </si>
  <si>
    <t>Watauga Police Department</t>
  </si>
  <si>
    <t>Brandon Lee Melton's girlfriend was pregnant and leaving him. A friend was helping her move her stuff out of the house. The police officer who responded to the domestic violence call found the friend stabbed and bleeding and Melton astride his pregnant wife on the front lawn, stabbing her repeatedly. The officer fired one shot, hitting Melton in the head. He died several days later. Both women survived the attack. A Grand Jury declined to indict the officer.</t>
  </si>
  <si>
    <t>http://www.star-telegram.com/2014/06/12/5896081/watauga-officer-no-billed-in-fatal.html</t>
  </si>
  <si>
    <t>Patrick L. Jones</t>
  </si>
  <si>
    <t>2272 Siskin Ave.</t>
  </si>
  <si>
    <t>43228</t>
  </si>
  <si>
    <t>A caseworker at the Association for the Developmentally Disabled of Worthington called 911, saying she had been threatened by a resident. When officers arrived, a man came at them with a knife and an officer shot him. The caseworker locked herself in a bathroom.</t>
  </si>
  <si>
    <t>http://www.dispatch.com/content/stories/local/2014/01/03/One-dead-in-officer-involved-shooting.html</t>
  </si>
  <si>
    <t>Dale Wallace</t>
  </si>
  <si>
    <t>http://wac.450f.edgecastcdn.net/80450F/newstalkkgvo.com/files/2014/01/Dale-Edward-Wallace-630x472.jpg</t>
  </si>
  <si>
    <t>2020 NE 22nd St</t>
  </si>
  <si>
    <t>Lincoln City</t>
  </si>
  <si>
    <t>97367</t>
  </si>
  <si>
    <t>Wallace and a female accomplice pulled off an armed robbery in Butte Montana that netted them cash and five weapons. Police tracked their location via cell phone to this seaside Oregon town and laid a trap. After a five-hour armed standoff the accomplice killed herself, and Wallace died after a deliberate collision with a police vehicle.</t>
  </si>
  <si>
    <t>http://mtstandard.com/news/local/update-robbery-suspect-dead-authorities-mum-on-surviving-suspect-s/article_b193b668-7505-11e3-a171-001a4bcf887a.html</t>
  </si>
  <si>
    <t>Jesse J. Humphrey</t>
  </si>
  <si>
    <t>431-435 S. Rushmore Road</t>
  </si>
  <si>
    <t>Selah</t>
  </si>
  <si>
    <t>98942</t>
  </si>
  <si>
    <t>Deputies went to Humphrey's home with a search warrant after two theft investigations were linked to the address. When the deputies searching the property asked him to get out of it, he opened fire. The deputies returned fire and called for backup. More than 50 officers from several law enforcement agencies assisted at the scene. Humphrey called 911 from inside the motor home during the standoff. He spent nearly an hour talking with a Yakima police negotiator, but they were unable to reach a solution. Humphrey was killed by officers returning fire. He was a convicted sex offender who had failed to register.</t>
  </si>
  <si>
    <t>http://www.yakimaherald.com/news/latestlocalnews/1808760-8/man-killed-by-police-in-selah-standoff-identified</t>
  </si>
  <si>
    <t>Rasheik Calhoun</t>
  </si>
  <si>
    <t>http://bloximages.newyork1.vip.townnews.com/unionspringsherald.com/content/tncms/assets/v3/editorial/8/7d/87d3d26a-7d37-11e3-aee2-0019bb30f31a/52d56380e40e9.image.jpg?resize=300%2C299</t>
  </si>
  <si>
    <t>462 N. Savage St.</t>
  </si>
  <si>
    <t>Crestview</t>
  </si>
  <si>
    <t>32536</t>
  </si>
  <si>
    <t>Okaloosa</t>
  </si>
  <si>
    <t>Crestview Police Department</t>
  </si>
  <si>
    <t>Police had obtained a search warrant for the house in connection to an investigation. When officers went to the house to execute the warrant, gunfire was exchanged.</t>
  </si>
  <si>
    <t>Michael Edward Schmidt</t>
  </si>
  <si>
    <t>http://a.abcnews.com/images/US/ht_michael_edward_schmidt_sr_130103_16x9_992.jpg</t>
  </si>
  <si>
    <t>2728 McKinnon Street</t>
  </si>
  <si>
    <t>75201</t>
  </si>
  <si>
    <t>Schmidt was a prominent attorney who lived in the Glass House at Windsor apartment tower. He called police and reported a burglary, then barricaded himself in a hallway with a gun. When police arrived, he started shooting. Police returned fire, hitting him nine times and killing him. Autopsy revealed large amount of cocaine mixed with other drugs in Schmidt's system.</t>
  </si>
  <si>
    <t>http://crimeblog.dallasnews.com/2014/01/burglary-suspect-shot-killed-in-confrontation-with-police-at-uptown-condos.html/</t>
  </si>
  <si>
    <t>Keith Jason Martin</t>
  </si>
  <si>
    <t>3 miles north of Hondo</t>
  </si>
  <si>
    <t>Hondo</t>
  </si>
  <si>
    <t>78861</t>
  </si>
  <si>
    <t>Medina</t>
  </si>
  <si>
    <t>Martin was shot and killed by a fellow U.S. Border Patrol agent, Adam S. Garibay. Garibay discovered that his wife and Martin had had an affair, assaulted and handcuffed his wife in Corpus Christi, then drove to Hondo to kill Martin. Garibay has been charged with murder.</t>
  </si>
  <si>
    <t>http://www.expressnews.com/news/local/article/Wife-of-accused-border-agent-reveals-love-5112565.php</t>
  </si>
  <si>
    <t>Julias Michael Reese</t>
  </si>
  <si>
    <t>http://www.southernstylefunerals.com/obituaries/Julias-Reece/memorial/picture/main/julias-reece-obituary.jpg</t>
  </si>
  <si>
    <t>West Seven Mile Road and Grand River Avenue</t>
  </si>
  <si>
    <t>Redford Charter Township</t>
  </si>
  <si>
    <t>48240</t>
  </si>
  <si>
    <t>Redford Police Department</t>
  </si>
  <si>
    <t>Reece was suspected of two carjackings in which two people had been shot and injured. When stopped, Reece attempted to flee on foot and was shot by police. Very few details are available about this shooting.</t>
  </si>
  <si>
    <t>http://www.freep.com/article/20140102/NEWS05/301020071/carjacking-suspect-redford-detroit-shot-killed</t>
  </si>
  <si>
    <t>Shane Bridges</t>
  </si>
  <si>
    <t>13650 South 4250 Road</t>
  </si>
  <si>
    <t>74016</t>
  </si>
  <si>
    <t>Mayes</t>
  </si>
  <si>
    <t>Deputy was called to rural location on report of suicidal man. Man was standing on porch with a gun when deputy arrived, and fired at deputy. Deputy returned fire, killing man. Shooting was referred to Oklahoma State Board of Investigation. Results of investigation unknown.</t>
  </si>
  <si>
    <t>http://www.kjrh.com/news/state/mayes-county-deputy-fatally-shoots-man</t>
  </si>
  <si>
    <t>Ricky Junior Toney</t>
  </si>
  <si>
    <t>http://www.wilsontimes.com/assets/10326011/28048230_dioStoryImage.jpg</t>
  </si>
  <si>
    <t>Cheeks Quarter Road and Smith Road</t>
  </si>
  <si>
    <t>27537</t>
  </si>
  <si>
    <t>Authorities shot and killed Toney accused of gunning down his estranged wife and her daughter at their rural Franklin County home.</t>
  </si>
  <si>
    <t>Dontae Daveon Lewis Hayes</t>
  </si>
  <si>
    <t>3860 Van Buren Boulevard</t>
  </si>
  <si>
    <t>92503</t>
  </si>
  <si>
    <t>Officers from the Riverside Police Department Problem Oriented Policing (POP) Team were conducting a pedestrian check on two individuals at Arlington Park. While speaking with these individuals, it was determined that Hayes would be handcuffed because he had a felony warrant for his arrest for receiving stolen property. As one of the officers attempted to make contact with Hayes, he pulled a handgun from the waistband of his pants. The officer shot and killed him.</t>
  </si>
  <si>
    <t>http://blog.pe.com/breaking-news/2013/12/31/riverside-police-tape-off-arlington-park-man-down/</t>
  </si>
  <si>
    <t>James M. Eshelman</t>
  </si>
  <si>
    <t>2000 S Belair Drive</t>
  </si>
  <si>
    <t>Moses Lake</t>
  </si>
  <si>
    <t>98837</t>
  </si>
  <si>
    <t>Moses Lake Police Department</t>
  </si>
  <si>
    <t>Eshelman was shot after officers responded to a disturbance call. He was armed with a large knife when officers contacted him. At some point, the police shot Eshelman who was transported to Samaritan Hospital in Moses Lake where he was pronounced dead.</t>
  </si>
  <si>
    <t>http://www.columbiabasinherald.com/news/article_2204a92e-7273-11e3-9ba8-0019bb2963f4.html</t>
  </si>
  <si>
    <t>Jaspal Singh</t>
  </si>
  <si>
    <t>5200 block San Mateo Drive</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</si>
  <si>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</si>
  <si>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</si>
  <si>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William Jackson</t>
  </si>
  <si>
    <t>http://whtm.images.worldnow.com/images/24327660_BG2.jpg</t>
  </si>
  <si>
    <t>Brensinger Alley and Schuylkill Street</t>
  </si>
  <si>
    <t>Harrisburg</t>
  </si>
  <si>
    <t>17110</t>
  </si>
  <si>
    <t>Harrisburg Police Department</t>
  </si>
  <si>
    <t>Officers were investigating a suspicious vehicle and discovered Jackson inside the truck. He tried to use his truck to hit Harrisburg police officers. They opened fire and killed him.</t>
  </si>
  <si>
    <t>http://fox43.com/2013/12/30/dauphin-da-investigates-harrisburg-police-involved-shooting/#axzz2p10Zpmqa</t>
  </si>
  <si>
    <t>Kendall Alexander</t>
  </si>
  <si>
    <t>http://www.pellerinfuneralhome.com/sitemaker/memsol_data/1825/1205136/1205136_profile_pic.jpg</t>
  </si>
  <si>
    <t>450 East Mills Avenue</t>
  </si>
  <si>
    <t>Breaux Bridge</t>
  </si>
  <si>
    <t>70517</t>
  </si>
  <si>
    <t>St. Martin</t>
  </si>
  <si>
    <t>St. Martin Parish Sheriff's Office</t>
  </si>
  <si>
    <t>Kendall Alexander was a former police officer married to Crystal Alexander, a St. Martin Parish Sheriff's Office deputy. They had a rocky relationship which included several restraining orders against Kendall. In circumstances that remain unclear, Crystal shot and killed Kendall in their apartment. She was off duty at the time. Crystal no longer works at the Sheriff's Office and was indicted on second-degree murder charge in July, 2014. At this writing, September 2014, she is awaiting trial.</t>
  </si>
  <si>
    <t>http://theadvocate.com/home/9576990-125/former-st-martin-deputy-charged</t>
  </si>
  <si>
    <t>Joseph Glenn</t>
  </si>
  <si>
    <t>1315 N Trenton St</t>
  </si>
  <si>
    <t>Ruston Police Departmen</t>
  </si>
  <si>
    <t>Glenn was identified as a suspect in the armed robbery and kidnapping. Officers were responding to a telephone tip when they found him at Hampton Inn. Glenn didn't comply with the officers' commands to show his hands before confronting them with a replica firearm. He was shot and taken to Northern Louisiana Medical Center where he died.</t>
  </si>
  <si>
    <t>http://www.nola.com/crime/index.ssf/2013/12/police_shoot_ruston_armed_robb.html</t>
  </si>
  <si>
    <t>Franklin Jones III</t>
  </si>
  <si>
    <t>West Franklin and South Monroe Street</t>
  </si>
  <si>
    <t>45373</t>
  </si>
  <si>
    <t>Jones allegedly shot Sammy Butler who suffered two gunshot wounds. The initial shooting stemmed from a domestic dispute. Police responded to multiple 911 calls indicating a shooting had occurred in the area. An officer spotted the alleged shooter and that's when gunfire was exchanged between police and Jones.</t>
  </si>
  <si>
    <t>http://www.daytondailynews.com/news/news/crime-law/man-killed-officer-shot-downtown-troy-shootout/ncXdz/</t>
  </si>
  <si>
    <t>Mitchell Allen Street</t>
  </si>
  <si>
    <t>http://bloximages.newyork1.vip.townnews.com/journalpatriot.com/content/tncms/assets/v3/editorial/6/46/64639302-6f2b-11e3-ad73-0019bb30f31a/52bdd3b3db8bb.image.jpg?resize=300%2C400</t>
  </si>
  <si>
    <t>Folger Road</t>
  </si>
  <si>
    <t>Sparta</t>
  </si>
  <si>
    <t>28675</t>
  </si>
  <si>
    <t>Alleghany</t>
  </si>
  <si>
    <t>Alleghany County Sheriff’s Office</t>
  </si>
  <si>
    <t>Police responded to a report of domestic dispute, went to Street's house and saw Street with a high-powered rifle. The officers identified themselves and ordered Street to put down his weapon. He refused and then pointed the gun at the officers who fired in response.</t>
  </si>
  <si>
    <t>http://myfox8.com/2013/12/29/sparta-man-killed-in-officer-involved-shooting/</t>
  </si>
  <si>
    <t>Christopher George</t>
  </si>
  <si>
    <t>http://extras.mnginteractive.com/live/media/site46/2013/1230/20131230__31tcasho-2_300.jpg</t>
  </si>
  <si>
    <t>8309 N. 95th St</t>
  </si>
  <si>
    <t>Longmont</t>
  </si>
  <si>
    <t>80504</t>
  </si>
  <si>
    <t>Christopher George's mother called deputies reporting he had been locked in his room for several days. She told deputies that the man did not have access to weapons. Two deputies arrived about 10 minutes later to speak with him. George pulled a gun during the conversation, and one of the deputies fired multiple shots in response.</t>
  </si>
  <si>
    <t>http://www.denverpost.com/dnc/ci_24808013/boulder-county-deputy-shoots-injures-man-home-near</t>
  </si>
  <si>
    <t>Bethany Lytle</t>
  </si>
  <si>
    <t>800 block Fillmore Street</t>
  </si>
  <si>
    <t>Taft</t>
  </si>
  <si>
    <t>93268</t>
  </si>
  <si>
    <t>Lytle was shot and killed after she failed to drop a dagger. She was threatening Kern County Sheriff's Department deputies. Lytle had an active no bail arrest warrant for a Sheriff’s parole violation. Deputies were sent to her home in response to a call indicating Lytle was brandishing a knife, breaking picture frames and other household items. Deputies found Lytle sitting inside and speaking incoherently.</t>
  </si>
  <si>
    <t>http://www.turnto23.com/news/local-news/police-fatally-shoot-woman-after-threatening-police</t>
  </si>
  <si>
    <t>Somourian Jamal Wingo</t>
  </si>
  <si>
    <t>http://jacksonville.com/sites/default/files/imagecache/story_slideshow_thumb/12946833.jpg</t>
  </si>
  <si>
    <t>South Second Street and Laurel Street</t>
  </si>
  <si>
    <t>Florida Highway Patrol.</t>
  </si>
  <si>
    <t>Trooper Lawrence Andrew Litzell was trying to stop Wingo following a traffic stop and foot chase in Palatka when Wingo fired a .25-caliber handgun at the officer. Litzell fired back, killing Wingo.</t>
  </si>
  <si>
    <t>http://jacksonville.com/news/2013-12-28/story/trooper-involved-shooting-putnam-county-leaves-one-dead</t>
  </si>
  <si>
    <t>Dante Chavful</t>
  </si>
  <si>
    <t>Antoine and Veteran’s Memorial</t>
  </si>
  <si>
    <t>Prairie View Police Department</t>
  </si>
  <si>
    <t>http://www.chron.com/news/houston-texas/houston/article/Authorities-Off-duty-officer-kills-man-who-5099348.php?cmpid=hpbn</t>
  </si>
  <si>
    <t>Mario Edward Garnett</t>
  </si>
  <si>
    <t>3400 W. Thomas Road</t>
  </si>
  <si>
    <t>Officers were involved in a shooting near the scene of a bank robbery. When the first responding officer arrived at the scene, he noticed a peculiarly-parked white vehicle in the branch parking lot. Moments later, a Hispanic male with a bandanna covering his face was seen exiting the building with a bag in one hand and a gun in the other. Following a shoot out, the suspect was killed.</t>
  </si>
  <si>
    <t>http://ktar.com/22/1688035/Phoenix-bank-robber-dead-after-shootout</t>
  </si>
  <si>
    <t>Darrell King</t>
  </si>
  <si>
    <t>http://cdn2.newsok.biz/cache/w300-3a744757c017c66f9ce1508ecc40cf03.jpg</t>
  </si>
  <si>
    <t>200 block NE 2nd street</t>
  </si>
  <si>
    <t>An off-duty Oklahoma Highway Patrol trooper fatally shot a suspected intruder in an apartment in Deep Deuce.</t>
  </si>
  <si>
    <t>Anthony Darnell King</t>
  </si>
  <si>
    <t>200 NE 2nd Street</t>
  </si>
  <si>
    <t>http://www.okcfox.com/story/24316925/police-off-duty-ohp-officer-shoots-intruder</t>
  </si>
  <si>
    <t>John A. Massey</t>
  </si>
  <si>
    <t>2200 block Powers Ferry Road</t>
  </si>
  <si>
    <t>30067</t>
  </si>
  <si>
    <t>Officers initiated an investigation involving a stolen motorcycle parked in the parking lot of an Extended Stay Hotel.During the investigation, officers came into contact with Massey in one of the hotel rooms. A physical altercation began between Massey and officers, and Massey produced a handgun. An officer fired his weapon, killing Massey.</t>
  </si>
  <si>
    <t>http://www.cbsatlanta.com/story/24317007/cobb-pd-investigating-a-fatal-officer-involved-shooting</t>
  </si>
  <si>
    <t>John Lincoln</t>
  </si>
  <si>
    <t>http://kdfw.images.worldnow.com/images/24314137_SA.jpg</t>
  </si>
  <si>
    <t>4100 block Lexington Pkwy</t>
  </si>
  <si>
    <t>Colleyville</t>
  </si>
  <si>
    <t>76034</t>
  </si>
  <si>
    <t>North Richland Hills Police Department</t>
  </si>
  <si>
    <t>Lincoln was shot and killed by police after a several-hour standoff, where he took his own daughter hostage. Lincoln's family claimed he suffered from bipolar disorder, and was "talking crazy" before the shooting.</t>
  </si>
  <si>
    <t>http://www.star-telegram.com/2013/12/27/5445512/man-shot-by-police-during-standoff.html</t>
  </si>
  <si>
    <t>James Torres</t>
  </si>
  <si>
    <t>http://assets.nydailynews.com/polopoly_fs/1.1558782.1388077496!/img/httpImage/image.jpg_gen/derivatives/article_970/article-shot2-1226.jpg?enlarged</t>
  </si>
  <si>
    <t>1985 Davidson Ave</t>
  </si>
  <si>
    <t>10453</t>
  </si>
  <si>
    <t>Police began pursuing Torres after he allegedly robbed a man at an ATM at gunpoint. Torres fled into a nearby apartment building, and was shot after grappling with an officer.</t>
  </si>
  <si>
    <t>http://www.nytimes.com/2013/12/27/nyregion/police-fatally-shoot-an-armed-robbery-suspect-in-the-bronx.html</t>
  </si>
  <si>
    <t>Asa James Dolak</t>
  </si>
  <si>
    <t>http://www.gannett-cdn.com/-mm-/d10f47fef04d3c86b967d71daed78cdf914da83a/c=0-106-300-332&amp;r=x404&amp;c=534x401/local/-/media/USATODAY/test/2013/12/26//1388110196000-asa-dolak.jpg</t>
  </si>
  <si>
    <t>21364 Madrona Ave</t>
  </si>
  <si>
    <t>90503</t>
  </si>
  <si>
    <t>Torrance Police Department</t>
  </si>
  <si>
    <t>Dolak, who had previously set fire to his girlfriend and mother's home, was found in the bathroom of a local middle school holding a knife. After escaping to a school field, Dolak entered into another confrontation with police and was eventually shot and killed.</t>
  </si>
  <si>
    <t>http://www.latimes.com/local/lanow/la-me-ln-torrance-police-fatal-20131226,0,2081122.story#axzz2oe0tGkQ5</t>
  </si>
  <si>
    <t>Steven Keith</t>
  </si>
  <si>
    <t>32355 Old Highway 80</t>
  </si>
  <si>
    <t>Pine Valley</t>
  </si>
  <si>
    <t>91962</t>
  </si>
  <si>
    <t>Within three hours of being taken into custody at a highway checkpoint on drug distribution charges, Keith died of unknown causes in a holding cell on Christmas Day. Reporting describes an on-site paramedic observing seizure-like symptoms and deciding that Keith was faking.</t>
  </si>
  <si>
    <t>http://america.aljazeera.com/articles/2014/3/16/us-border-patrolthoughtdeadmanwasfakingseizurereportsays.html</t>
  </si>
  <si>
    <t>Peyton Cole Barbour</t>
  </si>
  <si>
    <t>http://www.dallasnews.com/incoming/20131226-1487353_3796438445982_1017569710_n.jpg.ece/ALTERNATES/w130h200/1487353_3796438445982_1017569710_n.jpg</t>
  </si>
  <si>
    <t>600 E Seeton Road</t>
  </si>
  <si>
    <t>Grand Prairie</t>
  </si>
  <si>
    <t>75054</t>
  </si>
  <si>
    <t>Grand Prairie Police Department</t>
  </si>
  <si>
    <t>Barbour, a white high school sophomore, was parked in a stolen car early Christmas morning when police attempted to question him. He sped away and after a short chase, ditched the car and fled on foot, firing shots at the officer from a 9 mm Glock stolen in a residential burglary. The officer returned fire. No one was hit. Later that afternoon, police cornered Barbour and pleaded with him to give up. He refused, shooting at and injuring two officers. Police then shot and killed Barbour. The injured police recovered and a grand jury declined to indict the officers involved in the shooting.</t>
  </si>
  <si>
    <t>http://www.nbcdfw.com/news/local/Grand-Prairie-Police-Search-for-Man-Who-Shot-at-Officer-237232591.html</t>
  </si>
  <si>
    <t>Michael Rosales</t>
  </si>
  <si>
    <t>http://kiii.images.worldnow.com/images/24310334_BG2.jpg</t>
  </si>
  <si>
    <t>4100 Herndon Street</t>
  </si>
  <si>
    <t>Corpus Christi</t>
  </si>
  <si>
    <t>78411</t>
  </si>
  <si>
    <t>Nueces</t>
  </si>
  <si>
    <t>Corpus Christi Police Department</t>
  </si>
  <si>
    <t>Rosales allegedly had been drinking heavily on Christmas Eve, and brandishing two handguns, took shots at his girlfriend and other family members. No one was injured. Neighbors called police, and when they arrived, Rosales began firing at them. Police returned fire and killed Rosales. Police video footage confirms police account of this fatal encounter. Police Chief declared shooting justified.</t>
  </si>
  <si>
    <t>http://www.kristv.com/news/police-chief-3-officers-justified-in-christmas-eve-shooting/</t>
  </si>
  <si>
    <t>Lucinda Randolph</t>
  </si>
  <si>
    <t>East Pine Log Road and Collier Street</t>
  </si>
  <si>
    <t>Aiken De­partment of Public Safety</t>
  </si>
  <si>
    <t>http://chronicle.augusta.com/news/crime-courts/2013-12-24/aiken-woman-killed-crash-while-fleeing-authorities</t>
  </si>
  <si>
    <t>William Goodman</t>
  </si>
  <si>
    <t>Bayfront Pkwy and N 17th Ave</t>
  </si>
  <si>
    <t>32502</t>
  </si>
  <si>
    <t>Pensacola Police Department</t>
  </si>
  <si>
    <t>After Goodman was boxed in by police following a high-speed chase, he repeatedly rammed into police vehicles and ran over one officer's leg. An officer fired into Goodman's car, hitting him twice in the chest. Goodman was found to have a BAC over the legal limit, and was facing vehicular manslaughter charges from an earlier incident.</t>
  </si>
  <si>
    <t>http://www.northescambia.com/2013/12/teen-dead-in-officer-involved-shooting</t>
  </si>
  <si>
    <t>Matthew Clowers</t>
  </si>
  <si>
    <t>http://www.bringfuneralhome.com/obituaries/Matthew-Clowers/memorial/picture/main/matthew-clowers-obituary.jpg</t>
  </si>
  <si>
    <t>Arizona 87 and E Alsdorf Road</t>
  </si>
  <si>
    <t>Clowers and an accomplice were being chased by police after allegedly robbing a sex shop, when the two abandoned their vehicle and attempted to flee on foot. Though the sheriff's office initially said gunfire was exchanged before Clowers was killed, but later media reports found that the pair was unarmed and Clowers was shot in the back as he fled.</t>
  </si>
  <si>
    <t>http://www.azcentral.com/story/news/local/pinal/2014/03/14/records-fatal-shooting-deputy-gunbattle/6407201/</t>
  </si>
  <si>
    <t>James Lewis Brown</t>
  </si>
  <si>
    <t>http://wnct.images.worldnow.com/images/3127733_G.jpg</t>
  </si>
  <si>
    <t>4700 Reedy Branch Road</t>
  </si>
  <si>
    <t>Winterville</t>
  </si>
  <si>
    <t>28590</t>
  </si>
  <si>
    <t>Police responding to calls of a suicidal man found Brown on a small bridge on Forlines Road. After the officers approached him, Brown raised his gun, leading the officers to fire at Brown. North Carolina's State Bureau of Investigation found the shooting to be justified.</t>
  </si>
  <si>
    <t>http://www.witn.com/home/headlines/SBI-Investigating-Greenville-Officers-Involved-Shooting-236961671.html</t>
  </si>
  <si>
    <t>Mah-hi-vist Goodblanket</t>
  </si>
  <si>
    <t>http://cdn2.newsok.biz/cache/w300-c_d54215b1cfc3c9f8161866d9138fcd51.jpg</t>
  </si>
  <si>
    <t>10354 North 2200 Road</t>
  </si>
  <si>
    <t>73601</t>
  </si>
  <si>
    <t>Custer</t>
  </si>
  <si>
    <t>Custer County Sheriff's Department</t>
  </si>
  <si>
    <t>The family called emergency services because Mah-hi-vist was suffering an ODD episode. Several police agencies showed up, allegedly did not ask questions of the family, obtain any information, or try to assess the situation as a mental health crisis. Several officers stormed into the house with weapons drawn and fired on Mah-hi-vist, shooting him multiple times.</t>
  </si>
  <si>
    <t>David P. Giliberti</t>
  </si>
  <si>
    <t>http://bloximages.newyork1.vip.townnews.com/lancasteronline.com/content/tncms/assets/v3/editorial/4/25/42512ed0-9e30-11e3-bdce-0017a43b2370/530cb4a858568.image.jpg?resize=300%2C300</t>
  </si>
  <si>
    <t>101 Arrowhead Dr</t>
  </si>
  <si>
    <t>Lititz</t>
  </si>
  <si>
    <t>17543</t>
  </si>
  <si>
    <t>Lititz Borough Police Department</t>
  </si>
  <si>
    <t>An officer responding to a number of 911 calls from Giliberti's grandmother's home found the 22-year-old in the middle of a “psychotic episode," and tasered him to little effect. The officer shot Giliberti six times after he approached the officer with a kitchen knife. The county DA cleared the officer of any wrongdoing.</t>
  </si>
  <si>
    <t>http://lancasteronline.com/news/local/da-lititz-police-officer-justified-in-shooting-man-six-times/article_18696452-9e30-11e3-8138-0017a43b2370.html</t>
  </si>
  <si>
    <t>Sharon Rebecca McDowell</t>
  </si>
  <si>
    <t>http://mediaassets.independentmail.com/photo/2014/03/11/414255_3364055_ver1.0_640_480.JPG</t>
  </si>
  <si>
    <t>West Whitner Street and Appleton Street</t>
  </si>
  <si>
    <t>Anderson Police Department</t>
  </si>
  <si>
    <t>McDowell was shot and killed after officers pursued her car from the site of an alleged shoplifting. After being cornered on a dirt road, McDowell rammed a police car and appeared poised to hit two officers on foot, which is when police opened fire. McDowell was pronounced dead at the scene.</t>
  </si>
  <si>
    <t>http://www.foxcarolina.com/story/24278010/police-shoplifting-suspect-shot-and-killed-in-anderson</t>
  </si>
  <si>
    <t>Andrew Beard</t>
  </si>
  <si>
    <t>9400 block Rue De Bois</t>
  </si>
  <si>
    <t>78254</t>
  </si>
  <si>
    <t>Beard was standing in his mother's backyard and told officers he wanted to be shot by police. During the negotiation with investigators, two SAPD officers shot Beard. Paramedics were called, but Beard died at the scene.</t>
  </si>
  <si>
    <t>Cimarron Lamar Lamb</t>
  </si>
  <si>
    <t>http://media.al.com/montgomery/photo/13967489-small.png</t>
  </si>
  <si>
    <t>2100 16th Ave</t>
  </si>
  <si>
    <t>Phenix City</t>
  </si>
  <si>
    <t>36867</t>
  </si>
  <si>
    <t>Russell</t>
  </si>
  <si>
    <t>Phenix City Police Department</t>
  </si>
  <si>
    <t>Lamb, along with an accomplice, lead police on a brief chase before fleeing on foot after police received reports of an armed robbery. Lamb was found hiding under a vehicle and was shot after refusing to surrender.</t>
  </si>
  <si>
    <t>Duane Slentz</t>
  </si>
  <si>
    <t>http://www.gannett-cdn.com/-mm-/71d804bebdeb5f5d10cf1091e44afd29d7acd550/c=0-141-480-502&amp;r=x404&amp;c=534x401/local/-/media/Indianapolis/Indianapolis/2013/12/19//1387470689000-slentz-duane.jpg</t>
  </si>
  <si>
    <t>3800 S Franklin Rd</t>
  </si>
  <si>
    <t>46239</t>
  </si>
  <si>
    <t>Slentz was initially approached by a park ranger at a local park for smelling like alcohol, but later ran off and lead police on a chase that ended after he crashed his car near his home. Officers fired and killed Slentz after hearing him cock a gun through an open window.</t>
  </si>
  <si>
    <t>Andrew Jackson Carter</t>
  </si>
  <si>
    <t>http://jacksonville.com/sites/default/files/imagecache/premium_415_wide_scale/Andrew%20Jackson%20Carter%20-%20Copy.jpg</t>
  </si>
  <si>
    <t>Hialeah Gardens</t>
  </si>
  <si>
    <t>The vehicle driven by murder suspect Carter was identified by police. He fled as they made an attempted traffic stop, crashed his car in unreported circumstances at an unknown location, and sustained fatal injuries. Details were scarce and police rescinded initial reports of a "police chase".</t>
  </si>
  <si>
    <t>http://jacksonville.com/news/crime/2013-12-17/story/law-disorder-man-wanted-murder-dies-miami-area</t>
  </si>
  <si>
    <t>Kevin Ross</t>
  </si>
  <si>
    <t>http://4.bp.blogspot.com/-3HQJ3hOofTY/UrSmCkfGqdI/AAAAAAAAmBI/XW9pU_LjDXw/s640/chi-evanston-murder-bank-robbery-20131220.jpg</t>
  </si>
  <si>
    <t>Maple &amp; Davis</t>
  </si>
  <si>
    <t>Evanston</t>
  </si>
  <si>
    <t>60201</t>
  </si>
  <si>
    <t>Evanston Police Deparment</t>
  </si>
  <si>
    <t>Police responded to bank robbery, and found a man (Kevin) that matched the description a couple of blocks away from the bank. When the police asked him to drop his gun, he refused and the officers opened fire. An investigation done after the death tied the deceased to a double murder in the same block a few months earlier.</t>
  </si>
  <si>
    <t>http://evanstonroundtable.com/main.asp?FromHome=1&amp;TypeID=1&amp;ArticleID=8107&amp;SectionID=15&amp;SubSectionID=26</t>
  </si>
  <si>
    <t>Darold Vadenheuvel</t>
  </si>
  <si>
    <t>http://newcomernet.com/Photos/76183.jpg</t>
  </si>
  <si>
    <t>1499 Capitol Dr</t>
  </si>
  <si>
    <t>Vadenheuvel's ex-wife called police to report that he was in her apartment complex and had a gun, violating her restraining order. Officers responding to the scene found Vadenheuvel, and shot him after he pulled a gun. The officer was cleared by the county District Attorney in January 2014.</t>
  </si>
  <si>
    <t>http://www.jrn.com/nbc26/news/Officers-Respond-to-Reports-of-a-Shooting-on-Green-Bays-West-Side-236009901.html</t>
  </si>
  <si>
    <t>John Harding</t>
  </si>
  <si>
    <t>http://kpho.images.worldnow.com/images/24246262_BG2.jpg</t>
  </si>
  <si>
    <t>5849 W Northern Ave</t>
  </si>
  <si>
    <t>Deputy Pearce was speeding when he struck Harding's vehicle, killing Harding.</t>
  </si>
  <si>
    <t>http://www.azcentral.com/story/news/local/glendale/2014/03/19/manslaughter-charge-sought-deputy-sheriff/6620967/#</t>
  </si>
  <si>
    <t>Shawnice Osborne</t>
  </si>
  <si>
    <t>South Wilmington Avenue and West Greenleaf Boulevard</t>
  </si>
  <si>
    <t>90220</t>
  </si>
  <si>
    <t>http://articles.latimes.com/2013/dec/16/local/la-me-ln-sheriffs-crash-compton-20131216</t>
  </si>
  <si>
    <t>Victor Rivera</t>
  </si>
  <si>
    <t>94-926 Hiapo St</t>
  </si>
  <si>
    <t>Waipahu</t>
  </si>
  <si>
    <t>96797</t>
  </si>
  <si>
    <t>Officers shot and killed Rivera, who suffered from a mental illness, after he threatened them with a blade attached to a long metal pole. Officers first attempted to taser Rivera and then shot him five times after it was deemed ineffective.</t>
  </si>
  <si>
    <t>http://www.staradvertiser.com/news/breaking/20131214_Police_investigating_fatal_shooting_in_Waipahu.html?id=235862061</t>
  </si>
  <si>
    <t>Sarah Paynter</t>
  </si>
  <si>
    <t>http://www.dailynews.com/apps/pbcsi.dll/storyimage/LA/20150424/NEWS/150429624/AR/0/AR-150429624.jpg&amp;maxh=400&amp;maxw=667</t>
  </si>
  <si>
    <t>East Avenue R and 17th Street East</t>
  </si>
  <si>
    <t>93550</t>
  </si>
  <si>
    <t>A California Highway Patrol review found the deputy "grossly negligent" who sped at 86 MPH, with no lights or siren, into a Palmdale intersection and collided with a Ford Explorer, throwing the two occupants out of the vehicle. Dead were Sarah Paynter and her boyfriend Robert Delgadillo. Charges may yet be filed.</t>
  </si>
  <si>
    <t>http://www.dailynews.com/government-and-politics/20150424/la-county-sheriffs-deputy-involved-in-double-fatality-collision-in-palmdale-grossly-negligent-chp-probe-finds</t>
  </si>
  <si>
    <t>Robert Delgadillo</t>
  </si>
  <si>
    <t>Lawrence Sanchez</t>
  </si>
  <si>
    <t>http://www.chieftain.com/csp/mediapool/sites/dt.common.streams.StreamServer.cls?STREAMOID=wu9znUTMyFrFI0TmeAtGfs$daE2N3K4ZzOUsqbU5sYsFLzcFl2pYCRKg6O8ENWz6WCsjLu883Ygn4B49Lvm9bPe2QeMKQdVeZmXF$9l$4uCZ8QDXhaHEp3rvzXRJFdy0KqPHLoMevcTLo3h8xh70Y6N_U_CryOsw6FTOdKL_jpQ-&amp;CONTENTTYPE=image/jpeg</t>
  </si>
  <si>
    <t>3200 B 1/2 Rd</t>
  </si>
  <si>
    <t>81503</t>
  </si>
  <si>
    <t>Mesa County Sheriff's Office</t>
  </si>
  <si>
    <t>Sanchez, who was wanted for escaping a halfway house at the time of his death, was shot and killed after an hours-long standoff with Mesa County Sheriff's deputies. The county's DA found no wrong-doing on the part of the sheriff's office.</t>
  </si>
  <si>
    <t>http://www.nbc11news.com/home/headlines/Roads-closed-for-police-activity-235875351.html</t>
  </si>
  <si>
    <t>Larry Gilmore</t>
  </si>
  <si>
    <t>Roy D. Rhodes</t>
  </si>
  <si>
    <t>600 Milford Harrington Hwy</t>
  </si>
  <si>
    <t>Milford</t>
  </si>
  <si>
    <t>19963</t>
  </si>
  <si>
    <t>Milford Police Department</t>
  </si>
  <si>
    <t>After a near car-collision, Rhodes and another driver began arguing and fighting when a Milford police officer arrived. Rhodes allegedly pulled a gun from his car, and after ignoring demands to put it down was shot several times by the officer.</t>
  </si>
  <si>
    <t>http://www.milfordbeacon.com/article/20131214/News/131219871</t>
  </si>
  <si>
    <t>Eric M. Anderson</t>
  </si>
  <si>
    <t>http://www.trbimg.com/img-5335c6c8/turbine/chi-131213-gunman-eric-anderson-arlington-heights-photo/600/600x338</t>
  </si>
  <si>
    <t>1900 block N Windham Ct</t>
  </si>
  <si>
    <t>Arlington Heights</t>
  </si>
  <si>
    <t>60004</t>
  </si>
  <si>
    <t>Arlington Heights Police Department</t>
  </si>
  <si>
    <t>Anderson, who had faced previous legal trouble for the harassment of an ex-girlfriend, took the woman hostage in her mother's home and shot an officer during a multi-hour standoff. After leaving the residence, Anderson confronted police officers who shot him multiple times.</t>
  </si>
  <si>
    <t>http://www.chicagotribune.com/news/local/suburbs/arlington_heights/chi-arlington-heights-police-officer-shot-20131212,0,3283722.story</t>
  </si>
  <si>
    <t>Ricky Taylor</t>
  </si>
  <si>
    <t>http://fnetobits.memorialobituaries.com/galleries/geschefh/1323105/717182.jpg</t>
  </si>
  <si>
    <t>1009 Grand Ave</t>
  </si>
  <si>
    <t>Neillsville</t>
  </si>
  <si>
    <t>54456</t>
  </si>
  <si>
    <t>Clark County Sheriff’s Office</t>
  </si>
  <si>
    <t>Taylor's mother initially called police to help defuse a domestic situation, as Taylor had been drinking. An officer fired and killed Taylor after the 23-year-old refused to put down a knife he had pointed at the officer. The Clark County District Attorney found that the officer's use of force was justified, though "regrettable."</t>
  </si>
  <si>
    <t>http://www.weau.com/home/headlines/Person-killed-in-officer-involved-shooting-in-Neillsville-235749741.html</t>
  </si>
  <si>
    <t>Gregory Bendas</t>
  </si>
  <si>
    <t>https://fbcdn-sphotos-c-a.akamaihd.net/hphotos-ak-xaf1/v/t1.0-9/302513_102223163220384_1460178054_n.jpg?oh=10f37a4277c1f8813c47d603b64ea80b&amp;oe=5584C685&amp;__gda__=1434502228_cf899423ad0a11a9ff70a3fe342ac3b2</t>
  </si>
  <si>
    <t>3 Butternut Dr.</t>
  </si>
  <si>
    <t>Farmington</t>
  </si>
  <si>
    <t>06085</t>
  </si>
  <si>
    <t>Farmington Police Department</t>
  </si>
  <si>
    <t>Police responding to reports of a domestic dispute arrived to find Bendas standing in the street, holding a handgun. After failing to drop the weapon, officers fired on Bendas, who was pronounced dead at the scene.</t>
  </si>
  <si>
    <t>http://www.boston.com/news/local/connecticut/2013/12/13/man-fatally-wounded-connecticut-police-shooting/FWM0XEe78aWFN0HyWUPjlL/story.html</t>
  </si>
  <si>
    <t>Brian Newt Beaird</t>
  </si>
  <si>
    <t>http://www.trbimg.com/img-53f581cd/turbine/la-1661176-me-1220-corvette-driver-lapd-003-ik-jpg-20140820/550/550x309</t>
  </si>
  <si>
    <t>198 E Olympic Blvd</t>
  </si>
  <si>
    <t>90015</t>
  </si>
  <si>
    <t>Beaird, a National Guard veteran, was pursued by LAPD and other officers during a lengthy high-speed chase that ended in a collision near downtown Los Angeles. The unarmed Beaird stumbled out of the car and was later shot by pursuing officers. Beaird's family won a $5 million civil suit against the city for Beaird's death.</t>
  </si>
  <si>
    <t>Insufficient Evidence</t>
  </si>
  <si>
    <t>http://www.latimes.com/local/crime/la-me-0821-lapd-shooting-settlement-20140821-story.html#page=1</t>
  </si>
  <si>
    <t>Kenneth R. Herring</t>
  </si>
  <si>
    <t>http://wcmh.images.worldnow.com/images/24199897_BG2.jpg</t>
  </si>
  <si>
    <t>700 block S 17th St</t>
  </si>
  <si>
    <t>43206</t>
  </si>
  <si>
    <t>Columbus Division of Police</t>
  </si>
  <si>
    <t>After shooting his girlfriend in the mouth, Herring fled the scene and was later found by five plainclothes officers. Dixon was shot multiple times and pronounced dead on the scene. The five officers were cleared of any wrongdoing by a Franklin County grand jury in April 2014.</t>
  </si>
  <si>
    <t>http://www.nbc4i.com/story/24199897/assault-suspect-killed-in-officer-involved-shooting</t>
  </si>
  <si>
    <t>John Knudsen</t>
  </si>
  <si>
    <t>http://www.pressherald.com/wp-content/uploads/2013/12/20131214_976446.xml-20131213Shooting_2+2.jpg</t>
  </si>
  <si>
    <t>33 Little Falls Rd</t>
  </si>
  <si>
    <t>Hollis</t>
  </si>
  <si>
    <t>04042</t>
  </si>
  <si>
    <t>Knudsen, who suffered from alcohol addiction, was shot after briefly exchanging gunfire with officers responding to a domestic dispute. Maine's Attorney General found the use of force was justified.</t>
  </si>
  <si>
    <t>http://www.pressherald.com/2014/04/01/maine_ag__deadly_force_justified_in_fatal_shooting_of_hollis_man/</t>
  </si>
  <si>
    <t>Robert Jeffrey Harris</t>
  </si>
  <si>
    <t>410 Valley Mall Pkwy</t>
  </si>
  <si>
    <t>Wenatchee</t>
  </si>
  <si>
    <t>98802</t>
  </si>
  <si>
    <t>Wenatchee Police Department</t>
  </si>
  <si>
    <t>In what police described as an undercover drug deal gone bad, police shot and killed Harris after he hit an officer with his vehicle and began dragging him around a Taco Bell parking lot. Harris was a former informant, and the officer who shot him was cleared of any wrongdoing in June 2014.</t>
  </si>
  <si>
    <t>http://blogs.seattletimes.com/today/2014/06/wenatchee-police-officer-cleared-in-fatal-shooting/</t>
  </si>
  <si>
    <t>Bill Livezey</t>
  </si>
  <si>
    <t>http://cbsdallas.files.wordpress.com/2013/12/bill-livezey.jpg?w=620&amp;h=349&amp;crop=1</t>
  </si>
  <si>
    <t>198 State Highway 31 W</t>
  </si>
  <si>
    <t>Kerens</t>
  </si>
  <si>
    <t>75144</t>
  </si>
  <si>
    <t>Navarro</t>
  </si>
  <si>
    <t>Malakoff Police Department</t>
  </si>
  <si>
    <t>An off-duty police officer from Malakoff pulled Livezey over after a bout of road rage. Livezey began complaining of heart problems as sheriff's deputies arrived, and later died in a local hospital. The off-duty officer was indicted on several charges, and the trial is ongoing.</t>
  </si>
  <si>
    <t>http://dfw.cbslocal.com/2013/12/24/claims-of-road-rage-between-off-duty-officer-man-who-died/</t>
  </si>
  <si>
    <t>Krystal Marie Barrows</t>
  </si>
  <si>
    <t>http://cdn01.dailycaller.com/wp-content/uploads/2013/12/Krystal-Barrows.jpg</t>
  </si>
  <si>
    <t>467 Rt. 23 South</t>
  </si>
  <si>
    <t>Chillicothe</t>
  </si>
  <si>
    <t>45690</t>
  </si>
  <si>
    <t>Ross County Sheriff's Department</t>
  </si>
  <si>
    <t>During a drug task force raid on a trailer near Chillicothe, Ohio, police detonated a flash-bang grenade then entered the residence to find Krystal Barrows on a couch with a fatal gunshot wound in the head. The shot came from the rifle of Sgt. Brett McKnight, reportedly unaware his weapon had discharged. McKnight was put on leave. The county police refused to release an incident report, in defiance of rulings from the state supreme court. Barrows had no criminal history and was the mother of three small children.</t>
  </si>
  <si>
    <t>http://www.dispatch.com/content/stories/local/2013/12/13/woman-accidentally-shot-by-ross-county-deputies-in-raid.html</t>
  </si>
  <si>
    <t>Rodney Stevens</t>
  </si>
  <si>
    <t>http://media.cmgdigital.com/shared/img/photos/2014/02/27/55/8e/a9d068d1-bbc2-4c3d-b44e-6cc6a6920cb3_1</t>
  </si>
  <si>
    <t>385 Katnack Road</t>
  </si>
  <si>
    <t>32095</t>
  </si>
  <si>
    <t>St. John's County Sheriff's Department</t>
  </si>
  <si>
    <t>Stevens, who had a number of outstanding warrants, told family members that he wouldn't turn himself in. After police responded to his home on a call of a domestic disturbance, Stevens refused to drop his gun and was shot by police.</t>
  </si>
  <si>
    <t>http://www.actionnewsjax.com/news/news/man-killed-by-st-johns-county-deputies-identifie-1/ndyLC/</t>
  </si>
  <si>
    <t>Corsini Valdes</t>
  </si>
  <si>
    <t>http://cbsmiami.files.wordpress.com/2013/12/valdes-mug.jpg</t>
  </si>
  <si>
    <t>NW 27th Ave and 65th St.</t>
  </si>
  <si>
    <t>Adrian Montesano's attempted robbery of a Walgreen's turned into a multi-hour manhunt with numerous officers injured before ending in a fatal shootout. Montesano and Corsini Valdes, Valdes blameless and both unarmed, were hit dozens of times as around 23 police officers fired hundreds of rounds into the car.</t>
  </si>
  <si>
    <t>http://miami.cbslocal.com/2014/05/06/police-shooting-frenzy-raises-concerns/</t>
  </si>
  <si>
    <t>Adrian Montesano</t>
  </si>
  <si>
    <t>http://i.dailymail.co.uk/i/pix/2013/12/11/article-2521664-1A03904800000578-615_306x429.jpg</t>
  </si>
  <si>
    <t>Montesano's attempted robbery of a Walgreen's turned into a multi-hour manhunt with numerous officers injured before ending in a fatal shootout. Montesano and Corsini Valdes, who were both unarmed, were hit dozens of times as around 23 police officers fired hundreds of rounds into the car.</t>
  </si>
  <si>
    <t>William A. Shirlaw</t>
  </si>
  <si>
    <t>http://openpasts.com/photo/william-shirlaw/pasco-florida/052813274856</t>
  </si>
  <si>
    <t>7631 US-19</t>
  </si>
  <si>
    <t>34652</t>
  </si>
  <si>
    <t>New Port Richey Police Department</t>
  </si>
  <si>
    <t>On December 10 Shirlaw, dressed in shorts and no shirt, and with a history of bipolar disorder and schizophrenia, argued with and then punched a pedestrian in the street. Afterwards he entered a hotel lobby, where police found him. To control the unarmed but violent Shirlaw, officers placed a stun gun on his neck. Shirlaw collapsed, was taken to a local hospital, and was taken off life support 10 days later.</t>
  </si>
  <si>
    <t>Brandon Marshall</t>
  </si>
  <si>
    <t>http://extras.mnginteractive.com/live/media/site568/2014/0911/20140911__brandonmarshall~1.JPG</t>
  </si>
  <si>
    <t>12980 Saratoga Ave</t>
  </si>
  <si>
    <t>95070</t>
  </si>
  <si>
    <t>While leaving his workplace Marshall, with a history of mental illness and some notoriety as a Silicon Valley whistleblower, ingested medication at a furious pace and began to act erratically. Two deputies approached him from behind. His reaction was to twirl and brandish an object that police described as a "5-1/2 inch metal spike" and others describe as a short, rounded aluminum key fob. Fearing for her life, one of the deputies fatally shot Marshall in the stomach. His family has filed a wrongful-death suit.</t>
  </si>
  <si>
    <t>http://www.mercurynews.com/scott-herhold/ci_26513302/strange-sad-history-brandon-marshall</t>
  </si>
  <si>
    <t>Paul Slimick</t>
  </si>
  <si>
    <t>https://www.youtube.com/watch?v=sa5xpCIqZOo</t>
  </si>
  <si>
    <t>200 block E Patty Ln</t>
  </si>
  <si>
    <t>Monroeville</t>
  </si>
  <si>
    <t>15146</t>
  </si>
  <si>
    <t>Monroeville Police Department</t>
  </si>
  <si>
    <t>Officers responding to reports of a home invasion found Slimick leaving the home and armed with a handgun. Police and Slimick exchanged gunfire, and a wounded Slimick allegedly took his own life shortly after.</t>
  </si>
  <si>
    <t>http://www.wpxi.com/news/news/man-shot-killed-police-during-home-invasion-monroe/ncGjb/</t>
  </si>
  <si>
    <t>Jared Brown-Garnham</t>
  </si>
  <si>
    <t>http://media.masslive.com/breakingnews/photo/2013/12/13918428-small.jpg</t>
  </si>
  <si>
    <t>Lindbergh Drive</t>
  </si>
  <si>
    <t>Moon</t>
  </si>
  <si>
    <t>15108</t>
  </si>
  <si>
    <t>Garnham kidnapped his baby. He plowed his car through a police barricade. He threatened himself and his baby with a knife; an officer fired at him and he died.</t>
  </si>
  <si>
    <t>http://www.post-gazette.com/breaking/2013/12/08/Suspect-in-child-abduction-shot-by-police/stories/201312080193</t>
  </si>
  <si>
    <t>Jesus Valdes</t>
  </si>
  <si>
    <t>11755 S.W. 18th Street</t>
  </si>
  <si>
    <t>33175</t>
  </si>
  <si>
    <t>Police responded to a domestic disturbance involving a gun. Two victims escaped from the apartment, one of them with a gunshot wound, while Valdes opened fire on the officers and barricaded himself in. He was killed in the ensuing exchange of fire and raid of the SWAT-like Special Response Team.</t>
  </si>
  <si>
    <t>Ruben Pupo</t>
  </si>
  <si>
    <t>http://www.sheriffleefl.org/main/index.php?r=mug/jailDsiPhoto&amp;id=976778</t>
  </si>
  <si>
    <t>5325 NE 2nd Ave</t>
  </si>
  <si>
    <t>33137</t>
  </si>
  <si>
    <t>A Miami Police Officer attempting to break up a dispute between a security guard and barbershop employee shot and killed the guard after he shot the barbershop worker.</t>
  </si>
  <si>
    <t>http://www.nbcmiami.com/news/local/Security-Guards-Guns-256618341.html</t>
  </si>
  <si>
    <t>Andy Snider</t>
  </si>
  <si>
    <t>http://www.koat.com/image/view/-/23390672/highRes/5/-/maxw/620/-/m1rwugz/-/img-Man-Dead-After-Officer-Involved-Shooting.jpg</t>
  </si>
  <si>
    <t>Gold Ave SE &amp; Mesa St SE</t>
  </si>
  <si>
    <t>87106</t>
  </si>
  <si>
    <t>Officer Hector Marquez shot and killed 37-year-old Andy Snider, who was armed with a hammer, after officers responded to an assault call at the 7-Eleven on University and Central.</t>
  </si>
  <si>
    <t>Milton Olin Jr</t>
  </si>
  <si>
    <t>http://truthfrequencyradio.com/wp-content/uploads/2013/12/napster10n-8-web.jpg</t>
  </si>
  <si>
    <t>22400 Mulholland Hwy</t>
  </si>
  <si>
    <t>Topanga</t>
  </si>
  <si>
    <t>90290</t>
  </si>
  <si>
    <t>Olin, a former Napster executive and well-known entertainment attorney, was biking along Mulholland Highway when a Los Angeles County sheriff's deputy, who was texting another officer, struck him from behind with his patrol car. Olin was pronounced dead on the scene, and the deputy avoided charges due to a California law exempting law enforcement from the prohibition on using cellphones while driving.</t>
  </si>
  <si>
    <t>http://www.dailynews.com/general-news/20140827/in-calabasas-death-of-cyclist-milton-olin-no-charges-against-typing-deputy</t>
  </si>
  <si>
    <t>Darryl Dookhran</t>
  </si>
  <si>
    <t>http://blackstonian.com/info/wp-content/uploads/2013/06/dookhran.jpg</t>
  </si>
  <si>
    <t>Geneva Avenue and Westville Street</t>
  </si>
  <si>
    <t>02124</t>
  </si>
  <si>
    <t>Dookhran, with a significant criminal record, was one of two people detained by "two plainclothes officers of a youth violence strike force". According to police Dookhran turned and ran, then pulled out a semi-automatic weapon and fired at officers, wounding one in the arm. Officers returned fire and shot him dead.</t>
  </si>
  <si>
    <t>http://www.bostonglobe.com/metro/2013/12/09/man-shot-dead-police-identified-having-lengthy-record-gun-charges-accomplice-face-assault-and-battery-charges/lqCkU3vlWlSH0XXhBZEWQM/story.html</t>
  </si>
  <si>
    <t>D’Angelo Davis</t>
  </si>
  <si>
    <t>230 Andover Park E</t>
  </si>
  <si>
    <t>Tukwila</t>
  </si>
  <si>
    <t>98188</t>
  </si>
  <si>
    <t>Tukwila Police Department</t>
  </si>
  <si>
    <t>Davis was allegedly robbing a grocery store when officers responded and surrounded the store. After emerging from the store, Davis exchanged gunfire with police before being shot and killed.</t>
  </si>
  <si>
    <t>http://www.komonews.com/news/local/Takeover-Style-Robbery-Suspect-Killed-234931771.html</t>
  </si>
  <si>
    <t>Patrick Unger</t>
  </si>
  <si>
    <t>Flamingo Road and Boulder Highway</t>
  </si>
  <si>
    <t>http://www.8newsnow.com/story/24162836/father-of-police-shooting-victims-speaks-out</t>
  </si>
  <si>
    <t>Patrick Heki</t>
  </si>
  <si>
    <t>http://klas.images.worldnow.com/images/24162836_BG1.jpg</t>
  </si>
  <si>
    <t>3950 Mountain Vista St</t>
  </si>
  <si>
    <t>89121</t>
  </si>
  <si>
    <t>Metro Police Department</t>
  </si>
  <si>
    <t>Heki was firing a shotgun and police officers fired many rounds killing Heki.</t>
  </si>
  <si>
    <t>Isaac Lankisch</t>
  </si>
  <si>
    <t>http://media.azfamily.com/images/12-7-13-ISAAC-LANKISCH-AZ-DOC.JPG.JPG</t>
  </si>
  <si>
    <t>2500 S 27th Ave</t>
  </si>
  <si>
    <t>85009</t>
  </si>
  <si>
    <t>Lankisch approached officers with an axe in an aggressive manner - he was subsequently shot and died.</t>
  </si>
  <si>
    <t>http://www.azcentral.com/community/phoenix/articles/20131207phoenix-police-shoot-man-throws-ax-dies-officers-arizona-brk.html</t>
  </si>
  <si>
    <t>Robert Cameron Redus</t>
  </si>
  <si>
    <t>101 Arcadia Place</t>
  </si>
  <si>
    <t>78209</t>
  </si>
  <si>
    <t>http://media2.s-nbcnews.com/j/streams/2013/December/131211/2D9900349-today-redus-131211-04.blocks_desktop_small.jpg</t>
  </si>
  <si>
    <t>Alamo Heights</t>
  </si>
  <si>
    <t>University of the Incarnate Word Campus Police Department</t>
  </si>
  <si>
    <t>George D. Reynolds</t>
  </si>
  <si>
    <t>1600 block S Swope Dr</t>
  </si>
  <si>
    <t>64057</t>
  </si>
  <si>
    <t>Officers responding to a domestic dispute entered a home to find Reynolds emerging from a back bedroom and holding a handgun. After Reynolds ignored demands to drop his weapon, officers opened fire on Reynolds, who died at the scene.</t>
  </si>
  <si>
    <t>http://www.kshb.com/dpp/news/region_missouri/independence/independence-police-shoot-injure-suspect</t>
  </si>
  <si>
    <t>Robert Craig Perry</t>
  </si>
  <si>
    <t>Alpine Ave &amp; Interstate 5</t>
  </si>
  <si>
    <t>Perry lead officers on a high speed chase. He blew a tire and officers approached Perry, who had a knife. An officers shot him to death.</t>
  </si>
  <si>
    <t>http://www.kcra.com/news/local-news/news-stockton/officerinvolved-shooting-closes-i5-in-stockton/23302392</t>
  </si>
  <si>
    <t>Ananias Shaw</t>
  </si>
  <si>
    <t>1208 Broad St.</t>
  </si>
  <si>
    <t>Selma</t>
  </si>
  <si>
    <t>36701</t>
  </si>
  <si>
    <t>Selma Police Department</t>
  </si>
  <si>
    <t>Officers responding to a disturbance call found Shaw in a nearby abandoned building. A responding officer fired and killed Shaw after he allegedly produced a hatchet and charged the officers.</t>
  </si>
  <si>
    <t>http://www.selmatimesjournal.com/2013/12/05/rules-for-firearms-set-in-stone-stone/</t>
  </si>
  <si>
    <t>Dixon Rodriguez</t>
  </si>
  <si>
    <t>http://media.nj.com/middlesex_impact/photo/rodriguezjpeg-1d2c41fbdc4d58ed.jpeg</t>
  </si>
  <si>
    <t>207 Hall Ave</t>
  </si>
  <si>
    <t>Perth Amboy</t>
  </si>
  <si>
    <t>08861</t>
  </si>
  <si>
    <t>Perth Amboy Police Department</t>
  </si>
  <si>
    <t>Rodriguez attacked officers with a knife and was shot and killed.</t>
  </si>
  <si>
    <t>http://7online.com/archive/9348752/</t>
  </si>
  <si>
    <t>Darius Jamal Murphy</t>
  </si>
  <si>
    <t>1300 block Queen St NE</t>
  </si>
  <si>
    <t>20002</t>
  </si>
  <si>
    <t>Gun Recovery Unit were investigating a shooting the previous night, they approached Murphy, who ran from them. Officers chased Murphy, who pulled a handgun and fired at them, striking one. That officer returned fire, striking Murphy.</t>
  </si>
  <si>
    <t>http://www.nbcwashington.com/news/local/Officer-Suspect-Shot-in-Northeast-DC--234336291.html</t>
  </si>
  <si>
    <t>Steven Jon Vogel</t>
  </si>
  <si>
    <t>http://blogs.desmoinesregister.com/dmr/wp-content/uploads/2013/12/steven-vogel.jpg</t>
  </si>
  <si>
    <t>1000 block Creston Avenue</t>
  </si>
  <si>
    <t>Vogel was firing rounds off at cars and houses. Officers ultimately shot and killed him.</t>
  </si>
  <si>
    <t>http://www.kcci.com/news/central-iowa/witnesses-describe-shooting-on-creston-avenue/23298402</t>
  </si>
  <si>
    <t>Emmett Stanley Martin</t>
  </si>
  <si>
    <t>http://cdn2.newsok.biz/cache/w300-c_07a9c89d7f8876402c74c7d3378d1818.jpg</t>
  </si>
  <si>
    <t>201 N Shartel Ave</t>
  </si>
  <si>
    <t>Oklahoma County Sheriff's Office</t>
  </si>
  <si>
    <t>Emmett Stanley Martin, 53, was not accused of any crime. He just owed money to an attorney. Six days later, Martin died in a jail cell from massive internal bleeding, after being subdued by guards.</t>
  </si>
  <si>
    <t>http://newsok.com/former-oklahoma-county-sheriffs-lieutenant-charged-with-manslaughter-in-inmates-death/article/4901856</t>
  </si>
  <si>
    <t>Jonathan D. Rodgers</t>
  </si>
  <si>
    <t>http://www.dispatch.com/content/graphics/2013/12/03/charlie-bear-art-gj1ptlqi-1charlie-bear-jpg.jpg?__scale=w:200,h:248,t:1</t>
  </si>
  <si>
    <t>2885 Olentangy River Road</t>
  </si>
  <si>
    <t>Rodgers got in altercation with unidentified man at night club around 2 a.m. He went to the parking lot retrieved a handgun from his car then shot at man as he exited night club. Two police officers on special duty at the night club confronted Rodgers and shot him multiple times. Grand Jury found shooting was justified.</t>
  </si>
  <si>
    <t>http://www.dispatch.com/content/stories/local/2013/12/03/man-fatally-shot-outside-nightclub.html</t>
  </si>
  <si>
    <t>Scott Mitchell</t>
  </si>
  <si>
    <t>5200 block N. Crowley Lane</t>
  </si>
  <si>
    <t>Pima County Sheriff's Department</t>
  </si>
  <si>
    <t>Mitchell barricaded himself in his home. He was firing his gun towards SWAT. SGT. Derek Tyra fired back, killing Mitchell.</t>
  </si>
  <si>
    <t>http://www.kvoa.com/news/pcsd-investigating-deadly-officer-involved-shooting/</t>
  </si>
  <si>
    <t>David Greenwood</t>
  </si>
  <si>
    <t>http://www.gannett-cdn.com/-mm-/420876448aa6b13f7ad08e439c0c510aac339f32/c=0-100-300-326&amp;r=x404&amp;c=534x401/local/-/media/WBIR/WBIR/2013/12/03//1386086168000-david-greenwood.jpg</t>
  </si>
  <si>
    <t>800 block Highway 411</t>
  </si>
  <si>
    <t>Etowah</t>
  </si>
  <si>
    <t>37331</t>
  </si>
  <si>
    <t>McMinn</t>
  </si>
  <si>
    <t>Etowah Police Department</t>
  </si>
  <si>
    <t>Police pulled Greenwood's car over for a traffic violation. He fled the scene, hitting a cruiser. Shortly after, he exited the vehicle with a gun and was shot to death. He was a person of interest for a recent house fire which killed his girlfriend. It's not clear if the officers were aware of this connection at the time of the shooting.</t>
  </si>
  <si>
    <t>http://www.wbir.com/story/news/local/mcminn-monroe/2013/12/02/officer-involved-in-etowah-traffic-stop-shooting/3823291/</t>
  </si>
  <si>
    <t>Elizabeth Arellano Renteria</t>
  </si>
  <si>
    <t>http://www.wpbf.com/image/view/-/28239988/highRes/2/-/maxh/480/maxw/640/-/md4i4l/-/crash-victims-Elizabeth-Arellano-and-Hilda-Medrano-jpg.jpg</t>
  </si>
  <si>
    <t>401 Northeast Park Street</t>
  </si>
  <si>
    <t>Okeechobee</t>
  </si>
  <si>
    <t>34972</t>
  </si>
  <si>
    <t>Okeechobee County Sheriff's Office</t>
  </si>
  <si>
    <t>Elizabeth Arellano Renteria and Hilda Medrano, both 21, were turning into a McDonald's off State Road 70 when an Okeechobee County sheriff’s deputy hit their vehicle. Florida Highway Patrol investigators found the deputy was driving close to 90 mph at the moment of impact.</t>
  </si>
  <si>
    <t>At Fault; No Charges</t>
  </si>
  <si>
    <t>http://www.wpbf.com/news/deputy-found-at-fault-in-fatal-crash/28229774#ixzz3ELRecp1L</t>
  </si>
  <si>
    <t>Hilda Medrano</t>
  </si>
  <si>
    <t>Joshua D. Ford</t>
  </si>
  <si>
    <t>http://cmsimg.news-leader.com/apps/pbcsi.dll/bilde?Site=DO&amp;Date=20131202&amp;Category=NEWS01&amp;ArtNo=312020056&amp;Ref=AR&amp;MaxW=640&amp;Border=0&amp;Man-shot-killed-by-Greene-County-deputies-identified</t>
  </si>
  <si>
    <t>1700 block Farm Road 45</t>
  </si>
  <si>
    <t>Bois D’Arc</t>
  </si>
  <si>
    <t>65612</t>
  </si>
  <si>
    <t>Greene County Sheriff's Office</t>
  </si>
  <si>
    <t>Police responded to a man with a weapon outside a residence. Ford's hands were covered by a shirt, and he positioned his arms as if ready to shoot the officers, and told them he would. After several verbal warnings, he was shot and later died at a hospital. He was unarmed.</t>
  </si>
  <si>
    <t>http://www.news-leader.com/article/20140103/NEWS12/301030037/Greene-County-sheriff-deputy-fatal-shooting?odyssey=nav%7Chead</t>
  </si>
  <si>
    <t>Anthony Bruno</t>
  </si>
  <si>
    <t>http://localtvwdaf.files.wordpress.com/2013/12/hubbardweb.jpg</t>
  </si>
  <si>
    <t>Baltimore Ave. and 12th St.</t>
  </si>
  <si>
    <t>64105</t>
  </si>
  <si>
    <t>http://www.kansascity.com/news/local/article340116/Case-file-describes-the-moments-before-police-officer-fatally-shot-newlywed-firefighter-in-downtown-KC.html</t>
  </si>
  <si>
    <t>Lorenzo Cesar Aguilar</t>
  </si>
  <si>
    <t>700 East Alosta Avenue</t>
  </si>
  <si>
    <t>Asuza Police Department</t>
  </si>
  <si>
    <t>Azusa Police Department officers tried to pull over a person suspected of drunk driving. The driver, later identified as Aguilar, didn’t stop the car, and “evaded officers for a brief time.” Officers were able to find the car again and the driver stopped. Right after Aguilar pulled over, he exited the car, allegedly armed with a handgun and began to walk away from the officers. Aguilar allegedly “failed to comply with orders,” and turned toward the officers with the gun in hand, at which time, they shot and killed him.</t>
  </si>
  <si>
    <t>http://homicide.latimes.com/post/lorenzo-cesar-aguilar/</t>
  </si>
  <si>
    <t>Jerry Paul Stovall III</t>
  </si>
  <si>
    <t>http://images.texas.ynn.com/media/2013/12/2/images/ENLARGE_01JerryStovall.jpg</t>
  </si>
  <si>
    <t>Interstate 35</t>
  </si>
  <si>
    <t>Kyle</t>
  </si>
  <si>
    <t>78610</t>
  </si>
  <si>
    <t>Hays</t>
  </si>
  <si>
    <t>Hays County SWAT</t>
  </si>
  <si>
    <t>Police said Stovall kidnapped his ex-girlfriend at her job in Bulverde early Friday morning. He then stole a police car and led several law enforcement agencies on a lengthy pursuit through Comal and Hays counties. The car came to stop about 10 miles away near the Caldwell County line. Stovall threatened to kill his hostage and aimed his weapon at officers, prompting two of the SWAT members—both officers with the San Marcos Police Department—to fire one shot each, killing him.</t>
  </si>
  <si>
    <t>http://austin.twcnews.com/content/news/296449/dps-identifies-man-killed-by-hays-county-swat-team</t>
  </si>
  <si>
    <t>Leonid Kalyuzhnyy</t>
  </si>
  <si>
    <t>109 23rd Avenue East</t>
  </si>
  <si>
    <t>Police responded to a 911 call on a man with a gun at an apartment complex. Kalyuzhnyy reportedly pointed and fired his rifle at police from an upstairs window. Officer Brad Devore fired back, killing him.</t>
  </si>
  <si>
    <t>http://blogs.seattletimes.com/today/2014/03/inquest-ordered-into-fatal-seattle-police-shooting/</t>
  </si>
  <si>
    <t>Shiateria Wimbash</t>
  </si>
  <si>
    <t>N. Ohio Avenue and Spruce Street</t>
  </si>
  <si>
    <t>Suwannee</t>
  </si>
  <si>
    <t>Suwannee County Sheriff's Office</t>
  </si>
  <si>
    <t>http://jacksonville.com/breaking-news/2013-11-29/story/three-die-live-oak-accident-while-fleeing-deputies</t>
  </si>
  <si>
    <t>Patrelle J. Stokes</t>
  </si>
  <si>
    <t>816 Ohio Ave. N</t>
  </si>
  <si>
    <t>32064</t>
  </si>
  <si>
    <t>Just before 1 a.m. Thanksgiving morning four young people had been chased away from a local McDonalds for harassing patrons, and fled with police in pursuit. Driver Lonnie Freeman lost control of their vehicle and crashed into a building. Freeman and Patrelle Stokes died at the scene, Shiatera Wimbash died in the hospital, and the fourth person was in serious condition.</t>
  </si>
  <si>
    <t>Lonnie Lavern Freeman</t>
  </si>
  <si>
    <t>http://www.suwanneesheriff.com/Images/Jail/130000291.jpg</t>
  </si>
  <si>
    <t>815 Ohio Ave. N</t>
  </si>
  <si>
    <t>Albert Manuel Vasquez</t>
  </si>
  <si>
    <t>http://extras.mnginteractive.com/live/media/site568/2013/1203/20131203__1204oisfolo~1.JPG</t>
  </si>
  <si>
    <t>700 block Kirk Glen Dr</t>
  </si>
  <si>
    <t>95133</t>
  </si>
  <si>
    <t>Police allege that Vasquez stabbed three people and then carjacked a van. Officer Kevin Peters states that he spotted and pursued the van into a cul-de-sac, and that after he blocked the van, Vasquez rammed his vehicle. Peters shot and killed him.</t>
  </si>
  <si>
    <t>http://www.mercurynews.com/crime-courts/ci_24646201/san-jose-authorities-identify-man-killed-by-police</t>
  </si>
  <si>
    <t>Scott Alan Pfeffer</t>
  </si>
  <si>
    <t>http://www.cremationsocietyofco.com/wp-content/uploads/obits/1320395/714969.jpg</t>
  </si>
  <si>
    <t>1323 Monroe St</t>
  </si>
  <si>
    <t>Deputies Tim Phillips and Andrew McCormick responded to a 911 call about a man who had been "acting weird" with a gun outside a bar. They report they arrived and saw Pfeffer pointing a shotgun at the bar door and that he ignored their commands to drop his weapon. Pfeffer walked away from them, and when he turned or spun around, they fired multiple shots, hitting him in the back and leg.</t>
  </si>
  <si>
    <t>http://www.da18.org/Portals/0/Users/001/01/11-28-13%201323%20North%20Monroe%20St.,%20Strasburg,%20CO.pdf</t>
  </si>
  <si>
    <t>Troy D. Harden</t>
  </si>
  <si>
    <t>http://media.theindychannel.com/photo/2013/11/29/Troy_Harden_1385742915175_1381182_ver1.0_640_480.jpg</t>
  </si>
  <si>
    <t>Annandale Dr</t>
  </si>
  <si>
    <t>47448</t>
  </si>
  <si>
    <t>Brown County Sheriff's Department</t>
  </si>
  <si>
    <t>Indiana State Police released details on the shooting Monday night. ISP said authorities entered the home in which Harden lived and found him there. Officers on the scene said he resisted arrest and told them to "kill him." They said they then saw he had a black handgun in his possession, at which point a stun gun was deployed, but Harden escaped through a window.officers chased him through nearby woods and were able to make contact with Harden with a stun gun. ISP said he fell, but then "distinctly" pointed his gun at them. ISP said that's when authorities fired twice at Harden. Harden later died from his wounds.</t>
  </si>
  <si>
    <t>http://www.theindychannel.com/news/local-news/suspect-dies-after-shooting-involving-police-officer</t>
  </si>
  <si>
    <t>Charles Eimers</t>
  </si>
  <si>
    <t>http://thebluepaper.com/-/wp-content/uploads/2014/04/Charles-Eimers-photo-1-cropped.jpg</t>
  </si>
  <si>
    <t>1405 Duval Street</t>
  </si>
  <si>
    <t>Key West</t>
  </si>
  <si>
    <t>33040</t>
  </si>
  <si>
    <t>Key West Police Department</t>
  </si>
  <si>
    <t>Asphyxiated</t>
  </si>
  <si>
    <t>Charles Eimers drove his car onto Key West's Southernmost Beach after a short pursuit by several police cars. He was ordered to leave his vehicle and lie down in the sand. While cuffing Eimers’ left hand, officer Garrido got his finger stuck in the handcuff and began screaming in pain for other officers to come to his rescue. Eimers, finding himself in the same painful predicament, began kicking his feet. Within less than 5 minutes, Eimers stopped breathing and turned “blue in the face.”  He was later pronounced dead.</t>
  </si>
  <si>
    <t>http://thebluepaper.com/article/police-deny-responsibility-in-death-of-tourist-thanksgiving-day/</t>
  </si>
  <si>
    <t>Jason Akeem Lewis</t>
  </si>
  <si>
    <t>http://www.spryfuneralhomes.com/obituaries/Jason-Lewis7/</t>
  </si>
  <si>
    <t>5000 Galaxy Way</t>
  </si>
  <si>
    <t>35816</t>
  </si>
  <si>
    <t>Madison County Detention Center</t>
  </si>
  <si>
    <t>Jason Akeem Lewis encountered off-duty corrections officer Jeremy Primus on the night before Thanksgiving. Primus shot and killed Lewis, fled the scene, but later turned himself in to police. Madison County DA recommended releasing Primus because shooting was in self defense. Grand Jury investigated shooting. Results unknown at this time.</t>
  </si>
  <si>
    <t>Simon Pascual Ramirez</t>
  </si>
  <si>
    <t>http://localtvkfor.files.wordpress.com/2013/11/simon-p-ramirez-e1386004502565.jpg?w=352</t>
  </si>
  <si>
    <t>4600 S Westminster Rd</t>
  </si>
  <si>
    <t>73150</t>
  </si>
  <si>
    <t>Officers report they were randomly searching for stolen cars and spotted Ramirez with a woman inside a stolen vehicle. The two ran. Police state Ramirez had a gun and crossed into a freeway. When he allegedly pointed the gun at traffic and at police, Detective Sgt. Tony Foreman and Officer Samuel Pagel shot him.</t>
  </si>
  <si>
    <t>http://www.koco.com/news/oklahomanews/okc/more-information-released-in-fatal-officerinvolved-shooting/23244524</t>
  </si>
  <si>
    <t>Ervin Edwards</t>
  </si>
  <si>
    <t>850 8th Street</t>
  </si>
  <si>
    <t>Port Allen</t>
  </si>
  <si>
    <t>West Baton Rouge Parish</t>
  </si>
  <si>
    <t>West Baton Rouge Parish Sheriff's Office</t>
  </si>
  <si>
    <t>http://www.wafb.com/story/27810613/9news-investigators-video-of-final-moments-of-inmates-life-prompts-questions-from-victims-family</t>
  </si>
  <si>
    <t>Brian Christopher Leggitt</t>
  </si>
  <si>
    <t>http://www.clickorlando.com/image/view/-/23170436/highRes/1/-/r0ijf2/-/Brian-Christopher-Leggitt.jpg</t>
  </si>
  <si>
    <t>1126 Wentwood Ave</t>
  </si>
  <si>
    <t>32804</t>
  </si>
  <si>
    <t>An officer pulled over Leggitt on suspicion of having fled an earlier traffic stop. As the officer approached on foot, Leggitt allegedly put his car in reverse, "tried to run him down," and hit the patrol car. The officer then shot Leggitt.</t>
  </si>
  <si>
    <t>http://www.wftv.com/news/news/local/officials-orlando-officer-involved-shooting/nb44G/</t>
  </si>
  <si>
    <t>Carnell Lanair Williams</t>
  </si>
  <si>
    <t>http://ak-cache.legacy.net/legacy/images/Cobrands/CTPost/Photos/CT0021521-1_20131129.jpg</t>
  </si>
  <si>
    <t>193 Boston Ave</t>
  </si>
  <si>
    <t>Bridgeport</t>
  </si>
  <si>
    <t>06610</t>
  </si>
  <si>
    <t>Bridgeport Police Department</t>
  </si>
  <si>
    <t>Members of the Statewide Urban Violence Cooperative Crime Control Task Force on a "gun-running" stakeout reportedly approached a car in which Williams was a passenger. Police state that driver Kiara Davis and/or Williams pointed guns at them in an attempt to escape. Four officers including Det. Christopher Barona, who had killed Bryan Stukes 04/13, opened fire, shooting possibly more than 40 rounds into the car. Williams was hit "numerous times" and Davis was wounded in the face.</t>
  </si>
  <si>
    <t>http://www.ct.gov/despp/cwp/view.asp?Q=535840&amp;A=4226</t>
  </si>
  <si>
    <t>Clarence Dorris</t>
  </si>
  <si>
    <t>1500 Donna St SW</t>
  </si>
  <si>
    <t>Mableton</t>
  </si>
  <si>
    <t>30126</t>
  </si>
  <si>
    <t>Dorris raised a weapon at officers after Dorris had an argument with his wife. Officers shot and killed Dorris after he raised his weapon.</t>
  </si>
  <si>
    <t>http://www.ajc.com/news/news/local/man-shot-and-killed-by-cobb-police-officers/nb4Bm/</t>
  </si>
  <si>
    <t>Robert Reagh Gillon</t>
  </si>
  <si>
    <t>12740 Woodley Ave</t>
  </si>
  <si>
    <t>Granada Hills</t>
  </si>
  <si>
    <t>91344</t>
  </si>
  <si>
    <t>Neighbors called 911 about shots fired in Gillon's yard. When police arrived, they report, Gillon was "going in and out of his house" with a rifle and handgun via his backyard and that they commanded him to drop his weapons. When he exited his rear door, an officer shot and killed him. Police report that he may have suffered from mental illness.</t>
  </si>
  <si>
    <t>http://ktla.com/2013/11/26/armed-man-killed-in-officer-involved-shooting-police-say/</t>
  </si>
  <si>
    <t>Robert Brown</t>
  </si>
  <si>
    <t>4900 block G Street SE</t>
  </si>
  <si>
    <t>Officers investigating a previous homicide encountered Brown with a handgun. Commanded to drop his weapon, Brown did not, and was fatally shot.</t>
  </si>
  <si>
    <t>http://homicidewatch.org/2013/11/26/man-shot-by-police-in-se-dc-dies-of-injuries/</t>
  </si>
  <si>
    <t>Otavis Hall</t>
  </si>
  <si>
    <t>3200 Westport Way</t>
  </si>
  <si>
    <t>French Valley</t>
  </si>
  <si>
    <t>Michael W. Habay</t>
  </si>
  <si>
    <t>3009 Madison Ave</t>
  </si>
  <si>
    <t>80303</t>
  </si>
  <si>
    <t>Police responded to a domestic disturbance call about a man with a knife and machete. Officers report that they knocked on Habay's door and when he didn't answer, they forced the door open, believing a woman was inside. They report that they saw him with a knife and machete, and that he did not follow commands to get down and/or drop the knife. When he swung the knives at them as he ran out the door, Officer Vincent Gallerani shot him twice.</t>
  </si>
  <si>
    <t>http://www.scribd.com/doc/193399948/DA-Stan-Garnett-s-memo-on-Nov-24-officer-involved-shooting</t>
  </si>
  <si>
    <t>Jimmy Cruz</t>
  </si>
  <si>
    <t>9200 block San Luis Ave</t>
  </si>
  <si>
    <t>Police responded to a 911 domestic disturbance call with a man possibly armed, the Sheriff's Headquarters Bureau said. They say he did not cooperate and tried to flee "while continually grasping at his waistband area." When he reportedly turned back toward them, an officer feared he had armed himself and shot and killed him.</t>
  </si>
  <si>
    <t>http://www.ksl.com/?sid=31772096</t>
  </si>
  <si>
    <t>Jeremy McGee</t>
  </si>
  <si>
    <t>http://ak-cache.legacy.net/legacy/images/cobrands/dfw/photos/photo_164220_86870_0_1385493736jeremymcgee_20131128.jpgx?w=130&amp;h=180&amp;option=1&amp;v=0x000000002cef17ab</t>
  </si>
  <si>
    <t>8841 Avril Court North</t>
  </si>
  <si>
    <t>76116</t>
  </si>
  <si>
    <t>Officers were attempting to take McGee into custody on charges of evading, credit card abuse and felony parole violation burglary. He attempted to flee in a vehicle and hit several parked cars, then turned and began driving toward officers and bystanders. An officer fired into the vehicle.</t>
  </si>
  <si>
    <t>http://www.star-telegram.com/2013/11/24/5365841/fort-worth-officer-fatally-shoots.html</t>
  </si>
  <si>
    <t>Danny Thornton</t>
  </si>
  <si>
    <t>http://wcmh.images.worldnow.com/images/24042714_BG1.jpg</t>
  </si>
  <si>
    <t>3950 Morse Rd</t>
  </si>
  <si>
    <t>Thornton shot and killed two people, one of which was a 9-year old boy. Afterwards he was in a standoff between SWAT. Thornton was ultimately shot and killed.</t>
  </si>
  <si>
    <t>http://www.nbc4i.com/story/24042714/shooting-near-highland-park-elementary-prompts-lockdown</t>
  </si>
  <si>
    <t>Jose Jovanny Mendoza</t>
  </si>
  <si>
    <t>Burbank Blvd and Riverton Ave</t>
  </si>
  <si>
    <t>91601</t>
  </si>
  <si>
    <t>Responding to a "man with gun" call in an intersection, police reportedly spotted Mendoza walking in the street. They report that when they approached him in their vehicle, he produced a gun. They shot and killed him.</t>
  </si>
  <si>
    <t>http://www.lapdonline.org/newsroom/news_view/54948</t>
  </si>
  <si>
    <t>Adolfo Ramirez</t>
  </si>
  <si>
    <t>3000 E La Cadena Drive</t>
  </si>
  <si>
    <t>92507</t>
  </si>
  <si>
    <t>A Riverside Police Department patrol officer was checking on an occupied vehicle parked near a closed gas station. As the officer exited his vehicle, Ramirez produced a handgun and there was an exchange of gunfire between Ramirez and the officer. Ramirez was shot and killed.</t>
  </si>
  <si>
    <t>http://blog.pe.com/breaking-news/2013/11/23/riverside-police-officer-involved-in-shooting/</t>
  </si>
  <si>
    <t>Tyler Keinonen</t>
  </si>
  <si>
    <t>http://oregon.arrests.org/mugs/Deschutes/130158.jpg</t>
  </si>
  <si>
    <t>2878 NE Jackdaw Drive</t>
  </si>
  <si>
    <t>Bend</t>
  </si>
  <si>
    <t>97701</t>
  </si>
  <si>
    <t>Deschutes</t>
  </si>
  <si>
    <t>Bend Police Department</t>
  </si>
  <si>
    <t>Around 10:30 in the evening Keinonen was exiting the back door of a house that had been the target of a drugs, guns, and vehicle theft investigation earlier in the day. Unarmed and unthreatening, he was fatally shot once in the chest by police. Keinonen and his brother had been arrested earlier in the year for a drug operation said to be county-wide. The district attorney's documented justification is a classic of its kind: http://www.deschutesda.org/files/3713/8980/2989/Keinonen_01.15.14.pdf</t>
  </si>
  <si>
    <t>Thomas Bradley Garza</t>
  </si>
  <si>
    <t>http://d1t3gia0in9tdj.cloudfront.net/photo/tributes/t/8/r/207x207/1706493/cdd68fdf-597a-404e-b139-0ad12f095e5d.jpg</t>
  </si>
  <si>
    <t>4000 block Tulip Tree Drive</t>
  </si>
  <si>
    <t>76137</t>
  </si>
  <si>
    <t>A narcotics officer who fatally shot a suspect after he pointed a shotgun at officers executing a search warrant at a north Fort Worth house.</t>
  </si>
  <si>
    <t>http://www.wfaa.com/news/local/Tarrant-County-officer-involved-shooting-233107731.html</t>
  </si>
  <si>
    <t>Shane David Cataline</t>
  </si>
  <si>
    <t>http://www.saukvalley.com/_internal/cimg!0/o5dsd3zg29iw5c5ka8fjhqgoyszcdlk</t>
  </si>
  <si>
    <t>E Rock Falls Rd &amp; Ronald Reagan Memorial Tollway</t>
  </si>
  <si>
    <t>Rock Falls</t>
  </si>
  <si>
    <t>61071</t>
  </si>
  <si>
    <t>Whiteside</t>
  </si>
  <si>
    <t>Illinois Department of Natural Resources Conservation Police</t>
  </si>
  <si>
    <t>An ISP trooper conducted a traffic stop. The driver of the stopped car aggressively pinned the trooper between his (car) and another while the trooper was on foot. Shots were fired and an (Illinois) DNR officer who responded to the scene in fear for his life and the life of the trooper discharged his weapon and killed the offender.</t>
  </si>
  <si>
    <t>http://www.kwqc.com/story/24045932/crash-on-i-88-in-whiteside-co</t>
  </si>
  <si>
    <t>Andrew Murnieks</t>
  </si>
  <si>
    <t>http://media.nj.com/star-ledger/photo/2013/11/-7bac874d19562ffa.jpg</t>
  </si>
  <si>
    <t>Hannah Drive</t>
  </si>
  <si>
    <t>South Brunswick</t>
  </si>
  <si>
    <t>08810</t>
  </si>
  <si>
    <t>Middlesex County Special Operations Response Team</t>
  </si>
  <si>
    <t>Victim was schizophrenic, and per his mother, not taking his medications. His mother called the police. Murnieks had a knife and after a crisis negotiator failed in trying to get Murnieks to disarm, the special operations team shot Murnieks.</t>
  </si>
  <si>
    <t>http://newjersey.news12.com/news/police-shoot-kill-man-during-standoff-in-south-brunswick-1.6473615</t>
  </si>
  <si>
    <t>Timothy Mahoney</t>
  </si>
  <si>
    <t>http://archive.firstcoastnews.com/images/300/169/2/assetpool/images/131121041916_MAHONEY%2c%20TIMOTHY%20%20%20.jpg</t>
  </si>
  <si>
    <t>700 block Old San Mateo Road</t>
  </si>
  <si>
    <t>32187</t>
  </si>
  <si>
    <t>The Putnam County Sheriff's Office responded to calls following reports of shots fired. When deputies arrived on scene, Mahoney was on his back porch with a handgun. Negotiators worked with Mahoney for an hour in an attempt to get him to put the gun down. Mahoney allegedly refused and deputies deployed a taser, but it was not effective. Mahoney then fired his gun hitting a deputy in the arm. Deputies returned fire, striking Mahoney who was transported to the hospital. He died on the way.</t>
  </si>
  <si>
    <t>http://archive.firstcoastnews.com/topstories/article/336014/483/Police-involved-shooting-kills-one</t>
  </si>
  <si>
    <t>Marty Maiden II</t>
  </si>
  <si>
    <t>http://d1t3gia0in9tdj.cloudfront.net/photo/tributes/t/8/r/207x207/1700380/3dd496c1-3c17-4777-920b-6904eba8e01b.jpg</t>
  </si>
  <si>
    <t>7500 block South Woodbury Grove Dr</t>
  </si>
  <si>
    <t>Tuscon</t>
  </si>
  <si>
    <t>85757</t>
  </si>
  <si>
    <t>Maiden or his family called 911 to report that he was suicidal at the home of his late father, who reportedly committed suicide during a SWAT standoff a month earlier. A SWAT team was called to the home and "was attempting to diffuse the situation." When Maiden reportedly stepped outside with a rifle and shotgun, he ignored commands to drop his weapons. Deputy Gilbert Caudillo shot him once, killing him.</t>
  </si>
  <si>
    <t>http://tucson.com/news/blogs/police-beat/sheriff-suicidal-tucson-man-killed-when-he-presented-a-threat/article_d1b6b12b-5a4b-50ff-bd96-946624a1854c.html</t>
  </si>
  <si>
    <t>Lennard Whittle</t>
  </si>
  <si>
    <t>http://www.recordonline.com/apps/pbcsi.dll/bilde?Site=TH&amp;Date=20131120&amp;Category=NEWS&amp;ArtNo=131129986&amp;Ref=AR&amp;maxH=230&amp;maxW=370&amp;border=0&amp;Q=80</t>
  </si>
  <si>
    <t>90 Academy Avenue</t>
  </si>
  <si>
    <t>10940</t>
  </si>
  <si>
    <t>Middletown Police Department</t>
  </si>
  <si>
    <t>Police responded to reports of two men in a dispute in and around a Sam's Food Store. One of those two was Whittle, armed with a knife, who refused police commands to drop his weapon. Police fatally shot him and their actions were upheld by a grand jury.</t>
  </si>
  <si>
    <t>http://www.hvinsider.com/articles/middletown-police-shoot-and-kill-knife-wielding-man/</t>
  </si>
  <si>
    <t>Christopher Lee Koziatek</t>
  </si>
  <si>
    <t>1850 Bailey Hill Rd</t>
  </si>
  <si>
    <t>97405</t>
  </si>
  <si>
    <t>Officer Aaron Johns, age 40 and a 15-year veteran of the Eugene Police Department, stopped a red Honda mini-bike at the Fire Station driveway on Bailey Hill Road. During the initial encounter, the officer removed a large knife and a hatchet from the mini-bike’s rider, Christopher Lee Koziatek, age 44, of Eugene. During the officer’s initial contact with the suspect, the suspect ran from the officer and the officer gave chase on foot to the southeast side of Churchill High School. The officer called for emergency back-up and a lockdown of Churchill High School. The officer caught the suspect, who physically resisted and assaulted the officer while also armed with a handgun. The suspect was shot by the officer. Responding officers provided emergency medical aid, and Fire/EMS arrived. The suspect died on scene.</t>
  </si>
  <si>
    <t>http://www.eugene-or.gov/CivicAlerts.aspx?AID=985</t>
  </si>
  <si>
    <t>Tyler Damon Woods</t>
  </si>
  <si>
    <t>http://cdn.abclocal.go.com/images/kabc/cms_exf_2007/news/local/los_angeles/9337816_600x338.jpg</t>
  </si>
  <si>
    <t>1506 E 5th Street</t>
  </si>
  <si>
    <t>Woods stopped in a traffic stop and fled on foot. He ran to a rooftop, where police confronted him and shot him to death</t>
  </si>
  <si>
    <t>Jesus Huerta</t>
  </si>
  <si>
    <t>http://wwwcache.wral.com/asset/news/local/2013/11/19/13130433/13130433-1384884950-300x225.jpg</t>
  </si>
  <si>
    <t>505 W Chapel Hill St.</t>
  </si>
  <si>
    <t>27701</t>
  </si>
  <si>
    <t>http://www.wral.com/17-year-old-dies-in-durham-police-custody/13128723/</t>
  </si>
  <si>
    <t>Wayne A. Courtright</t>
  </si>
  <si>
    <t>16320 1st St</t>
  </si>
  <si>
    <t>Guerneville</t>
  </si>
  <si>
    <t>95446</t>
  </si>
  <si>
    <t>Courtright's wife phoned police to tell them that her husband had a rifle and was intoxicated and suicidal. Responding deputies and Courtright exchanged gunfire before Courtright was fatally shot, and was pronounced dead at the scene.</t>
  </si>
  <si>
    <t>http://www.pressdemocrat.com/article/20131119/articles/131119546</t>
  </si>
  <si>
    <t>Joshua Hathaway</t>
  </si>
  <si>
    <t>http://bloximages.newyork1.vip.townnews.com/newsadvance.com/content/tncms/assets/v3/editorial/9/64/964695c6-9fc4-11e3-b5ca-0017a43b2370/530f5b00bf04f.image.jpg</t>
  </si>
  <si>
    <t>Odd Fellows Road</t>
  </si>
  <si>
    <t>Lynchburg</t>
  </si>
  <si>
    <t>24501</t>
  </si>
  <si>
    <t>Lynchburg City</t>
  </si>
  <si>
    <t>Liberty University Police Department</t>
  </si>
  <si>
    <t>Officer was attacked by Hathaway with a wooden mallet. A fight ensued and as Hathaway struggled for the officer's gun, the officer shot him twice.</t>
  </si>
  <si>
    <t>http://www.newsadvance.com/news/local/no-charges-in-fatal-shooting-of-liberty-university-student/article_66cbc4c0-9fc3-11e3-864f-0017a43b2370.html</t>
  </si>
  <si>
    <t>Larry Clay</t>
  </si>
  <si>
    <t>http://www.dcourier.com/SiteImages/Article/125852a.jpg</t>
  </si>
  <si>
    <t>4800 block Yavapai Hills</t>
  </si>
  <si>
    <t>86301</t>
  </si>
  <si>
    <t>Prescott Police Department</t>
  </si>
  <si>
    <t>Officer Jared Willis responded to a report of a suicidal man in the 4800 block Hornet Drive at about 8:45 p.m. and ultimately shot and killed Clay, whom he said had a knife in each hand and charged him with them.</t>
  </si>
  <si>
    <t>http://www.dcourier.com/main.asp?SectionID=1&amp;subsectionID=1086&amp;articleID=125852</t>
  </si>
  <si>
    <t>Peter J. Oien</t>
  </si>
  <si>
    <t>https://d3jpl91pxevbkh.cloudfront.net/gf/image/upload/c_crop,w_422,h_596,x_0,y_23/c_limit,h_340,w_647/v1385094583/EQphyBDmQQ2H98n2q6euNQ.jpg</t>
  </si>
  <si>
    <t>15700 Tern St</t>
  </si>
  <si>
    <t>Officers were called to the home on report of a stabbing, where they found Oien armed with a knife. He allegedly tried to attack deputies with the knife, forcing them to fire. Oien later died at a nearby hospital.</t>
  </si>
  <si>
    <t>http://www.dailybulletin.com/general-news/20131119/knife-wielding-man-killed-in-chino-hills-deputy-involved-shooting</t>
  </si>
  <si>
    <t>Antoine Duane Goodrum</t>
  </si>
  <si>
    <t>19001 Grotto Ln</t>
  </si>
  <si>
    <t>20874</t>
  </si>
  <si>
    <t>Goodrum initially called police and told them that he shot his roommate and grandmother, and was later found a few blocks away carrying an assault rifle and a tactical vest. After a short negotiation, police shot and killed Goodrum.</t>
  </si>
  <si>
    <t>http://www.baltimorenewsjournal.com/2013/11/18/germantown-shooting-gunman-on-the-loose/</t>
  </si>
  <si>
    <t>Rexford Dasrath</t>
  </si>
  <si>
    <t>http://static.wixstatic.com/media/f8a96d_5432be60cb734e94b5282177daf37463.png_srz_336_570_85_22_0.50_1.20_0.00_png_srz</t>
  </si>
  <si>
    <t>900 block Hart St.</t>
  </si>
  <si>
    <t>11237</t>
  </si>
  <si>
    <t>NYPD were called when a man wielding a knife threatened to kill someone. When NYPD arrived, the man banged on the patrol car with the blade. Before they exit, he flings a bottle at a taxi. The cops got out of the car and split up to approach Dasrath, whom a source said weighed about 300 pounds. The cop fired on the man from a distance of about five or six feet. An NYPD press release said Dasrath was shot in the chest and one of his hands, but a cop source said he had five bullet wounds, though some may have been exit wounds. Dasrath, who was said to have had learning disabilities, was taken to Woodhull Hospital, where he died.</t>
  </si>
  <si>
    <t>http://www.nydailynews.com/new-york/nyc-crime/knife-wielding-man-shot-dead-cops-brookyln-sources-article-1.1521073</t>
  </si>
  <si>
    <t>Cruz Marcelino Velazquez</t>
  </si>
  <si>
    <t>https://encrypted-tbn3.gstatic.com/images?q=tbn:ANd9GcTUUQWjDu7cmoNt08r-O0N7IdA7o44JkzlF6mWJ-0xoQ7xfQPaRWT5Fdro</t>
  </si>
  <si>
    <t>720 East San Ysidro Blvd</t>
  </si>
  <si>
    <t>92173</t>
  </si>
  <si>
    <t>The Mexican teen was walking across the border when he was stopped by Us Border Patrol and asked what was in two small jars of liquid he was carrying. He allegedly volunteered to drink some of it to prove it was juice but it was 90% methamphetamine and he died soon after.</t>
  </si>
  <si>
    <t>http://www.opposingviews.com/i/politics/immigration/teenager-cruz-marcelino-velazquez-acevedo-dies-after-drinking-liquid-meth</t>
  </si>
  <si>
    <t>James Steven Fay</t>
  </si>
  <si>
    <t>http://media2.wptv.com//photo/2013/11/20/WPTV-James-Steven-Fay_20131120052719_640_480.JPG</t>
  </si>
  <si>
    <t>6800 Camille St</t>
  </si>
  <si>
    <t>Boynton Beach</t>
  </si>
  <si>
    <t>33437</t>
  </si>
  <si>
    <t>After police were called to Fay's home on a domestic disturbance call, the 55-year-old allegedly came out of his house holding a handgun. Officers shot and killed Fay after he allegedly raised his gun at them.</t>
  </si>
  <si>
    <t>http://articles.sun-sentinel.com/2013-11-19/news/fl-pbso-deputy-involved-shooting-20131119_1_palm-beach-county-sheriff-deputies-ric-bradshaw</t>
  </si>
  <si>
    <t>Steven J. Bell</t>
  </si>
  <si>
    <t>http://www.obitsforlife.com/uploaded-images/converted/324106-528cb4db76d7c-shrink-x180.jpeg</t>
  </si>
  <si>
    <t>Cowdry Hollow Rd</t>
  </si>
  <si>
    <t>12022</t>
  </si>
  <si>
    <t>Rensselaer County Sheriff's Office</t>
  </si>
  <si>
    <t>Officers responding to a domestic disturbance call discovered that Bell had taken a rifle and fled into a nearby forest. After a short search, officers shot the unarmed Bell after he approached a group of officers and made threatening hand motions.</t>
  </si>
  <si>
    <t>http://www.timesunion.com/local/article/Troopers-shoot-kill-man-4990568.php</t>
  </si>
  <si>
    <t>Jason D. White</t>
  </si>
  <si>
    <t>http://www.dispatch.com/content/graphics/2013/11/18/police-shooting-art-gi5pm4ke-1police-shooting-1118-jpg.jpg?__scale=w:200,h:267,t:1</t>
  </si>
  <si>
    <t>2100 Gables Lake Dr</t>
  </si>
  <si>
    <t>Hilliard</t>
  </si>
  <si>
    <t>43026</t>
  </si>
  <si>
    <t>White was initially shot at by police after he entered an unlocked apartment and was brandishing a knife. Police later found White, who was apparently suffering from a mental illness, holding a knife to his throat and shot him after he failed to put the knife down.</t>
  </si>
  <si>
    <t>http://www.10tv.com/content/stories/2013/11/17/columbus-hilliard-area-police-involved-shooting.html</t>
  </si>
  <si>
    <t>Jonathan Wilcher</t>
  </si>
  <si>
    <t>http://www.fatalencounters.org/wp-content/uploads/2013/10/Jonathan-Wilcher.jpg</t>
  </si>
  <si>
    <t>4702 S Washington Ave</t>
  </si>
  <si>
    <t>Titusville</t>
  </si>
  <si>
    <t>32780</t>
  </si>
  <si>
    <t>Titusville Police Department</t>
  </si>
  <si>
    <t>Officers responding to a 911 call of shots fired at a Titusville sports bar found Wilcher and two other men inside a car. Wilcher allegedly ignored an officer's orders and approached them while holding a handgun, leading officers to shoot Wilcher.</t>
  </si>
  <si>
    <t>http://www.wftv.com/news/news/local/police-shoot-kill-armed-man-outside-titusville-bar/nbwJ3/</t>
  </si>
  <si>
    <t>Bob Bandler</t>
  </si>
  <si>
    <t>http://cbsla.files.wordpress.com/2013/11/bob-bandler.jpg?w=300&amp;h=168</t>
  </si>
  <si>
    <t>1200 Stone Canyon Rd</t>
  </si>
  <si>
    <t>90077</t>
  </si>
  <si>
    <t>Bandler allegedly threatened a gas company employee with a handgun, and was later found by police wielding a shotgun. Officers then shot Bandler, who apparently suffered from mental problems and "demons."</t>
  </si>
  <si>
    <t>http://losangeles.cbslocal.com/2013/11/17/armed-suspect-shot-killed-by-police-in-upscale-community-of-bel-air/</t>
  </si>
  <si>
    <t>Nicholas Simonitch</t>
  </si>
  <si>
    <t>http://kctv.images.worldnow.com/images/23987660_BG5.jpg</t>
  </si>
  <si>
    <t>3700 Strong Ave</t>
  </si>
  <si>
    <t>Simonitch was allegedly wielding a baseball bat when officers arrived on a disturbance call. He was shot after police say he lunged at them with the bat.</t>
  </si>
  <si>
    <t>http://www.kshb.com/dpp/news/local_news/officer-involved-shooting-leaves-one-dead-in-kck</t>
  </si>
  <si>
    <t>Andrea Naharro-Gionet</t>
  </si>
  <si>
    <t>https://i1.sndcdn.com/artworks-000073338353-klndrq-t200x200.jpg?e76cf77</t>
  </si>
  <si>
    <t>106 Cleveland Ave</t>
  </si>
  <si>
    <t>95128</t>
  </si>
  <si>
    <t>Police responded to calls of a woman making excess noise to find Gionet armed with a steak knife. A deputy shot and killed Gionet, who had multiple sclerosis and cancer, after she allegedly cornered an officer with the knife.</t>
  </si>
  <si>
    <t>http://www.sfgate.com/crime/article/Details-emerge-in-police-killing-near-San-Jose-5002588.php</t>
  </si>
  <si>
    <t>Gary Boyd Sr.</t>
  </si>
  <si>
    <t>1300 Cedar Ln</t>
  </si>
  <si>
    <t>08610</t>
  </si>
  <si>
    <t>Boyd allegedly appeared at the home of his estranged wife and began following her, stabbing himself several times in the process. Arriving officers shot Boyd after he refused to drop the knife and brandished it at the officers.</t>
  </si>
  <si>
    <t>http://www.nj.com/mercer/index.ssf/2013/11/mercer_county_prosecutors_office_investigating_police-involved_shooting_of_hamilton_man.html</t>
  </si>
  <si>
    <t>Paul Aguilar</t>
  </si>
  <si>
    <t>2400 Earle Ave</t>
  </si>
  <si>
    <t>Rosemead</t>
  </si>
  <si>
    <t>91770</t>
  </si>
  <si>
    <t>Deputies initially responded to a call that Aguilar was drunk and acting violent but left after determining the family could take care of the situation. After receiving another call, deputies returned to find Aguilar had cut the neck of his aunt with a steak knife, and first tasered then shot the 21-year-old.</t>
  </si>
  <si>
    <t>http://homicide.latimes.com/post/paul-aguilar/</t>
  </si>
  <si>
    <t>Ted Christopher Hoffstrom</t>
  </si>
  <si>
    <t>http://ak-cache.legacy.net/legacy/Images/Cobrands/DignityMemorial/Photos/a8e58195-5a28-4ad2-83bc-5ae50956fbe2.jpg</t>
  </si>
  <si>
    <t>1000 Heritage Ln</t>
  </si>
  <si>
    <t>Wayzata</t>
  </si>
  <si>
    <t>55391</t>
  </si>
  <si>
    <t>Orono Police Department</t>
  </si>
  <si>
    <t>Police shot and killed the armed Hoffstrom after the 30-year-old had killed a local doctor, allegedly for how the doctor had treated Hoffstrom's mother. A county grand jury cleared the police of any wrongdoing in 2014.</t>
  </si>
  <si>
    <t>Jason Lopez</t>
  </si>
  <si>
    <t>Texas 114 and U.S. 385</t>
  </si>
  <si>
    <t>http://lubbockonline.com/filed-online/2013-11-14/family-man-who-died-levelland-police-custody-still-waiting-answers#.Uoa2htIwf4Q</t>
  </si>
  <si>
    <t>John Williams</t>
  </si>
  <si>
    <t>10305 Nash Lane</t>
  </si>
  <si>
    <t>Mabelvale</t>
  </si>
  <si>
    <t>72103</t>
  </si>
  <si>
    <t>Police responding to a call from William's girlfriend, who said that he had taken 50 Xanax and was trying to kill himself, found Williams holding a long-barrel gun. After he refused to drop the weapon, officers shot Williams twice, who was pronounced dead at the scene.</t>
  </si>
  <si>
    <t>http://5newsonline.com/2013/11/16/officers-placed-on-leave-after-shooting-killing-suicidal-man/</t>
  </si>
  <si>
    <t>Bill Jones</t>
  </si>
  <si>
    <t>6200 S New Braunfels Ave</t>
  </si>
  <si>
    <t>78223</t>
  </si>
  <si>
    <t>Jones allegedly threatened and yelled at officers responding to calls of family violence from Jones's apartment. One officer shot Jones, who was carrying three large knives, and was taken to a nearby hospital where he later died.</t>
  </si>
  <si>
    <t>http://www.therepublic.com/view/story/6a883a795e3c4c1d918cd7ef73dcf7da/TX--San-Antonio-Police-Shooting</t>
  </si>
  <si>
    <t>Willie James Williams</t>
  </si>
  <si>
    <t>2137 Fort Benning Rd</t>
  </si>
  <si>
    <t>31903</t>
  </si>
  <si>
    <t>Police Department of Columbus, Georgia</t>
  </si>
  <si>
    <t>Williams and another man were stopped by police who matched their descriptions to a pair that had recently committed a nearby armed robbery. The officer shot Williams after he refused to put down what appeared to be a gun, but was actually a BB gun.</t>
  </si>
  <si>
    <t>http://www.ledger-enquirer.com/2013/11/14/2797761/official-confirms-officer-involved.html</t>
  </si>
  <si>
    <t>Jonathen Santellana</t>
  </si>
  <si>
    <t>http://cdn.abclocal.go.com/images/ktrk/cms_exf_2007/automation/vod/9358670_600x338.jpg</t>
  </si>
  <si>
    <t>8727 Point Park Drive</t>
  </si>
  <si>
    <t>77095</t>
  </si>
  <si>
    <t>Navasota Police Department</t>
  </si>
  <si>
    <t>Santellana and a young female companion were sitting in a parked car in an apartment parking lot when approached by an off-duty Navasota officer and ordered to leave the vehicle. When Santellana did not immediately comply, the officer discharged his weapon multiple times. One bullet fatally wounded the victim. Witnesses say the officer did not identify himself, and tried to confiscate video evidence after the fact.</t>
  </si>
  <si>
    <t>http://abc13.com/archive/9326265/</t>
  </si>
  <si>
    <t>13900 Cerise Ave</t>
  </si>
  <si>
    <t>90250</t>
  </si>
  <si>
    <t>Officers responding to a spousal abuse call arrived to find the suspect barricaded in the storage room of an apartment complex's parking garage. The man left the room holding a handgun, leading officers to shoot and kill the man.</t>
  </si>
  <si>
    <t>http://ktla.com/2013/11/13/hawthorne-police-fatally-shoot-man/#axzz2kcxyCvkC</t>
  </si>
  <si>
    <t>Abdul Kamal</t>
  </si>
  <si>
    <t>http://media.nj.com/essex_impact/photo/2014/09/10/15815061-small.png</t>
  </si>
  <si>
    <t>1-29 Stanley Street</t>
  </si>
  <si>
    <t>Irvington</t>
  </si>
  <si>
    <t>07111</t>
  </si>
  <si>
    <t>Irvington Police Department</t>
  </si>
  <si>
    <t>After breaking into his estranged wife's apartment, Kamal was confronted by police who demanded him to take his hands out of his pockets. Officers first pepper-sprayed the unarmed Kamal before shooting him. A grand jury is still investigating the shooting, and Kamal's mother has lead several protests and demands for legal action.</t>
  </si>
  <si>
    <t>http://www.nj.com/essex/index.ssf/2013/11/man_shot_during_clash_with_irvington_police_was_not_armed_made_threats_toward_officers.html</t>
  </si>
  <si>
    <t>Shawn M. Rieves</t>
  </si>
  <si>
    <t>http://localtvwiti.files.wordpress.com/2013/11/shawn-rieves.jpg</t>
  </si>
  <si>
    <t>521 N Plankinton Ave</t>
  </si>
  <si>
    <t>53203</t>
  </si>
  <si>
    <t>After a failed robbery attempt, officers found Rieves on the second floor of Milwaukee's downtown Transit Center and attempted to negotiate with him. Rieves became threatening, and the officers shot and killed the 17-year-old.</t>
  </si>
  <si>
    <t>John W. Montgomery</t>
  </si>
  <si>
    <t>2000 Polaris Pkwy</t>
  </si>
  <si>
    <t>43240</t>
  </si>
  <si>
    <t>Westerville Division of Police</t>
  </si>
  <si>
    <t>A Westerville officer pulled over Montgomery's car for a routine traffic stop, and as he approached the car saw Montgomery holding a handgun. After he refused commands to drop the weapon, the officer opened fire, fatally shooting Montgomery.</t>
  </si>
  <si>
    <t>http://www.dispatch.com/content/stories/local/2013/11/11/traffic-stop-ends-in-shooting-on-polaris-parkway.html</t>
  </si>
  <si>
    <t>80817</t>
  </si>
  <si>
    <t>David Andrew Gaston</t>
  </si>
  <si>
    <t>http://ak-cache.legacy.net/legacy/images/Cobrands/SBSun/Photos//0010273440-01-1_20121125.jpg</t>
  </si>
  <si>
    <t>22900 block Redwood Way</t>
  </si>
  <si>
    <t>Crestline</t>
  </si>
  <si>
    <t>92325</t>
  </si>
  <si>
    <t>Deputies called to support fire department at a small house fire. Gaston yelled at the firefighters and deputies and ran into the woods wearing only sweatpants. When he came out he "made a movement simulating drawing a firearm and the deputies fired, striking Gaston several times." He was unarmed.</t>
  </si>
  <si>
    <t>http://www.sbsun.com/general-news/20121114/investigators-man-shot-killed-by-sheriffs-deputies-threatened-to-kill-firefighters-deputies</t>
  </si>
  <si>
    <t>Donte Lamonte Jordan</t>
  </si>
  <si>
    <t>http://www.fatalencounters.org/wp-content/uploads/2013/10/DonteLamontJordan.jpg</t>
  </si>
  <si>
    <t>West Anaheim Street and Chestnut Avenue</t>
  </si>
  <si>
    <t>Jordan allegedly fired multiple rounds at a driver of a dark-colored vehicle near a gas station. The driver, who later reported that he did not know Jordan nor what provoked the attack, fled. When officers arrived, they saw Jordan walking along the sidewalk of West Anaheim Street near Chestnut Avenue. He matched the description that callers provided, the department said. According to the release, when officers “made contact” with Jordan, an officer-involved shooting occurred. Police recovered a handgun at the scene and and described Jordan as a “gang member with an extensive arrest record.”</t>
  </si>
  <si>
    <t>http://homicide.latimes.com/post/donte-lamont-jordan/</t>
  </si>
  <si>
    <t>Christopher James Ryckeart</t>
  </si>
  <si>
    <t>http://bloximages.newyork1.vip.townnews.com/southbendtribune.com/content/tncms/assets/v3/editorial/3/1c/31c777b8-4b06-11e3-9008-001a4bcf6878/52812e02816d3.image.jpg</t>
  </si>
  <si>
    <t>401 W Marion St</t>
  </si>
  <si>
    <t>After an attempted traffic stop, Ryckeart led police on a 40-minute chase that ended when he crashed into the back of a home in Elkhart. The officers who shot and killed Ryckeart were cleared of any wrongdoing by a grand jury in January 2014.</t>
  </si>
  <si>
    <t>http://www.elkharttruth.com/crime-fire-courts/2013/11/11/Fatal-police-shooting-probe-continues.html</t>
  </si>
  <si>
    <t>Don White</t>
  </si>
  <si>
    <t>http://imgick.nola.com/home/nola-media/width620/img/crime_impact/photo/13752844-mmmain.jpg</t>
  </si>
  <si>
    <t>3500 Martinique Ave</t>
  </si>
  <si>
    <t>70065</t>
  </si>
  <si>
    <t>White was shot and killed after an officer found him hiding in a stolen car. White refused to leave the car, and the officer fired into the car when it appeared White was accelerating the car toward him.</t>
  </si>
  <si>
    <t>http://www.nola.com/crime/index.ssf/2013/11/fatal_shooting_of_suspect_just.html#incart_river</t>
  </si>
  <si>
    <t>Jeanette Anaya</t>
  </si>
  <si>
    <t>http://www.kob.com/kobtvimages/repositoryThumbs/2013-11/jeanette-anaya-.jpg</t>
  </si>
  <si>
    <t>Camino Carlos Rey and Las Casitas.</t>
  </si>
  <si>
    <t>87507</t>
  </si>
  <si>
    <t>Mexico State Police say an officer shot and killed a woman after a high speed chase because she backed up her vehicle toward him. According to the latest police report, 39-year-old Jeanette Anaya fled from a state police officer as he attempted to pull her over in Santa Fe just after 1 a.m. State police said the chase reached speeds of 87 mph in a residential neighborhood. The officer bumped Anaya's vehicle using a pursuit intervention technique and the chase ended near Camino Carlos Rey and Las Casitas. As the officer approached the vehicle, state police said Anaya "aggressively" backed up toward the officer and struck the police car</t>
  </si>
  <si>
    <t>http://www.kob.com/article/stories/s3211705.shtml#.VAJaVPldWHg</t>
  </si>
  <si>
    <t>Jose Quinonez</t>
  </si>
  <si>
    <t>http://newjersey.news12.com/polopoly_fs/1.6393368.1383768621!/httpImage/image.png_gen/derivatives/landscape_768/image.png</t>
  </si>
  <si>
    <t>N 9th St</t>
  </si>
  <si>
    <t>07107</t>
  </si>
  <si>
    <t>Essex County Sheriff’s Department</t>
  </si>
  <si>
    <t>Two deputies shot Quinonez, the target of a drug investigation, after he allegedly approached them with a loaded gun. Eyewitnesses and friends of Quinonez said he was hit by a police car and shot on the ground.</t>
  </si>
  <si>
    <t>http://www.nj.com/essex/index.ssf/2013/11/sheriffs_officers_shoot_and_kill_alleged_armed_assailaint.html#incart_river</t>
  </si>
  <si>
    <t>Wayne Brunette</t>
  </si>
  <si>
    <t>http://mediad.publicbroadcasting.net/p/vpr/files/styles/x_large/public/201311/BRUNETTE.JPG</t>
  </si>
  <si>
    <t>Randy lane</t>
  </si>
  <si>
    <t>05408</t>
  </si>
  <si>
    <t>Chittenden</t>
  </si>
  <si>
    <t>Mentally ill man causing a ruckus at mother's home. Mother called police. Man allegedly confronted officers with a shovel. As he approached the officers, he was shot.</t>
  </si>
  <si>
    <t>http://digital.vpr.net/post/burlington-police-fatally-shoot-suspect</t>
  </si>
  <si>
    <t>Jerry Vue</t>
  </si>
  <si>
    <t>http://hmoobtigkhohmoob.com/images/jerry%20vu.jpg</t>
  </si>
  <si>
    <t>5226 E Liberty Ave</t>
  </si>
  <si>
    <t>93727</t>
  </si>
  <si>
    <t>Fresno County Shreriff's Department</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</si>
  <si>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</si>
  <si>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</si>
  <si>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Deonte Traylor</t>
  </si>
  <si>
    <t>http://www.kcra.com/image/view/-/22836692/highRes/2/-/h5kldwz/-/Deonte--Traylor-mug-jpg.jpg</t>
  </si>
  <si>
    <t>200 block Pennsylvania Avenue</t>
  </si>
  <si>
    <t>Fairfield Police Department.</t>
  </si>
  <si>
    <t>Traylor, a parolee suspected of stabbing his girlfriend more than 30 times, was shot and killed by multiple Fairfield police officers on Highway 12 after he lunged at officers with a knife.</t>
  </si>
  <si>
    <t>http://www.kcra.com/news/officerinvolved-shooting-shuts-down-hwy-12-near-fairfield/22812924#!bE1OMS</t>
  </si>
  <si>
    <t>Michael Blair</t>
  </si>
  <si>
    <t>http://ww3.hdnux.com/photos/27/73/35/6272886/3/622x350.jpg</t>
  </si>
  <si>
    <t>7000 block Dawn Bloom</t>
  </si>
  <si>
    <t>77469</t>
  </si>
  <si>
    <t>Fort Bend County Sheriff's Office</t>
  </si>
  <si>
    <t>On instructions from a hospital, Blair's family called the county police to assist when the 26-year-old paranoid schizophrenic had locked himself in a bathroom and had threatened suicide with a knife. Officers escalated the situation, Tasered the victim without effect, then killed him with "almost a dozen" gunshots fired into his body at point-blank range.</t>
  </si>
  <si>
    <t>http://www.chron.com/neighborhood/fortbend/news/article/Family-releases-video-of-man-killed-by-Fort-Bend-5461653.php</t>
  </si>
  <si>
    <t>Robert Desir</t>
  </si>
  <si>
    <t>http://www.fatalencounters.org/wp-content/uploads/2013/10/RobertDesir.jpg</t>
  </si>
  <si>
    <t>2460 NW 208th St</t>
  </si>
  <si>
    <t>33056</t>
  </si>
  <si>
    <t>Desir was suspected of murdering his stepfather, and allegedly began shooting at police who were waiting at his home, who then returned fire and killed him.</t>
  </si>
  <si>
    <t>http://miami.cbslocal.com/2013/11/04/one-dead-in-miami-gardens-police-involved-shooting/</t>
  </si>
  <si>
    <t>Tyler Comstock</t>
  </si>
  <si>
    <t>http://cloudfront-media.reason.com/mc/_external/2013_11/des-moines-register.jpg</t>
  </si>
  <si>
    <t>Near Iowa State University's Campanile</t>
  </si>
  <si>
    <t>Ames</t>
  </si>
  <si>
    <t>50011</t>
  </si>
  <si>
    <t>Story</t>
  </si>
  <si>
    <t>Ames Police Department Officer Adam McPherson</t>
  </si>
  <si>
    <t>Tyler's father refused to buy him cigarettes. Tyler took his father's lawn car truck and trailer and his father called the police on him. Tyler fled through a red light, rammed two police cars and was fired upon 6 times by the police. He was hit twice in the head and chest. A video of the chase is on the linked page. Other officers suggested that the pursuing officers 'back off' but they were not supervisors, so they were ignored.</t>
  </si>
  <si>
    <t>http://www.kcci.com/news/central-iowa/weve-got-shots-fired-hes-trying-ramming-us-again/22815706#!bIjPuo</t>
  </si>
  <si>
    <t>Alfred San Antonio</t>
  </si>
  <si>
    <t>20211 N 7th Ave</t>
  </si>
  <si>
    <t>85027</t>
  </si>
  <si>
    <t>After his girlfriend told him that she was leaving him, San Antonio allegedly took a knife and attempted to attack her. Responding officers shot San Antonio after he allegedly lunged at them with a knife.</t>
  </si>
  <si>
    <t>http://www.azfamily.com/news/Police-shoot-kill-man-armed-with-chefs-knife-230491201.html</t>
  </si>
  <si>
    <t>Nattela Ruth Blackwell</t>
  </si>
  <si>
    <t>http://localtvwreg.files.wordpress.com/2013/11/tiptonlady.jpg</t>
  </si>
  <si>
    <t>201 Lanny Bridges Ave</t>
  </si>
  <si>
    <t>38019</t>
  </si>
  <si>
    <t>Tipton</t>
  </si>
  <si>
    <t>Tipton County Sheriff’s Office</t>
  </si>
  <si>
    <t>After Blackwell's husband called to warn police that she had a handgun, officers found her in the parking lot of a Wal-Mart where she had fired the gun. After refusing to drop the weapon, officers shot her. The county sheriff stated that he believed Blackwell intended to commit "suicide by cop."</t>
  </si>
  <si>
    <t>http://www.wmctv.com/story/23864303/release-regarding-police-fatally-shooting-woman</t>
  </si>
  <si>
    <t>Salvador Munoz</t>
  </si>
  <si>
    <t>http://cbsdallas.files.wordpress.com/2013/11/salvador-munoz.jpg?w=420&amp;h=236</t>
  </si>
  <si>
    <t>1500 E Missouri Ave</t>
  </si>
  <si>
    <t>Police responded to a domestic disturbance at the home of Munoz's ex-girlfriend, and arrived to find him sitting on the home's front porch. After a short struggle, Munoz disarmed an officer's taser and refused to drop the weapon, leading police to shoot him.</t>
  </si>
  <si>
    <t>http://www.myfoxdfw.com/story/23858431/man-popinting-taser-at-officers-shot-and-killed</t>
  </si>
  <si>
    <t>Carlos Saenz</t>
  </si>
  <si>
    <t>7400 block Jackson St</t>
  </si>
  <si>
    <t>90723</t>
  </si>
  <si>
    <t>After brandishing a gun at a deputy during a traffic stop, Saenz led police on a short chase that ended when he crashed his SUV into a tree. After a two-hour long standoff, Saenz left his car and pointed a gun at deputies, leading them to shoot and kill him.</t>
  </si>
  <si>
    <t>http://www.loscerritosnews.net/2013/11/01/wild-chase-goes-through-cerritos-ends-in-death-of-suspect-on-jackson-street-in-paramount/</t>
  </si>
  <si>
    <t>Rosa Elvira Flores-Lopez</t>
  </si>
  <si>
    <t>http://kbmt.images.worldnow.com/images/23851434_BG1.jpg</t>
  </si>
  <si>
    <t>3800 29th St</t>
  </si>
  <si>
    <t>Officers responded to a family disturbance at the home of Flores-Lopez, who allegedly threatened the officers with a knife. After using a taser to no effect, an officer shot Flores-Lopez and killed her. She apparently suffered from mental health issues.</t>
  </si>
  <si>
    <t>http://www.beaumontenterprise.com/news/article/Update-PAPD-releases-names-of-officers-involved-4946661.php</t>
  </si>
  <si>
    <t>Arthur Page</t>
  </si>
  <si>
    <t>203 Rutledge Ave</t>
  </si>
  <si>
    <t>Beaufort</t>
  </si>
  <si>
    <t>28516</t>
  </si>
  <si>
    <t>Carteret</t>
  </si>
  <si>
    <t>Beaufort Police Department</t>
  </si>
  <si>
    <t>Page shot his sister and her neighbor with a shotgun before police arrived and demanded that he drop his gun. Two officers fired and killed Page, who apparently suffered from a mental illness. The two responding deputies were cleared of any wrongdoing.</t>
  </si>
  <si>
    <t>http://www.witn.com/home/headlines/Police-Officer-Involved-In-Shooting-230158271.html</t>
  </si>
  <si>
    <t>690 Olmstead Ave</t>
  </si>
  <si>
    <t>10473</t>
  </si>
  <si>
    <t>Police responding to calls of shots fired were fired upon by a 26-year-old man. After attempting to flee, a total of six officers fired 17 times at the man, who was pronounced dead at the scene.</t>
  </si>
  <si>
    <t>http://www.nbcnewyork.com/news/local/Shooting-Bronx-Officer-Involved-230157251.html</t>
  </si>
  <si>
    <t>Randall Avenue and Olmstead Avenue</t>
  </si>
  <si>
    <t>Subject opened fire at officers and fled, was shot during chase.</t>
  </si>
  <si>
    <t>John Wayne Howell</t>
  </si>
  <si>
    <t>426 Old Wire Road</t>
  </si>
  <si>
    <t>31006</t>
  </si>
  <si>
    <t>Residents called 911 to report a man, who they knew, was walking around the neighborhood holding a machete and a pipe, and acting erratic. The man didn't recognize any of the people he was talking to, and residents told investigators he was threatening them. When deputies arrived on the scene, one tried to use a taser. He was continuing to act aggressive toward the three deputies on the scene. Smith says that's when two fired shots at the man, killing him in a front yard on Old Wire Road</t>
  </si>
  <si>
    <t>http://j16dev.41nbc.com/news/local-news/29042-gbi-investigating-deputy-involved-fatal-shooting-in-taylor-county</t>
  </si>
  <si>
    <t>Eric C. Auxier</t>
  </si>
  <si>
    <t>http://bloximages.newyork1.vip.townnews.com/newspressnow.com/content/tncms/assets/v3/editorial/f/95/f95ece0a-cac8-5aa2-8914-d160f865fafe/52747c57c13ab.preview-300.jpg</t>
  </si>
  <si>
    <t>6400 NW 316th St</t>
  </si>
  <si>
    <t>Gower</t>
  </si>
  <si>
    <t>64454</t>
  </si>
  <si>
    <t>Buchanan County Sheriff's Department</t>
  </si>
  <si>
    <t>Auxier was shot and killed after a two-county chase that ended with him ramming his vehicle into a deputy before being shot. A county official found that the deputy acted appropriately in using lethal force.</t>
  </si>
  <si>
    <t>http://www.kshb.com/dpp/news/crime/one-killed-in-officer-involved-shooting-following-police-chase</t>
  </si>
  <si>
    <t>Dionne L. Jordan</t>
  </si>
  <si>
    <t>http://www.goerie.com/storyimage/GE/20140304/NEWS02/303039915/AR/0/AR-303039915.jpg</t>
  </si>
  <si>
    <t>1702 East 38th Street</t>
  </si>
  <si>
    <t>16510</t>
  </si>
  <si>
    <t>Erie Police Department</t>
  </si>
  <si>
    <t>Jordan was killed by Erie police on the afternoon of Oct. 30, shortly after investigators said he entered the Widget Financial branch on East 38th Street with a gun and threatened to shoot employees while robbing the branch of a significant amount of cash.</t>
  </si>
  <si>
    <t>http://www.goerie.com/article/20140304/NEWS02/303039915/police-say-dna-links-erie-man-to-second-bank-robbery</t>
  </si>
  <si>
    <t>Alfred Ferrell III</t>
  </si>
  <si>
    <t>http://tribwxin.files.wordpress.com/2013/10/alfred-ferrell-mug.jpg</t>
  </si>
  <si>
    <t>4501 North Keystone Avenue</t>
  </si>
  <si>
    <t>46205</t>
  </si>
  <si>
    <t>Ferrell was in process of robbing an adult store when he encountered the responding officer outside on the sidewalk. The officer ordered him to the ground and tasered him twice when he did not comply. From the ground, Ferrell then pointed his gun at the officer and fired shots, at which point the officered shot and killed him.</t>
  </si>
  <si>
    <t>http://www.wthr.com/story/23829356/2013/10/30/police-activity-on-indianapolis-north-side</t>
  </si>
  <si>
    <t>John Curtis "JC" Garreaux</t>
  </si>
  <si>
    <t>http://www.keslingfuneralhome.net/fh_live/12400/12468/images/obituaries/2312467.jpg</t>
  </si>
  <si>
    <t>Highway 34</t>
  </si>
  <si>
    <t>Fort Thompson</t>
  </si>
  <si>
    <t>57339</t>
  </si>
  <si>
    <t>Buffalo</t>
  </si>
  <si>
    <t>Pierre Police Department, Hughes County Sheriff's Office, USMS and BIA</t>
  </si>
  <si>
    <t>Officers were attempting to serve a warrant to a man and followed a vehicle, driven by Jason Garreau, known to belong to the man. Garreau calls cousin, John Garreaux, who arrives on scene and begins to fire shots at USMS and BIA officers and was killed in return fire as Jason Garreau fled.</t>
  </si>
  <si>
    <t>http://www.keloland.com/newsdetail.cfm/fbi-investigates-deadly-ft-thompson-shooting/?id=155379</t>
  </si>
  <si>
    <t>James Bryant</t>
  </si>
  <si>
    <t>9155 Richmond Highway</t>
  </si>
  <si>
    <t>Fort Belvoir</t>
  </si>
  <si>
    <t>22060</t>
  </si>
  <si>
    <t>Fairfax County Police Department</t>
  </si>
  <si>
    <t>Bryant assaulted an officer, took his baton and hit the officer with it. The officer then shot and killed Bryant.</t>
  </si>
  <si>
    <t>http://patch.com/virginia/greateralexandria/police-identify-man-killed-at-alexandria-homeless-shelter</t>
  </si>
  <si>
    <t>Shane Whitworth</t>
  </si>
  <si>
    <t>500 Bay Cove Quay</t>
  </si>
  <si>
    <t>23462</t>
  </si>
  <si>
    <t>Virginia Beach City</t>
  </si>
  <si>
    <t>Police say they were dispatched to the residence after a woman called to report that her husband had locked himself in the bathroom and threatened to harm himself. Whitworth eventually left the house through the back door, armed with a handgun. He fired the gun once before hiding under a trampoline. He then got a ladder and climbed over the back fence. Once he got over the fence, still armed with a gun, officers fired at him.</t>
  </si>
  <si>
    <t>http://wtkr.com/2013/10/30/beach-police-investigate-shooting-after-barricade-situation/</t>
  </si>
  <si>
    <t>Cortdalro Damarcel Brown</t>
  </si>
  <si>
    <t>13502 Northborough</t>
  </si>
  <si>
    <t>77067</t>
  </si>
  <si>
    <t>Franklin Parish Sheriff's Office</t>
  </si>
  <si>
    <t>Brown approached sheriff's car and tried to rob him at gunpoint</t>
  </si>
  <si>
    <t>http://www.chron.com/news/houston-texas/houston/article/Women-charged-after-Louisiana-deputy-fatally-4943179.php?cmpid=htx</t>
  </si>
  <si>
    <t>Ronald Wood</t>
  </si>
  <si>
    <t>http://bloximages.chicago2.vip.townnews.com/registerstar.com/content/tncms/assets/v3/editorial/f/d6/fd6a1958-42ae-11e3-bb31-001a4bcf887a/52732fa2c5a60.image.jpg?resize=300%2C533</t>
  </si>
  <si>
    <t>Joslen Boulevard and Green Acres Road</t>
  </si>
  <si>
    <t>12534</t>
  </si>
  <si>
    <t>Greenport Police Department, New York State Police</t>
  </si>
  <si>
    <t>Local police engaged with Wood while he walked alongside a highway seemingly agitated and disoriented. That officer requested help from two state troopers. Soon after police contact, Wood became irrational and combative. While being restrained he experienced some kind of fatal medical emergency, later blamed on cocaine toxicity.</t>
  </si>
  <si>
    <t>https://www.nyspnews.com/article_print.cfm?article_id=34207</t>
  </si>
  <si>
    <t>Quentin Eric Hicks</t>
  </si>
  <si>
    <t>3940 Century Boulevard</t>
  </si>
  <si>
    <t>Police pulled over a car without plates, two men and one woman were inside the vehicle, Hicks got out of the car and was confronting the police officers, he was armed and fired at the police, then he was shot and killed.</t>
  </si>
  <si>
    <t>http://www.nbclosangeles.com/news/local/Man-Slain-in-Inglewood-Gun-Battle-with-Deputies-Identified-230330551.html</t>
  </si>
  <si>
    <t>Dominique Jean</t>
  </si>
  <si>
    <t>http://cbsmiami.files.wordpress.com/2013/10/dominique-jean1.jpg?w=600</t>
  </si>
  <si>
    <t>2501 NW 42nd Ave</t>
  </si>
  <si>
    <t>33142</t>
  </si>
  <si>
    <t>Jean was observed by a police officer at a gas station near Miami International Airport, stuffing newspapers under a tank and trying to light them. When caught, Jean attacked the officer with a screwdriver and knife, and (by some reports) trying to bite off the officer's thumb. Jean was tasered then fatally shot, after which the officer quickly reached the station's emergency shut-off valves, preventing an explosion.</t>
  </si>
  <si>
    <t>http://www.wsvn.com/story/23830443/officer-stabbed-multiple-times-suspect-fatally-shot</t>
  </si>
  <si>
    <t>Michael A. Sica</t>
  </si>
  <si>
    <t>http://ak-cache.legacy.net/legacy/images/Cobrands/Syracuse/Photos/o474184sica_20131103.jpg</t>
  </si>
  <si>
    <t>5006 Aitchison Road</t>
  </si>
  <si>
    <t>13215</t>
  </si>
  <si>
    <t>Onondaga</t>
  </si>
  <si>
    <t>Onondaga County Sheriff's Department</t>
  </si>
  <si>
    <t>Sica's parents called authorities to say their son was suicidal and threatening to kill police. When police responded, he locked himself in a garage and fired a shot. When police entered the garage, Sica pointed a pistol at them and they fired on him.</t>
  </si>
  <si>
    <t>http://www.syracuse.com/news/index.ssf/2013/10/sheriff_onondaga_man_shot_by_deputies_had_threatened_to_kill_himself_shoot_polic.html</t>
  </si>
  <si>
    <t>George Pryor</t>
  </si>
  <si>
    <t>http://wtoc.images.worldnow.com/images/23820071_BG2.jpg</t>
  </si>
  <si>
    <t>315 Rackley St</t>
  </si>
  <si>
    <t>Statesboro</t>
  </si>
  <si>
    <t>30458</t>
  </si>
  <si>
    <t>Bulloch</t>
  </si>
  <si>
    <t>Statesboro Police Department</t>
  </si>
  <si>
    <t>Police arrived at Pryor's house to enforce a code violation. Pryor was apprently involved in a shootout with officers, although circumstances remain unclear.</t>
  </si>
  <si>
    <t>http://www.wsav.com/story/23806056/one-dead-in-officer-involved-shooting-in-statesboro</t>
  </si>
  <si>
    <t>Clinton Peterson</t>
  </si>
  <si>
    <t>http://media.dallasobserver.com/killed-for-running-away.9382505.40.jpg</t>
  </si>
  <si>
    <t>400 block Kelly Court</t>
  </si>
  <si>
    <t>Duncanville Police Departmen</t>
  </si>
  <si>
    <t>Officers approached Peterson during a disturbance call. He led them on a foot chase before being shot and killed.</t>
  </si>
  <si>
    <t>Wilmon L. Hutto Jr.</t>
  </si>
  <si>
    <t>http://www.barr-price.com/obituaries/uploads/2469/1309681.jpg</t>
  </si>
  <si>
    <t>Mineral Springs Rd &amp; Oak Dr</t>
  </si>
  <si>
    <t>29073</t>
  </si>
  <si>
    <t>Officers responded to a report of shots fired at Hutto's home. Upon arrival, offficer say Hutto threatened him and pointed a gun at the officer. Officer shot and killed Hutto.</t>
  </si>
  <si>
    <t>http://www.wltx.com/news/article/254423/2/Officer-Involved-Shooting-in-Lexington</t>
  </si>
  <si>
    <t>Jarmel Anthony Cosby</t>
  </si>
  <si>
    <t>http://www.firstcoastnews.com/images/300/169/2/assetpool/images/131027101108_jso1.JPG</t>
  </si>
  <si>
    <t>10211 Lem Turner Road</t>
  </si>
  <si>
    <t>32218</t>
  </si>
  <si>
    <t>Officer M.W. Crawford reportedly ordered the suspect to surrender, instead the suspect allegedly ignored commands and attempted to jump a fence. Officers said they spotted a gun in the suspect's hand. Crawford fired several shots, striking the suspect an undetermined amount of times The suspect was shot and killed on scene and a gun was recovered by JSO investigators.</t>
  </si>
  <si>
    <t>http://www.firstcoastnews.com/news/article/333408/3/Officer-involved-shooting-suspect-dead-</t>
  </si>
  <si>
    <t>William Alfred Harvey III</t>
  </si>
  <si>
    <t>16400 block Woodruff Ave</t>
  </si>
  <si>
    <t>Bellfower</t>
  </si>
  <si>
    <t>Two female deputies were called to the scene at an assisted living home where a man was disturbing residents. The man was incoherent and foaming at the mouth. He hit one deputy in the head and knocked the other into a stone fountain. He reached for one of the deputy's guns, at which point she shot and killed him.</t>
  </si>
  <si>
    <t>http://www.nbclosangeles.com/news/local/Two-Deputies-Injured-in-Fatal-Shooting-in-Bellflower-229441761.html</t>
  </si>
  <si>
    <t>Arturo Jorge Guzman</t>
  </si>
  <si>
    <t>http://www.justmugshots.com/img/20363669/lg/arturo-jorge-guzman.jpg</t>
  </si>
  <si>
    <t>4616 East 8th Lane</t>
  </si>
  <si>
    <t>Hialeah police were called by woman about a domestic dispute where she claimed a man in the house had a gun. Police claim they were forced to fire on a man when they encountered him within the house.</t>
  </si>
  <si>
    <t>http://miami.cbslocal.com/2013/10/28/police-involved-shooting-in-hialeah/</t>
  </si>
  <si>
    <t>Marie Leanne Edith Hartman</t>
  </si>
  <si>
    <t>http://media2.abc2news.com//photo/2013/10/28/Murder_Suicide_in_Glen_Burnie_11pm_packa_1039780000_20131028093446_320_240.JPG</t>
  </si>
  <si>
    <t>1100 Fort Armistead Rd</t>
  </si>
  <si>
    <t>21226</t>
  </si>
  <si>
    <t>Hoffman and Hartman were murdered by officer Robinson who committed suicide after he killed the two victims.</t>
  </si>
  <si>
    <t>http://www.abc2news.com/news/crime-checker/anne-arundel-crime/police-identify-murder-suicide-victims</t>
  </si>
  <si>
    <t>Andrew Scott Hoffman</t>
  </si>
  <si>
    <t>Amy Reyna</t>
  </si>
  <si>
    <t>http://assets.nydailynews.com/polopoly_fs/1.1768872.1398445096!/img/httpImage/image.jpg_gen/derivatives/article_970/reyna26n-3-web.jpg?enlarged</t>
  </si>
  <si>
    <t>New Mexico 132</t>
  </si>
  <si>
    <t>88260</t>
  </si>
  <si>
    <t>Denver City Texas Police Department</t>
  </si>
  <si>
    <t>After a multi-state high-speed pursuit involving several jurisdictions, Reyna ran off the road and disabled her own vehicle. Denver City officer Ryan Taylor shot her three times in the head and twice in the torso, with indications that her hands had been raised, according to an autopsy. She was unarmed.</t>
  </si>
  <si>
    <t>http://www.seminolesentinel.com/Content/Default/Rotator/Article/Autopsy_-Chase-suspect-shot-five-times/-3/15/3993</t>
  </si>
  <si>
    <t>Jake Ramsey Maese-Murphy</t>
  </si>
  <si>
    <t>http://mediaassets.commercialappeal.com/photo/2014/03/21/523770_3536994_ver1.0_640_480.JPG</t>
  </si>
  <si>
    <t>245 Watkins Road</t>
  </si>
  <si>
    <t>Drummonds</t>
  </si>
  <si>
    <t>38023</t>
  </si>
  <si>
    <t>Tipton County Sheriff's Department</t>
  </si>
  <si>
    <t>Police were at a home searching for a man wanted on probation violation. The man's son, Jake, suddenly came towards police and stated he had a weapon. Officers attempted to use a taser to subdue Murphy but he continued approaching them. Officers then shot and killed Murphy.</t>
  </si>
  <si>
    <t>http://www.commercialappeal.com/news/local-news/tipton-county-deputies-fatally-shoot-armed-man</t>
  </si>
  <si>
    <t>Dimetri Polen</t>
  </si>
  <si>
    <t>http://media2.wptv.com//photo/2013/10/28/WPTV-Dimetri-Polen_20131028121259_320_240.JPG</t>
  </si>
  <si>
    <t>N Tamarind Ave &amp; 6th St</t>
  </si>
  <si>
    <t>33401</t>
  </si>
  <si>
    <t>Polen pointed an AK-47 at an officer after getting pulled over. The officer shot and killed Polen.</t>
  </si>
  <si>
    <t>http://www.wptv.com/news/region-c-palm-beach-county/west-palm-beach/demitri-polen-christopher-nebbeling-west-palm-beach-officer-shoots-kills-man-pointing-ak-47</t>
  </si>
  <si>
    <t>Richard Rodriguez</t>
  </si>
  <si>
    <t>3000 block West Ramsey Street</t>
  </si>
  <si>
    <t>Banning</t>
  </si>
  <si>
    <t>92220</t>
  </si>
  <si>
    <t>Banning Police Department</t>
  </si>
  <si>
    <t>Police officer responded to a call about a man who was knocking on motel room doors looking for a woman.The man brandished a pistol and the officer shot him.</t>
  </si>
  <si>
    <t>http://blog.pe.com/breaking-news/2013/10/27/banning-police-officer-fatally-shoots-man-at-hotel/</t>
  </si>
  <si>
    <t>Jonathan V. Robertson</t>
  </si>
  <si>
    <t>Thomas Drive and North Main Street</t>
  </si>
  <si>
    <t>Giles County Sheriff's Office, Virginia State Police, Pearisburg Police Department</t>
  </si>
  <si>
    <t>Robertson had stopped his Chevrolet S-10 pickup across the roadway forcing the law enforcement officers to stop. When the special agent and deputy identified themselves as law enforcement, Robertson displayed a weapon and began shooting at the law enforcement officers. The special agent and deputy returned fire</t>
  </si>
  <si>
    <t>http://www.wdbj7.com/news/local/developing-investigation-in-giles-county/22652814?item=0</t>
  </si>
  <si>
    <t>Christopher Chase</t>
  </si>
  <si>
    <t>35</t>
  </si>
  <si>
    <t>http://www.koat.com/image/view/-/22659724/highRes/5/-/maxh/358/maxw/538/-/539os8z/-/Christopher-Chase-generic-mugshot.jpg</t>
  </si>
  <si>
    <t>4th St NW and Montano Road NW</t>
  </si>
  <si>
    <t>87107</t>
  </si>
  <si>
    <t>Chase led dozens of police officers on a 16-mile police chase after stealing an APD cruiser and firing at police with an assault rifle. He shot and wounded four law enforcement officers, one badly, before dying at Fourth and Montano.</t>
  </si>
  <si>
    <t>David DiRoma</t>
  </si>
  <si>
    <t>http://www.tampabay.com/resources/images/dti/rendered/2013/10/tbd_DiRoma102813_11811438_8col.jpg</t>
  </si>
  <si>
    <t>3018 Merrill Ave</t>
  </si>
  <si>
    <t>33759</t>
  </si>
  <si>
    <t>Clearwater Police Department</t>
  </si>
  <si>
    <t>DiRoma told a friend he was suicidal. The friend called authorities for help. DiRoma pointed a gun at officers. An officer fearing for his life shot and killed DiRoma.</t>
  </si>
  <si>
    <t>http://www.tampabay.com/news/publicsafety/crime/clearwater-officer-shoots-kills-armed-69-year-old-man/2149443</t>
  </si>
  <si>
    <t>Josh Matthew Collins</t>
  </si>
  <si>
    <t>29</t>
  </si>
  <si>
    <t>http://ak-cache.legacy.net/legacy/images/Cobrands/yumasun/Photos/0f44d190-5bc0-4d32-87ef-ce34d2c74f4a.jpg</t>
  </si>
  <si>
    <t>1600 W 12th St</t>
  </si>
  <si>
    <t>Yuma</t>
  </si>
  <si>
    <t>85364</t>
  </si>
  <si>
    <t>Yuma Police Department</t>
  </si>
  <si>
    <t>A police chief was investigating a 'shots fired' call with a resident at an apartment complex when Collins confronted them. Collins then proceeded to attack both of them. He repeatedly stabbed the police chief before being shot and killed.</t>
  </si>
  <si>
    <t>http://www.kyma.com/slp.php?idN=8926&amp;cat=Local%20News</t>
  </si>
  <si>
    <t>Damon Cortez Hall</t>
  </si>
  <si>
    <t>Union Blvd &amp; Ridge Ave</t>
  </si>
  <si>
    <t>63112</t>
  </si>
  <si>
    <t>Hall ignored orders from officers to drop his weapon. Officers then opened fire on Hall, killing him.</t>
  </si>
  <si>
    <t>http://www.stltoday.com/news/local/metro/st-louis-police-fatally-shoot-man-after-he-points-gun/article_9ca1168c-24e2-50ed-85b3-78a458934534.html</t>
  </si>
  <si>
    <t>Ronald Roland</t>
  </si>
  <si>
    <t>2402 S. 17th St.</t>
  </si>
  <si>
    <t>28401</t>
  </si>
  <si>
    <t>Robbed a Pizza Hut, shot by police who were waiting outside.</t>
  </si>
  <si>
    <t>http://www.starnewsonline.com/article/20131121/ARTICLES/131129903</t>
  </si>
  <si>
    <t>Tevin Robinson</t>
  </si>
  <si>
    <t>2402 S. 17th St</t>
  </si>
  <si>
    <t>Robbed a Pizza Hut, gunned down by police who were outside waiting for them.</t>
  </si>
  <si>
    <t>www.starnewsonline.com/article/20131121/ARTICLES/131129903</t>
  </si>
  <si>
    <t>Victor Torres-Elizondo</t>
  </si>
  <si>
    <t>Southeast 13th Avenue and Maple Street</t>
  </si>
  <si>
    <t>Hillsboro</t>
  </si>
  <si>
    <t>97123</t>
  </si>
  <si>
    <t>Hillsboro Police Department</t>
  </si>
  <si>
    <t>Torres-Elizondo fired a shot at an officer during a traffic stop. The officer returned six shots, killing him. His criminal record had included a number of drug convictions and outstanding warrants but no violent crimes.</t>
  </si>
  <si>
    <t>http://www.oregonlive.com/hillsboro/index.ssf/2013/10/hillsboro_police_shooting_cour.html</t>
  </si>
  <si>
    <t>Sergio Munoz</t>
  </si>
  <si>
    <t>http://l.yimg.com/bt/api/res/1.2/V40UZTJUe_6oJ626Om3XRw--/YXBwaWQ9eW5ld3M7Zmk9ZmlsbDtoPTUwMDtweW9mZj0wO3E9Njk7dz0zNTQ-/http://media.zenfs.com/en_us/News/ap_webfeeds/f484b29717814324410f6a7067005727.jpg</t>
  </si>
  <si>
    <t>Mojave Desert</t>
  </si>
  <si>
    <t>Ridgecrest</t>
  </si>
  <si>
    <t>93555</t>
  </si>
  <si>
    <t>Munoz, suspected of murdering a woman and wounding a man in Ridgecrest, was shot and killed by seven police officers during a car chase in the Mojave Desert. He fired on vehicles and held hostages in his car. The hostages were flown to a hospital in critical condition after being shot by Munoz.</t>
  </si>
  <si>
    <t>http://bigstory.ap.org/article/police-chase-gunman-hostages-across-mojave-desert</t>
  </si>
  <si>
    <t>Vincent L. Young</t>
  </si>
  <si>
    <t>10000 Bay Pines Boulevard North</t>
  </si>
  <si>
    <t>St. Petersburg</t>
  </si>
  <si>
    <t>33708</t>
  </si>
  <si>
    <t>Bay Pines VA Police</t>
  </si>
  <si>
    <t>Young claimed he had a bomb and lunged a knife toward VA police. The officer shot and killed Young. Young did not have a bomb.</t>
  </si>
  <si>
    <t>http://www.wfla.com/Global/story.asp?S=23793064</t>
  </si>
  <si>
    <t>Julie Caudill</t>
  </si>
  <si>
    <t>6483 Ponset St</t>
  </si>
  <si>
    <t>43017</t>
  </si>
  <si>
    <t>Caudill’s husband had called police from out of town to ask for a well-being check. Neighbors reported seeing the woman in her yard, bleeding with cuts to her wrists. When police arrived, they say Caudill opened the front door, holding a handgun.A veteran police sergeant fired multiple rounds, hitting the woman in the chest.</t>
  </si>
  <si>
    <t>http://www.10tv.com/content/stories/2013/10/25/columbus-woman-shot-by-police-ponset-drive.html</t>
  </si>
  <si>
    <t>Robert Eugene Parlette Jr.</t>
  </si>
  <si>
    <t>http://www.fatalencounters.org/wp-content/uploads/2013/10/RobertBobEugeneParlette-Jr.jpg</t>
  </si>
  <si>
    <t>Bayview Isles Drive</t>
  </si>
  <si>
    <t>Islamorada</t>
  </si>
  <si>
    <t>Monroe County Sheriff’s Department</t>
  </si>
  <si>
    <t>Parlette was shot and killed by police after he fired his gun at deputies.</t>
  </si>
  <si>
    <t>http://www.miamiherald.com/2013/10/25/3711895/keys-sheriff-deputies-shoot-and.html</t>
  </si>
  <si>
    <t>Angelique Styles</t>
  </si>
  <si>
    <t>http://report.wechargegenocide.org/img/people/angelique_styles.jpg</t>
  </si>
  <si>
    <t>10900 block South Eberhart Avenue</t>
  </si>
  <si>
    <t>A woman was shot to death in a home she shared with her brother after refusing to drop a knife while in front of officers.</t>
  </si>
  <si>
    <t>http://www.huffingtonpost.com/2013/10/25/angelique-styles-shot_n_4164130.html</t>
  </si>
  <si>
    <t>Matthew Deshune Swiney</t>
  </si>
  <si>
    <t>http://www.houstontx.gov/police/nr/2013/oct/nr131025-3.htm</t>
  </si>
  <si>
    <t>Simmons Garden Senior Citizen living complex</t>
  </si>
  <si>
    <t>Swiney was fatally shot by police after holding a large knife dragging his mother down the hallway. His mother was treated at a hospital for stab wounds.</t>
  </si>
  <si>
    <t>http://abclocal.go.com//story?section=news/local&amp;id=9300639</t>
  </si>
  <si>
    <t>Michael Clifford Garmon</t>
  </si>
  <si>
    <t>http://thumbs.mugshots.com/gallery/images/2c/ff/Michael-Clifford-Garmon-mugshot-30635357.400x800.jpg</t>
  </si>
  <si>
    <t>Interstate 75 and Old Dixie Highway</t>
  </si>
  <si>
    <t>30304</t>
  </si>
  <si>
    <t>Clayton County Police Department</t>
  </si>
  <si>
    <t>An officer reports that while on his way to work, he saw Garmon attempting to break into an abandoned car. Garmon fled on foot when he approached. When he caught up to him, Garmon tried to take his gun. During a struggle, "the gun discharged," killing Garmon.</t>
  </si>
  <si>
    <t>http://www.wsbtv.com/news/news/local/suspect-idd-officer-involved-shooting-along-i-75/nbYXC/</t>
  </si>
  <si>
    <t>Steven Hughes Henning</t>
  </si>
  <si>
    <t>http://www.nbcmontana.com/image/view/-/22654104/medRes/1/-/maxh/360/maxw/640/-/xdk67u/-/henning-pic-jpg.jpg</t>
  </si>
  <si>
    <t>Shastina Drive</t>
  </si>
  <si>
    <t>Weed</t>
  </si>
  <si>
    <t>96094</t>
  </si>
  <si>
    <t>Siskiyou County Sheriff’s Department</t>
  </si>
  <si>
    <t>http://www.nbcmontana.com/news/whitefish-man-killed-in-california-police-shooting/22654088</t>
  </si>
  <si>
    <t>John Robert Dellafiora</t>
  </si>
  <si>
    <t>46</t>
  </si>
  <si>
    <t>Interstate 80/Mile Marker 194</t>
  </si>
  <si>
    <t>Winnemucca</t>
  </si>
  <si>
    <t>89445</t>
  </si>
  <si>
    <t>Humboldt County Sheriff's Office</t>
  </si>
  <si>
    <t>During a traffic stop, Dellafiora suddenly drove away and law enforcement pursued him for 28 miles on Interstate 80. Dellafiora drove the wrong way up the ramp into Golconda, then stopped the car and reportedly began firing on law enforcement.Officers returned fire and killed Dellafiora.</t>
  </si>
  <si>
    <t>http://www.kolotv.com/news/northernnevadanews/headlines/Officer-Involved-Shooting-in-Golconda-229049751.html</t>
  </si>
  <si>
    <t>Matthew Scott Lofaro</t>
  </si>
  <si>
    <t>http://ak-cache.legacy.net/legacy/images/cobrands/nhregister/photos/newhavenregister_lofaro_20131025.jpgx?w=200&amp;h=200&amp;option=1&amp;fc=fff</t>
  </si>
  <si>
    <t>719 Boston Post Road</t>
  </si>
  <si>
    <t>06460</t>
  </si>
  <si>
    <t>Lofaro was shot and killed by a state trooper after refusing to drop his weapon while committing an armed robbery at a convenience store.</t>
  </si>
  <si>
    <t>http://www.ct.gov/csao/cwp/view.asp?a=1802&amp;q=538100</t>
  </si>
  <si>
    <t>Michael Regner Tray</t>
  </si>
  <si>
    <t>27</t>
  </si>
  <si>
    <t>http://o.aolcdn.com/dims-shared/dims3/PATCH/format/jpg/quality/82/resize/196x295/http://hss-prod.hss.aol.com/hss/storage/patch/f7fb53e7db892c990498685d7bc7ee7</t>
  </si>
  <si>
    <t>10745 Smetana Road</t>
  </si>
  <si>
    <t>Minnetonka</t>
  </si>
  <si>
    <t>55345</t>
  </si>
  <si>
    <t>Minnetonka Police Department</t>
  </si>
  <si>
    <t>Tray was shot by police after allegedly pointing a revolver at them in a garage of an apartment complex.</t>
  </si>
  <si>
    <t>http://www.startribune.com/local/west/253646551.html</t>
  </si>
  <si>
    <t>Terrance Harris</t>
  </si>
  <si>
    <t>200 E 107th St</t>
  </si>
  <si>
    <t>Officers received a call of a woman being threatened by a man with a knife, according to a statement from police. Police arrived at the home and heard loud screams from inside the home, police said. After police sergeant and two officers forced their way inside, the 40-year-old Harris attacked the sergeant with a butcher knife, stabbing him in the face, police said. Harris was shot and killed.</t>
  </si>
  <si>
    <t>http://www.dnainfo.com/chicago/20131023/roseland/man-fatally-shot-by-cops-after-stabbing-officer-police-say</t>
  </si>
  <si>
    <t>Ryan Salonga</t>
  </si>
  <si>
    <t>http://www.fatalencounters.org/wp-content/uploads/2013/10/RyanSalonga.jpg</t>
  </si>
  <si>
    <t>500 block Poplar Avenue</t>
  </si>
  <si>
    <t>94066</t>
  </si>
  <si>
    <t>San Bruno Police Department</t>
  </si>
  <si>
    <t>Police shot and killed a stolen car suspect.</t>
  </si>
  <si>
    <t>Andy Lopez</t>
  </si>
  <si>
    <t>http://graphics8.nytimes.com/images/2013/10/24/us/24shooting2/24shooting2-popup.jpg</t>
  </si>
  <si>
    <t>Moorland Ave and West Robles Ave</t>
  </si>
  <si>
    <t>95407</t>
  </si>
  <si>
    <t>Sonoma County Sheriff's Department</t>
  </si>
  <si>
    <t>Sheriff’s deputies shot and killed a 13-year-old boy who was carrying a replica assault rifle they mistook for the real thing.</t>
  </si>
  <si>
    <t>http://www.nytimes.com/2013/10/24/us/boy-13-carrying-toy-guns-is-shot-dead-by-deputies.html</t>
  </si>
  <si>
    <t>Brian Michael Hunter</t>
  </si>
  <si>
    <t>http://crimeblog.dallasnews.com/files/2013/10/Brian_Michael_Hunter-300x225.jpg</t>
  </si>
  <si>
    <t xml:space="preserve">LBJ Freeway and Abrams Road </t>
  </si>
  <si>
    <t>Michael Hunter was stopped late Monday for an unsafe lane change and later died in police custody. Hunter was moved to an isolated cell after being in general population, and that’s where he was discovered dead on Tuesday. Officers attempted to resuscitate him but then transported him to Baylor where he was pronounced dead.</t>
  </si>
  <si>
    <t>http://crimeblog.dallasnews.com/2013/10/man-held-after-traffic-stop-found-unresponsive-in-city-jail-cell-pronounced-dead-at-hospital.html/</t>
  </si>
  <si>
    <t>James "J.D" David Duttman</t>
  </si>
  <si>
    <t>http://bloximages.newyork1.vip.townnews.com/mysuncoast.com/content/tncms/assets/v3/editorial/f/21/f21da24e-3cd8-11e3-8931-0019bb30f31a/5269651f3267c.image.jpg?resize=300%2C203</t>
  </si>
  <si>
    <t>N Toledo Blade Blvd &amp; I-75</t>
  </si>
  <si>
    <t>34286</t>
  </si>
  <si>
    <t>The department says Officer Aaron Nick was checking a report of a suspicious vehicle on Toledo Blade Boulevard, about a half mile north of I-75. The department says a man inside the suspicious vehicle, which was a white minivan, brandished a weapon during the incident and was shot.The victim was pronounced dead at the hospital.</t>
  </si>
  <si>
    <t>http://www.abc-7.com/story/23763963/one-dead-in-officer-involved-shooting-in-north-port#.VJnKDAEzDx</t>
  </si>
  <si>
    <t>Tracy Clyde</t>
  </si>
  <si>
    <t>http://walb.images.worldnow.com/images/25055856_BG5.jpg</t>
  </si>
  <si>
    <t>Pine Ave N</t>
  </si>
  <si>
    <t>31763</t>
  </si>
  <si>
    <t>Leesburg Police Department</t>
  </si>
  <si>
    <t>Clyde was wanted for assault and robbery. Police found him in an vacant house. Clyde fought with an officer until being shot and killed.</t>
  </si>
  <si>
    <t>http://www.walb.com/story/25055856/lee-co-officer-cleared-in-shooting</t>
  </si>
  <si>
    <t>Christoval Quintana</t>
  </si>
  <si>
    <t>http://www.meaningfulfunerals.net/fh_live/11100/11147/images/obituaries/2293396.jpg</t>
  </si>
  <si>
    <t>US-285</t>
  </si>
  <si>
    <t>88203</t>
  </si>
  <si>
    <t>Chaves</t>
  </si>
  <si>
    <t>Quintana was in a pursuit with officers. The pursuit ended in shots being fired. Quintana was shot and killed.</t>
  </si>
  <si>
    <t>Timothy Lopez</t>
  </si>
  <si>
    <t>47</t>
  </si>
  <si>
    <t>http://cdn.patch.com/users/46921/2013/10/T800x600/d0a0cb6661b5d57296856ffea1b36fd0.png</t>
  </si>
  <si>
    <t>4200 Saturn Way</t>
  </si>
  <si>
    <t>Union City</t>
  </si>
  <si>
    <t>94587</t>
  </si>
  <si>
    <t>Union City Police Department</t>
  </si>
  <si>
    <t>Police shot and killed a man wielding a pipe.</t>
  </si>
  <si>
    <t>http://unioncity.patch.com/groups/police-and-fire/p/suspect-killed-in-officerinvolved-shooting-identified</t>
  </si>
  <si>
    <t>Eric John Breum</t>
  </si>
  <si>
    <t>http://www.heraldnet.com/apps/pbcsi.dll/bilde?Site=DH&amp;Date=20131023&amp;Category=NEWS01&amp;ArtNo=710239873&amp;Ref=AR&amp;MaxW=800&amp;MaxH=800&amp;q=90</t>
  </si>
  <si>
    <t>47308 Stevens Pass Hwy</t>
  </si>
  <si>
    <t>Index</t>
  </si>
  <si>
    <t>98251</t>
  </si>
  <si>
    <t>Repeat DUI offender Breum (he'd spent 16 months in state prison for the crime) fled from a traffic stop and crashed his pickup on a mountain road. Pursuing deputies also struck his vehicle. With a blood-alcohol level 3 times the legal limit, he died of his injuries. One of at least four fatal high-speed police chases in this county in 2013.</t>
  </si>
  <si>
    <t>http://www.heraldnet.com/article/20150121/NEWS01/150129827/Fatal-DUI-police-pursuit-near-Gold-Bar-was-lawful-says-county-prosecutor</t>
  </si>
  <si>
    <t>David D. Long</t>
  </si>
  <si>
    <t>210 Rayburn Street</t>
  </si>
  <si>
    <t>Coffeeville</t>
  </si>
  <si>
    <t>38922</t>
  </si>
  <si>
    <t>Yalobusha</t>
  </si>
  <si>
    <t>Coffeeville Police Department</t>
  </si>
  <si>
    <t>Investigators say that Savage was responding alone, to a domestic incident. There was a shootout and Savage was shot four times. His return fire, killing the assailant, David Long.</t>
  </si>
  <si>
    <t>http://www.wmcactionnews5.com/story/23741323/officer-shot-and-in-critical-condition</t>
  </si>
  <si>
    <t>Abayomi Afolabi</t>
  </si>
  <si>
    <t>10100 block Winkler Dr</t>
  </si>
  <si>
    <t>Florissant Police Department</t>
  </si>
  <si>
    <t>Police report that they went to Afolabi's home after his ex-wife reported a domestic disturbance at her home, and saw him pulling his van into his driveway. They initially reported that he rammed their van, and that he "showed a handgun and they fired one shot striking the suspect in the head, killing him". They later reported that Afolabi shot himself in the head. A neighbor witness said "I observed the officer telling the guy to stop he was backing up real slow in his driveway and the one officer just opened fire on him."</t>
  </si>
  <si>
    <t>http://www.stltoday.com/news/local/crime-and-courts/man-shot-by-florissant-police-died-of-self-inflicted-wound/article_866722f4-ae2b-5463-910f-1b04f03ed289.html</t>
  </si>
  <si>
    <t>Ian Burlakoff</t>
  </si>
  <si>
    <t>http://media.cmgdigital.com/shared/img/photos/2013/10/21/3c/27/IanBurlakoff.JPG</t>
  </si>
  <si>
    <t>Ocean Boulevard</t>
  </si>
  <si>
    <t>33432</t>
  </si>
  <si>
    <t>Boca Raton Police Department</t>
  </si>
  <si>
    <t>Police shot and killed Burlakoff after failing to comply with officers' orders and tried to reach for a handgun. Witnesses said that Burlakoff shot and killed a woman, who was related to him. Her body was found in an empty lot.</t>
  </si>
  <si>
    <t>http://articles.sun-sentinel.com/2013-10-27/digitalunlimited/fl-boca-shootings-more-details-20131022_1_marriage-boca-couple-fatal-shootings</t>
  </si>
  <si>
    <t>Mariano Joseph Mauro</t>
  </si>
  <si>
    <t>http://www.news10.net/images/300/169/2/assetpool/images/131023030345_mariano-mauro-640.jpg</t>
  </si>
  <si>
    <t>500 1st Avenue</t>
  </si>
  <si>
    <t>Portola</t>
  </si>
  <si>
    <t>96122</t>
  </si>
  <si>
    <t>Plumas</t>
  </si>
  <si>
    <t>Plumas County Sheriff's Office</t>
  </si>
  <si>
    <t>Mauro had checked himself into the Eastern Plumas Health Care Center in Portola Saturday night for an unspecified ailment and later began exhibiting "menacing" behavior, according to Plumas County Sheriff Greg Hagwood. Hagwood said nursing staff called 911 just before 1 a.m. Sunday and the arriving deputy found Mauro barricaded in his room.At various points in the struggle, Mauro reportedly got control of the deputy's taser and baton and fired a shot from the deputy's handgun while it was still holstered.The deputy managed to regain control of the handgun and killed Mauro with multiple shots in the lobby.</t>
  </si>
  <si>
    <t>http://www.news10.net/news/article/261538/2/Patient-IDd-in-fatal-Plumas-deputy-hospital-shooting</t>
  </si>
  <si>
    <t>Taemarr Walker</t>
  </si>
  <si>
    <t>http://wfmj.images.worldnow.com/images/23740479_BG1.jpg</t>
  </si>
  <si>
    <t>Palmyra Rd SW &amp; Risher Rd</t>
  </si>
  <si>
    <t>44485</t>
  </si>
  <si>
    <t>Warren Police Department</t>
  </si>
  <si>
    <t>Taemarr Walker, 24, was shot and killed by Officer Michael Krafcik after allegedly pulling a gun and refusing to obey the officer’s orders to drop the weapon, according to WFMJ. One officer said, "I saw the rifle, he was in the backseat. All this time he was in the backseat and then he dove over the front seat and pulled a handgun from under the front seat. When I saw the gun, I told him if he grabbed the rifle I would shoot him."</t>
  </si>
  <si>
    <t>http://www.policeone.com/officer-shootings/articles/6547413-Video-Ohio-police-respond-to-dramatic-OIS/</t>
  </si>
  <si>
    <t>Ernesto Gutierrez Cortez</t>
  </si>
  <si>
    <t>9495 Customhouse Plaza</t>
  </si>
  <si>
    <t>Otay Mesa</t>
  </si>
  <si>
    <t>Carjacking suspect made a U-turn and drove toward border agents who fired at him and killed him.</t>
  </si>
  <si>
    <t>http://www.nbcsandiego.com/news/local/Suspect-CHP-High-Speed-Pursuit-North-County-to-Otay-Mesa-228469991.html</t>
  </si>
  <si>
    <t>Otay Mesa Fwy and Siempre Viva Rd</t>
  </si>
  <si>
    <t>Police chased a suspected carjacker 100+ miles to the Otay Mesa Mexico-US border, where the Border Patrol had closed it in anticipation of his arrival. The man reportedly tried to veer past officers in an attempt to cross the border. Three officers fired into the vehicle, killing him.</t>
  </si>
  <si>
    <t>Eddie Hollins</t>
  </si>
  <si>
    <t>6217 Two Notch Road</t>
  </si>
  <si>
    <t>29223</t>
  </si>
  <si>
    <t>Police responded to a robbery in progress at a retail store and encountered Hollins and his alleged partner James Branch, 43. They apprehended and handcuffed Branch as Hollins got into the truck. While backing up to flee, Hollins reportedly hit or ran over Branch twice (reported in critical condition 10/19). Police fired multiple times, hitting Hollins in the upper body. He drove a mile before he crashed the truck into the wall of a bar and died.</t>
  </si>
  <si>
    <t>http://www.wistv.com/story/23725933/one-suspect-dead-another-hospitalized-after-burglary-attempt</t>
  </si>
  <si>
    <t>Felix Valdez</t>
  </si>
  <si>
    <t>3255 South Halsted St</t>
  </si>
  <si>
    <t>60608</t>
  </si>
  <si>
    <t>Police responded to a domestic disturbance call at which they report that Valdez had a knife. When officers reportedly told him to drop the knife he approached them or lunged with the knife. "An officer then fatally shot the man in self-defense."</t>
  </si>
  <si>
    <t>http://www.nbcchicago.com/news/local/3000-south-halsted-bridgeport-shooting-228309841.html</t>
  </si>
  <si>
    <t>James Allen</t>
  </si>
  <si>
    <t>http://centerforhealthreporting.org/sites/centerforhealthreporting.org/files/styles/left-col-full-width/public/w9l9V.AuSt_.8.jpeg?itok=4bf7J1OS</t>
  </si>
  <si>
    <t>5700 W Country Ave</t>
  </si>
  <si>
    <t>Visalia police shot James outside the family home after he threatened his mother with a knife.</t>
  </si>
  <si>
    <t>http://centerforhealthreporting.org/article/could-lauras-law-have-saved-visalia-couples-son</t>
  </si>
  <si>
    <t>Shawn Dewayne Dean</t>
  </si>
  <si>
    <t>Mannasota and Dudley Avenue</t>
  </si>
  <si>
    <t>Baltimore City police say 40-year-old Shawn Dean was pulled over for running through a stop sign. “When an officer on the driver side stepped away from the car, the suspect started the vehicle and drove off,” said Commissioner Anthony Batts, Baltimore City Police Department.Baltimore City police say the officer was dragged from Mannasota and Dudley Avenue two blocks away to Shannon Drive. The suspect’s vehicle actually jumped the curb after he was shot.</t>
  </si>
  <si>
    <t>justified</t>
  </si>
  <si>
    <t>http://baltimore.cbslocal.com/2013/10/17/2-injured-in-police-involved-shooting-in-baltimore/</t>
  </si>
  <si>
    <t>Jose Guerrero</t>
  </si>
  <si>
    <t>5900 block Beachview Dr</t>
  </si>
  <si>
    <t>46224</t>
  </si>
  <si>
    <t>Carmel Police Department</t>
  </si>
  <si>
    <t>During a multi-agency drug task force "sting", two officers attempted to serve an arrest warrant at an apartment. Guerrero reportedly "emerged from a closet pointing a gun" at the officers and ignored their commands to drop the gun. They shot and killed him.</t>
  </si>
  <si>
    <t>http://stopthedrugwar.org/chronicle/2013/oct/18/indianapolis_man_killed_drug_tas</t>
  </si>
  <si>
    <t>Jason Michael Kerr</t>
  </si>
  <si>
    <t>http://www.tampabay.com/resources/images/dti/rendered/2013/10/RenderImage%20(2)_11753184_8col.jpg</t>
  </si>
  <si>
    <t>1755 Dr Martin Luther King Jr St S</t>
  </si>
  <si>
    <t>33705</t>
  </si>
  <si>
    <t>Restaurant employees called 911 to report that Kerr was "sweaty and nervous" and had a gun. Officers followed his vehicle to a nearby parking lot, where they allege that he shot three times into their cruisers. Officers Matthew Laliberte, Scott Kirpan, Mark Kruzell and Matthew Stringfellow returned fire, killing him.</t>
  </si>
  <si>
    <t>http://www.baynews9.com/content/news/baynews9/news/article.html/content/news/articles/bn9/2013/11/8/st_petersburg_police.html</t>
  </si>
  <si>
    <t>Adrian Suarez</t>
  </si>
  <si>
    <t>100 block East Main Street</t>
  </si>
  <si>
    <t>Wishram</t>
  </si>
  <si>
    <t>98635</t>
  </si>
  <si>
    <t>Klickitat</t>
  </si>
  <si>
    <t>Oregon State Police, The Dalles Police Department, Klickatat County Sheriff's Department</t>
  </si>
  <si>
    <t>Rape suspect Suarez from The Dalles, Oregon, died in a shootout with officers from both Washington and Oregon. He'd been spotted through the open window of a house and appeared armed. Suarez fled from the back door, ran for about a block, turned and wounded one officer with a gunshot, then was shot down.</t>
  </si>
  <si>
    <t>http://www.oregonlive.com/pacific-northwest-news/index.ssf/2013/10/the_dalles_man_22_identified_a.html</t>
  </si>
  <si>
    <t>Christopher Eric Augustin</t>
  </si>
  <si>
    <t>4145 Shadow Lane</t>
  </si>
  <si>
    <t>95405</t>
  </si>
  <si>
    <t>Paul Walters, 46, called 911 to report that Augustin was delusional and holding people against their will in an apartment. Police arrived and found him naked. They report that when he failed to obey commands and became combative, they wrestled him onto a bed and handcuffed him. Because he continued to kick, they used a maximum restraint cord (waist and ankles). They report that he went unconscious moments later, and that he could not be revived.</t>
  </si>
  <si>
    <t>http://www.pressdemocrat.com/news/2221236-181/man-who-died-in-santa?page=1</t>
  </si>
  <si>
    <t>Kevin Robert Welsh</t>
  </si>
  <si>
    <t>http://www.hayspost.com/wp-content/uploads/2013/10/Screen-Shot-2013-10-09-at-12.54.04-PM.png</t>
  </si>
  <si>
    <t>N Poplar St &amp; W 8th St</t>
  </si>
  <si>
    <t>67045</t>
  </si>
  <si>
    <t>Greenwood</t>
  </si>
  <si>
    <t>Kansas Bureau of Investigation</t>
  </si>
  <si>
    <t>Welsch was the subject of a triple-shooting manhunt. Local police led Kansas Bureau of Investigation officers to an abandoned house, where they encountered him. He reportedly pointed a gun at them, and they shot at him multiple times, killing him.</t>
  </si>
  <si>
    <t>http://cjonline.com/news/state/2013-10-17/homicide-suspect-welsh-killed-after-police-spot-unlocked-door-his-hideout</t>
  </si>
  <si>
    <t>Cameron Massey</t>
  </si>
  <si>
    <t>http://wrbl.images.worldnow.com/images/3322886_G.jpg</t>
  </si>
  <si>
    <t>U.S. Highway 431</t>
  </si>
  <si>
    <t>Eufaula</t>
  </si>
  <si>
    <t>Barbour</t>
  </si>
  <si>
    <t>Barbour County Sheriff's Department</t>
  </si>
  <si>
    <t>Aaron Dumas</t>
  </si>
  <si>
    <t>32</t>
  </si>
  <si>
    <t>http://whbq.images.worldnow.com/images/24329596_BG1.jpg</t>
  </si>
  <si>
    <t>1300 Worthington St</t>
  </si>
  <si>
    <t>Smoke inhilation</t>
  </si>
  <si>
    <t>Killed when tactical officers of the Memphis police department threw tear gas chemicals into the house where they had chased Dumas, causing the house to catch on fire, and burning him alive. Several neighbors had their house damaged by the flames.</t>
  </si>
  <si>
    <t>John Shepherd</t>
  </si>
  <si>
    <t>http://ksla.images.worldnow.com/images/23701683_BG2.JPG</t>
  </si>
  <si>
    <t>500 Americana Drive</t>
  </si>
  <si>
    <t>71105</t>
  </si>
  <si>
    <t>Police were called after a woman reported Shepard acting erratically. The 58-year-old attempted to attack EMS personnel with a kitchen knife, and was then fatally shot by responding officers after advancing towards them armed with a knife.</t>
  </si>
  <si>
    <t>http://raycomnbc.worldnow.com/story/24210037/spd-officer-cleared-in-fatal-shooting-of-knife-wielding-man</t>
  </si>
  <si>
    <t>Andrew Aldrich</t>
  </si>
  <si>
    <t>http://archives.webexpressventures.com/fullsize/50/fb/50fb4175be155ec8ef74b266099859446017e009.jpg</t>
  </si>
  <si>
    <t>Drake Cir</t>
  </si>
  <si>
    <t>29624</t>
  </si>
  <si>
    <t>Police were called to Aldrich's home on a domestic call, and fatally shot the 24-year-old after he picked up a dropped taser and aimed it at officers.</t>
  </si>
  <si>
    <t>http://www.foxcarolina.com/story/23689681/shooting-reported-in-anderson-county</t>
  </si>
  <si>
    <t>Earl Glenn Morrow</t>
  </si>
  <si>
    <t>http://www.fatalencounters.org/wp-content/uploads/2013/10/GlennMorrow.jpg</t>
  </si>
  <si>
    <t>E College St &amp; Deer Ave</t>
  </si>
  <si>
    <t>Ozark</t>
  </si>
  <si>
    <t>36360</t>
  </si>
  <si>
    <t>Dale</t>
  </si>
  <si>
    <t>Ozark Police Department</t>
  </si>
  <si>
    <t>Morrow, who suffered from dementia, was fatally shot by police after threatening a neighbor with a gun and then refusing to lower the weapon when police arrived.</t>
  </si>
  <si>
    <t>http://archive.montgomeryadvertiser.com/article/20131016/NEWS/131016004/Ozark-Police-Chief-Police-justified-killing-83-year-old-man</t>
  </si>
  <si>
    <t>Jacob Westberg</t>
  </si>
  <si>
    <t>http://marshallindependent.com/photos/news/lg/542042_1.jpg</t>
  </si>
  <si>
    <t>6613 W. 15th Place</t>
  </si>
  <si>
    <t>Sioux Falls</t>
  </si>
  <si>
    <t>57106</t>
  </si>
  <si>
    <t>Minnehaha</t>
  </si>
  <si>
    <t>Sioux Falls Police Department</t>
  </si>
  <si>
    <t>Police shot and killed a Sioux Falls man after he came out of a house and pointed a gun at officers Monday evening. Police were called to the scene because the man was suicidal, and there were reports of gunshots in the house.</t>
  </si>
  <si>
    <t>http://www.argusleader.com/article/20131015/NEWS/131015010/</t>
  </si>
  <si>
    <t>Shaqur McNair</t>
  </si>
  <si>
    <t>http://wwwcache.wral.com/asset/news/local/2013/10/14/12994173/12994173-1381773950-300x225.jpg</t>
  </si>
  <si>
    <t>200 Bertram Pl</t>
  </si>
  <si>
    <t>An officer responding to a domestic dispute fatally shot McNair after the 16-year-old allegedly pulled a gun on the officer. After a year-long investigation, the officer was cleared of any criminal wrongdoing.</t>
  </si>
  <si>
    <t>http://www.fayobserver.com/news/crime_courts/da-no-charges-to-be-filed-against-fayetteville-police-officer/article_b3c06750-b126-5805-aa09-a029e98b910f.html</t>
  </si>
  <si>
    <t>William Taylor</t>
  </si>
  <si>
    <t>http://chronicle.northcoastnow.com/wp-content/uploads/2013/10/William_Taylor_Mug-279x300.jpg</t>
  </si>
  <si>
    <t>1018 W 17th St</t>
  </si>
  <si>
    <t>Lorain</t>
  </si>
  <si>
    <t>44052</t>
  </si>
  <si>
    <t>Lorain Police Department</t>
  </si>
  <si>
    <t>Taylor dove through a closed window into a home. He was detained by the family until police arrived and arrested him. Taylor was tasered and died later at the hospital.</t>
  </si>
  <si>
    <t>http://www.wkyc.com/news/article/318174/45/911-calls-in-bizarre-Lorain-homicide-released</t>
  </si>
  <si>
    <t>Brandon Devone Smith</t>
  </si>
  <si>
    <t>http://www.starnewsonline.com/apps/pbcsi.dll/bilde?Site=WM&amp;Date=20131107&amp;Category=ARTICLES&amp;ArtNo=131109742&amp;Ref=AR&amp;imageVersion=Main&amp;MaxW=445&amp;border=0</t>
  </si>
  <si>
    <t>Carl Seitter Drive and Fulbright Street</t>
  </si>
  <si>
    <t>New Hanover County Sheriff's Department, Bureau of Alcohol, Tobacco, Firearms and Explosives</t>
  </si>
  <si>
    <t>Hayden Blackman</t>
  </si>
  <si>
    <t>http://images.rnews.com/media/2011/10/22/images/haydene425d3be-2e9b-4bee-a397-c99775496398.jpg</t>
  </si>
  <si>
    <t>181 Columbia Avenue</t>
  </si>
  <si>
    <t>14608</t>
  </si>
  <si>
    <t>Police were called to Blackman's house twice within 40 minutes, the first time because of a dispute between a 16-year-old boy and his 13-year-old sister, the second time because Blackman was reportedly holding a knife to threaten his 16-year-old stepson. Police ordered him to drop the knife. He did not and was shot multiple times.</t>
  </si>
  <si>
    <t>http://rochester.twcnews.com/content/news/560398/man-killed-in-officer-involved-shooting/</t>
  </si>
  <si>
    <t>Fernando Gomez</t>
  </si>
  <si>
    <t>http://www.lonestarq.com/wp-content/uploads/2013/11/Mercedes-Demarco-via-Facebook-588x345.png</t>
  </si>
  <si>
    <t>1301 North Mesa Street</t>
  </si>
  <si>
    <t>79902</t>
  </si>
  <si>
    <t>Gomez, a well-known drag queen, died after being arrested and tasered by El Paso police. An autopsy revealed that Gomez's death was accidental, and the 36-year-old ingested cocaine before dying.</t>
  </si>
  <si>
    <t>Jonathan Kane Garay</t>
  </si>
  <si>
    <t>http://m.standardspeaker.com/polopoly_fs/1.1718107.1405134619!/image/image.jpg_gen/derivatives/landscape_300/image.jpg</t>
  </si>
  <si>
    <t>521 Alter Street</t>
  </si>
  <si>
    <t>Hazleton</t>
  </si>
  <si>
    <t>18201</t>
  </si>
  <si>
    <t>Hazleton Police Department</t>
  </si>
  <si>
    <t>Police report that while responding to a nearby fight, they pursued a man into Garay's backyard, and that they saw Garay with a gun in his waistband. They report that during a struggle on the porch, they allege that Garay pointed his gun at Officer Michael Colasardo, who shot him twice. The family claims that Garay was shot inside the home and did not point his gun at the police, and that a family member was tasered. They filed a $3.45M wrongful death suit 07/14.</t>
  </si>
  <si>
    <t>http://m.standardspeaker.com/news/family-files-3-45m-police-shooting-lawsuit-1.1718109</t>
  </si>
  <si>
    <t>Brad Evans</t>
  </si>
  <si>
    <t>http://www.wyff4.com/image/view/-/22421728/highRes/2/-/w/240/-/122fcbqz/-/Brad-Evans.jpg</t>
  </si>
  <si>
    <t>SC-81</t>
  </si>
  <si>
    <t>29684</t>
  </si>
  <si>
    <t>Evans, who had a history of heart problems and recently ingested amphetamine, led police on a lengthy car chase before crashing and running away from officers. Evans was tasered, captured, and died from medical complications shortly after arrest.</t>
  </si>
  <si>
    <t>http://www.wyff4.com/news/local-news/anderson-news/driver-tasered-after-highspeed-chase-dies/22417946</t>
  </si>
  <si>
    <t>Benjamin Henry Burba</t>
  </si>
  <si>
    <t>http://wdrb.images.worldnow.com/images/23687978_BG1.jpg</t>
  </si>
  <si>
    <t>631 S Lincoln Blvd</t>
  </si>
  <si>
    <t>Hodgenville</t>
  </si>
  <si>
    <t>42748</t>
  </si>
  <si>
    <t>Larue</t>
  </si>
  <si>
    <t>Police serving a warrant at 2 a.m. on Burba fatally shot the 59-year-old after he grabbed a B.B. gun and pointed it at officers.</t>
  </si>
  <si>
    <t>http://www.wlky.com/news/local-news/kentucky-news/friends-ask-questions-after-man-killed-in-officerinvolved-shooting/22432774</t>
  </si>
  <si>
    <t>Monica Ritchey</t>
  </si>
  <si>
    <t>45</t>
  </si>
  <si>
    <t>1506 Woodhaven Lane</t>
  </si>
  <si>
    <t>Sparks</t>
  </si>
  <si>
    <t>89431</t>
  </si>
  <si>
    <t>Sparks Police Department</t>
  </si>
  <si>
    <t>Called to a report of a woman threatening suicide and shooting into the air, police shot Ritchie after she shot her 20-year-old daughter.</t>
  </si>
  <si>
    <t>https://drive.google.com/file/d/0B-l9Ys3cd80fUXFJSkRvbDY3VGM/edit?usp=sharing</t>
  </si>
  <si>
    <t>Lawrence Ports</t>
  </si>
  <si>
    <t>http://tbo.com/storyimage/TB/20131011/ARTICLE/131019741/AR/0/AR-131019741.jpg</t>
  </si>
  <si>
    <t>35 Hemlock Drive</t>
  </si>
  <si>
    <t>Kings Park</t>
  </si>
  <si>
    <t>11754</t>
  </si>
  <si>
    <t>https://www.newsli.com/2013/10/14/kings-park-man-dies-in-stony-brook-hospital-possible-result-of-head-injury-after-struggle-with-police/</t>
  </si>
  <si>
    <t>Sheldon C. Norman</t>
  </si>
  <si>
    <t>1001 E Memorial Blvd</t>
  </si>
  <si>
    <t>33801</t>
  </si>
  <si>
    <t>Polk County Sheriff’s Office</t>
  </si>
  <si>
    <t>Norman's sister called authorities about his brother because he said he was going to kill himself. When officers found him in his car, he had a gun and refused to drop it. He was shot and killed by authorities.</t>
  </si>
  <si>
    <t>http://dailyridge.com/headlines-now/2013/10/11/deputy-involved-shooting-in-lakeland-one-person-deceased/</t>
  </si>
  <si>
    <t>Shawn Keith Nims</t>
  </si>
  <si>
    <t>http://blog.adl.org/wp-content/uploads/2013/10/Shawn-Keith-Nims-Facebook-262x350.jpg</t>
  </si>
  <si>
    <t>7300 Cedar Dr</t>
  </si>
  <si>
    <t>Cedar Hill</t>
  </si>
  <si>
    <t>63016</t>
  </si>
  <si>
    <t>Deputies were searching for Nims. They found him in a home at Cedar Drive. He tried to flee from the home, but was stopped. He refused to drop his gun and shot and wounded two deputies. Deputies then shot and killed Nims.</t>
  </si>
  <si>
    <t>http://www.stltoday.com/news/local/crime-and-courts/suspect-who-ambushed-shot-two-deputies-is-killed-in-jefferson/article_4562294a-57c7-5468-a2e5-71510ef99d27.html</t>
  </si>
  <si>
    <t>Raymond Johnson</t>
  </si>
  <si>
    <t>http://cdn.abclocal.go.com/images/kabc/cms_exf_2007/news/local/inland_empire/9291505_600x338.jpg</t>
  </si>
  <si>
    <t>23000 Hemlock Ave</t>
  </si>
  <si>
    <t>92557</t>
  </si>
  <si>
    <t>Johnson was on PCP and violently kicking his feet and striking his fists in an uncontrollable manner when officers arrived, police say Johnson was agitated and refused to get out of his vehicle, even after officers used pepper spray and a Taser. Eventually, Johnson was removed from the vehicle, handcuffed and placed on the ground. As he was laying on the ground, police noticed that he had stopped breathing. A coroner listed the cause of death as "hypertensive cardiovascular disease with other significant condition of Acute Phencyclidine (PCP) intoxication and physical altercation with law enforcement."</t>
  </si>
  <si>
    <t>http://abc7.com/archive/9365131/</t>
  </si>
  <si>
    <t>Kenneth Ray Clark</t>
  </si>
  <si>
    <t>http://bloximages.newyork1.vip.townnews.com/tricities.com/content/tncms/assets/v3/editorial/5/69/569bb928-3378-11e3-8beb-0019bb30f31a/5259a99eba606.image.jpg?resize=300%2C225</t>
  </si>
  <si>
    <t>2504 Bay St</t>
  </si>
  <si>
    <t>Sullivan County Sheriff’s Office</t>
  </si>
  <si>
    <t>Clark tried to run over two policemen Friday evening while fleeing the scene of an active meth lab on Bay Street. He was shot by the officers and died of his injuries.</t>
  </si>
  <si>
    <t>http://www.tricities.com/news/local/article_5ab85210-32e1-11e3-995c-001a4bcf6878.html</t>
  </si>
  <si>
    <t>Max Cocheta Martin</t>
  </si>
  <si>
    <t>http://www.homefacts.com/images/offenders/california/thumb/18605071J5719.jpg</t>
  </si>
  <si>
    <t>Elkins Rd</t>
  </si>
  <si>
    <t>Leicester</t>
  </si>
  <si>
    <t>28748</t>
  </si>
  <si>
    <t>Buncombe</t>
  </si>
  <si>
    <t>Buncombe County Sheriff’s Office</t>
  </si>
  <si>
    <t>Officers serving a warrant on Martin, a registered sex offender, fatally shot the 43-year-old after he fired an arrow at officers.</t>
  </si>
  <si>
    <t>http://www.wyff4.com/news/north-carolina-news/bcso-1-dead-in-officer-involved-shooting/22359802</t>
  </si>
  <si>
    <t>Christopher Ouellette</t>
  </si>
  <si>
    <t>Main Street and Middle Street</t>
  </si>
  <si>
    <t>Old Town</t>
  </si>
  <si>
    <t>04468</t>
  </si>
  <si>
    <t>Ouellette, with a record of domestic violence, called police to confess that he'd stabbed his girlfriend to death. She'd been pregnant with their child. State troopers responded around 6 p.m., and within about 40 minutes Ouellette had been shot to death.</t>
  </si>
  <si>
    <t>Thomas J. Piccard</t>
  </si>
  <si>
    <t>http://binaryapi.ap.org/e3c5fe53bcff47c3a9592034c467c19d/460x.jpg</t>
  </si>
  <si>
    <t>1125 Chapline Street</t>
  </si>
  <si>
    <t>26003</t>
  </si>
  <si>
    <t>Ohio</t>
  </si>
  <si>
    <t>Piccarrd was a former police officer who was diagnosed with cancer. He had a hatred for the federal government and decided to fire shots at a federal building. Officers arrived and were shot at by Piccarrd. Officers shot and killed Piccarrd.</t>
  </si>
  <si>
    <t>http://www.cbsnews.com/news/w-va-courthouse-shooting-update-prosecutor-says-ex-cop-thomas-j-piccard-hated-govt/</t>
  </si>
  <si>
    <t>Jack Lamar Robertson</t>
  </si>
  <si>
    <t>http://i.dailymail.co.uk/i/pix/2013/10/08/article-2449377-1898F32F00000578-530_306x423.jpg</t>
  </si>
  <si>
    <t>Reed Street</t>
  </si>
  <si>
    <t>Waycross</t>
  </si>
  <si>
    <t>31501</t>
  </si>
  <si>
    <t>Ware</t>
  </si>
  <si>
    <t>Waycross Police Department</t>
  </si>
  <si>
    <t>Robertson was shot by police after he allegedly lunged at them with meat fork and knife.[33]</t>
  </si>
  <si>
    <t>http://www.huffingtonpost.com/2013/10/08/jack-lamar-roberson-police-fatally-shoot_n_4065116.html</t>
  </si>
  <si>
    <t>Winford Raynard Watkins</t>
  </si>
  <si>
    <t>http://blogs.star-telegram.com/.a/6a00d8341c2cc953ef019b000db885970d-800wi</t>
  </si>
  <si>
    <t>100 block Cindy Lane</t>
  </si>
  <si>
    <t>76085</t>
  </si>
  <si>
    <t>With various felony convictions already behind him Watkins had failed to appear for a recent 45-year prison sentence, then attacked a county officer with a tire iron during a traffic stop, then escaped. After a standoff of several hours at his residence, including tear gas, Watkins was fatally shot.</t>
  </si>
  <si>
    <t>http://www.myfoxdfw.com/story/23688677/parker-county-search-for-suspect-who-battled-deputy</t>
  </si>
  <si>
    <t>Darrell Atkinson</t>
  </si>
  <si>
    <t>Venice Blvd &amp; Cadillac Ave</t>
  </si>
  <si>
    <t>90034</t>
  </si>
  <si>
    <t>http://www.nbclosangeles.com/news/local/Transient-Killed-by-Deputies-Identified-227552501.html</t>
  </si>
  <si>
    <t>Bruce Douglas Graham</t>
  </si>
  <si>
    <t>28600 block Cloverleaf Pl</t>
  </si>
  <si>
    <t>Castaic</t>
  </si>
  <si>
    <t>91384</t>
  </si>
  <si>
    <t>When deputies responded to a "suicidal man with a gun” call at a home, Graham reportedly emerged from a garage area holding a rifle. He reportedly refused to follow commands, and would not drop the rifle. When he reportedly pointed the rifle at deputies, they shot him.</t>
  </si>
  <si>
    <t>http://homicide.latimes.com/post/bruce-douglas-graham/</t>
  </si>
  <si>
    <t>Sherman T. Threets</t>
  </si>
  <si>
    <t>http://mugshot-record-search.com/mugshot/IL/Cook-County-Sheriff/2012-Jun-06/295932/SHERMAN-THREETS</t>
  </si>
  <si>
    <t>14400 block South Campbell Ave</t>
  </si>
  <si>
    <t>Posen</t>
  </si>
  <si>
    <t>60469</t>
  </si>
  <si>
    <t>Blue Island Police Department</t>
  </si>
  <si>
    <t>Jenna Sammons, 21, was recuperating from an alleged attack by Threets and he reportedly returned to her home, shot her and killed Tristan Hart, 27. Police responded and reportedly "found and killed him" in a nearby garage.</t>
  </si>
  <si>
    <t>Jared Harris</t>
  </si>
  <si>
    <t>http://stlouis.cbslocal.com/2013/10/05/st-louis-police-officer-shot/</t>
  </si>
  <si>
    <t>Taylor Ave. and Garfield Ave.</t>
  </si>
  <si>
    <t>Police Chief Sam Dotson said police observed what they thought was a hand-to-hand drug deal on McMillan Avenue and tried to stop the vehicle.The fleeing car crashed a few blocks away, at North Taylor and Garfield avenues, and the driver began shooting at police, hitting one officer in the left foot, police said. Two officers returned fire, killing the driver, Jared Harris</t>
  </si>
  <si>
    <t>http://www.stltoday.com/news/local/crime-and-courts/suspect-dead-st-louis-police-officer-wounded-after-chase/article_d9e6e206-459d-56b7-8965-cfa67006d659.html</t>
  </si>
  <si>
    <t>Zachary Goldson</t>
  </si>
  <si>
    <t>755 Mt Orab Pike</t>
  </si>
  <si>
    <t>45121</t>
  </si>
  <si>
    <t>Hanging</t>
  </si>
  <si>
    <t>http://www.wcpo.com/news/local-news/brown-county/zachary-goldson-case-argument-over-brown-county-inmates-death-goes-to-grand-jury</t>
  </si>
  <si>
    <t>Chris Sample</t>
  </si>
  <si>
    <t>165 Stanage Terrace</t>
  </si>
  <si>
    <t>Lake Hamilton</t>
  </si>
  <si>
    <t>71901</t>
  </si>
  <si>
    <t>Garland County Sheriff's Office</t>
  </si>
  <si>
    <t>Deputies responded to a domestic disturbance call at a home. They report that they heard "what sounded like the action of a firearm being operated" behind the door and saw Sample exit the house with a firearm. They report that he ignored commands to drop his weapon and pointed it at them. They then shot him multiple times.</t>
  </si>
  <si>
    <t>http://www.arkansasonline.com/news/2013/oct/07/garland-county-man-fatally-shot-officers-identifie/</t>
  </si>
  <si>
    <t>Steven Motley</t>
  </si>
  <si>
    <t>http://mediaassets.redding.com/photo/2014/04/24/19890_4199241_ver1.0_640_480.JPG</t>
  </si>
  <si>
    <t>4600 block Alta Saga Drive</t>
  </si>
  <si>
    <t>Suspect allegedly led police on a chase and stole a police cruiser. When cornered, he was allegedly beaten and tasered until unconscious.</t>
  </si>
  <si>
    <t>http://www.redding.com/news/family-steven-motley-sues-redding-over-alleged-pol</t>
  </si>
  <si>
    <t>Jeffery A. Sutherland</t>
  </si>
  <si>
    <t>http://storage.lifetributes.com/Tributes/1612551/GuestBook/4bc57dbc-37cd-4a7b-947b-d54fb6217ffd.jpg</t>
  </si>
  <si>
    <t>801 Kittitas Street</t>
  </si>
  <si>
    <t>98801</t>
  </si>
  <si>
    <t>Chelan</t>
  </si>
  <si>
    <t>Two officers came to Sutherland's home to serve a warrant. They report that while attempting to handcuff him face down on his sofa, he pulled a gun and fired at one of the officers. Officer Kissel shot him twice in the side, killing him.</t>
  </si>
  <si>
    <t>http://s3-us-west-2.amazonaws.com/assets.www.wenatcheeworld.com/media/doc/2013/12/17/7eb46c2b90-prosecutor-shooting-decision.pdf</t>
  </si>
  <si>
    <t>Reginald Williams Jr.</t>
  </si>
  <si>
    <t>http://woio.images.worldnow.com/images/23621638_BG5.jpg</t>
  </si>
  <si>
    <t>Harvard Ave &amp; E 76th St</t>
  </si>
  <si>
    <t>44105</t>
  </si>
  <si>
    <t>Police responded to an incident at the home of Eizelle Gardner and arrested Williams on kidnapping charges. Gardner states she heard police say ‘Look at this stupid m/f he's about to die." Williams ran and officers caught him in a field. Witness Kimberly Hawthorne states "They had him back there for about an hour; just kept tasing and tasing him until the taser quit working." Police report that Williams did not die during the arrest but that when he was apprehended he stated he was exhausted and could not stand up. The autopsy stated no lethal injury was found, and therefore data from the officers' tasers will not be reviewed.</t>
  </si>
  <si>
    <t>http://www.cleveland.com/metro/index.ssf/2013/10/no_lethal_injury_reported_in_a.html</t>
  </si>
  <si>
    <t>Jack Lamar Roberson</t>
  </si>
  <si>
    <t>1013 Reed St.</t>
  </si>
  <si>
    <t>William Bruce Hemphill</t>
  </si>
  <si>
    <t>http://d1t3gia0in9tdj.cloudfront.net/photo/tributes/t/8/r/207x207/1605592/f4591c0d-3fab-4003-972c-e78988328d66.jpg</t>
  </si>
  <si>
    <t>Richmond Terrace and Simonson Ave</t>
  </si>
  <si>
    <t>10303</t>
  </si>
  <si>
    <t>In the dawn hours an off-duty officer struck and killed pedestrian Hemphill. He was charged with vehicular manslaughter and DUI.</t>
  </si>
  <si>
    <t>http://www.nydailynews.com/new-york/off-duty-nypd-kills-pedestrian-car-si-article-1.1476314</t>
  </si>
  <si>
    <t>John Bartholomew</t>
  </si>
  <si>
    <t>1008 S. Fairway Drive</t>
  </si>
  <si>
    <t>54656</t>
  </si>
  <si>
    <t>Sparta Police Department</t>
  </si>
  <si>
    <t>John Bartholomew, mentally unstable, wielding knives outside of his parents house. After his parents called the police he went outside and told officers to kill him while refusing to drop the knives.</t>
  </si>
  <si>
    <t>http://lacrossetribune.com/blogs/annejungen/read-da-s-full-opinion-on-officer-involved-shooting/article_6dac5c77-843e-5be1-9775-ec14dced3e23.html</t>
  </si>
  <si>
    <t>Miriam Iris Carey</t>
  </si>
  <si>
    <t>34</t>
  </si>
  <si>
    <t>http://www.wnd.com/files/2013/12/miriam-carey-1213.jpg</t>
  </si>
  <si>
    <t>10 Maryland Ave SW</t>
  </si>
  <si>
    <t>20016</t>
  </si>
  <si>
    <t>Carey was shot and killed after she allegedly rammed into barricades near the White House and then led police on a chase toward the U.S. Capitol building.</t>
  </si>
  <si>
    <t>http://www.scribd.com/doc/216342741/The-Autopsy-Report-of-Miriam-Iris-Carey</t>
  </si>
  <si>
    <t>Michael Bryan Barnes</t>
  </si>
  <si>
    <t>3930 Monroeville Blvd</t>
  </si>
  <si>
    <t>Barnes was hit and killed by a patrol car while the 49-year-old was walking across a highway. A District Attorney investigation cleared the officer of any wrongdoing.</t>
  </si>
  <si>
    <t>http://pittsburgh.cbslocal.com/2013/11/12/d-a-completes-investigation-into-monroeville-crash/</t>
  </si>
  <si>
    <t>Timmy Dewayne Myrick</t>
  </si>
  <si>
    <t>http://jail.com/arrest-records/timothy-myrick-9735621</t>
  </si>
  <si>
    <t>W Bertig Street</t>
  </si>
  <si>
    <t>Paragould</t>
  </si>
  <si>
    <t>72450</t>
  </si>
  <si>
    <t>After a woman reported a domestic disturbance involving Myrick at her home, an officer, who was already aware of Myrick's previous "bizarre, violent behavior" reports that Myrick was aggressive through the door when he went to his home. Backup arrived, and Myrick opened the door allegedly wielding a large knife. Police report that witnesses state that Cpl. Jason Boling fell and Myrick "continued to come at" him. Boling shot him twice and Cpl. Max Adams shot him once.</t>
  </si>
  <si>
    <t>http://www.kait8.com/story/23605774/police-deadly-paragould-shooting</t>
  </si>
  <si>
    <t>Elijah Glay</t>
  </si>
  <si>
    <t>http://www.globalmediabuzz.com/death-announcements/2013/oct/images/Thumb/elijah-glay.jpg</t>
  </si>
  <si>
    <t>3900 Lighthouse Way</t>
  </si>
  <si>
    <t>Calverton</t>
  </si>
  <si>
    <t>20705</t>
  </si>
  <si>
    <t>Police responding to a domestic disturbance call found Glay, who then led police on a quarter mile chase. After a struggle, an officer fatally shot Glay.</t>
  </si>
  <si>
    <t>Adam J. Williams</t>
  </si>
  <si>
    <t>http://media.cmgdigital.com/shared/img/photos/2013/10/03/39/d7/CrashVic.jpg</t>
  </si>
  <si>
    <t>Muddy Creek Drive and Staff Road</t>
  </si>
  <si>
    <t>Slippery Rock</t>
  </si>
  <si>
    <t>16057</t>
  </si>
  <si>
    <t>For unclear reasons Williams attempted to flee from a state trooper traffic stop for his suspended license and expired tags. After a brief chase he died in a one-car accident. His 1- and 2-year-old daughters were properly strapped into their car seats and were not injured.</t>
  </si>
  <si>
    <t>http://www.wpxi.com/news/news/local/driver-killed-crash-while-attempting-flee-police-c/nbDPx/</t>
  </si>
  <si>
    <t>Maria Rita Zarate</t>
  </si>
  <si>
    <t>5200 block Magic Ave</t>
  </si>
  <si>
    <t>Police responded to a call on a "woman walking in the street with a handgun" or an "armed, suicidal woman." A "mental health professional" and officers reportedly tried to get her to unarm herself for approx. 30 minutes. She then allegedly raised the gun and "pointed it at officers in a threatening manner." Officers Matt Roy, Chris Dalton, Richard Robles, Louie Arviso, Jaime Getz, and Senior Officer Andrea Pflugh shot her. It was later determined that she was armed with an Airsoft pellet pistol.</t>
  </si>
  <si>
    <t>http://www.kuzznews.com/documents/magicois.pdf</t>
  </si>
  <si>
    <t>Joel Ledezma Ramos</t>
  </si>
  <si>
    <t>http://abclocal.go.com/ktrk/story?section=news%2Flocal&amp;id=9270067</t>
  </si>
  <si>
    <t>Cedar St. and W 8th St.</t>
  </si>
  <si>
    <t>Witnesses to recent street "gunfire" pointed out the suspect to police as he drove by. Police followed the man for about two blocks. They report that he refused to show his hands and when they opened his car door, he fired a gun at them. At least three officers shot back, killing him.</t>
  </si>
  <si>
    <t>Wendy Lawrence</t>
  </si>
  <si>
    <t>Interstate 93</t>
  </si>
  <si>
    <t>New Hampshire State Police</t>
  </si>
  <si>
    <t>http://www.concordmonitor.com/home/8751046-95/woman-dies-after-chase-police-involved-shooting-in-manchester</t>
  </si>
  <si>
    <t>Alexander Jamar "A.J." Marion</t>
  </si>
  <si>
    <t>http://www.gannett-cdn.com/-mm-/84b23e29bc2ab23ea118c6ab16392e7b43a13870/c=0-39-685-952&amp;r=537&amp;c=0-0-534-712/local/-/media/Asheville/2014/07/22/ajmarion.jpg</t>
  </si>
  <si>
    <t>99 Ascension Drive</t>
  </si>
  <si>
    <t>Asheville</t>
  </si>
  <si>
    <t>28806</t>
  </si>
  <si>
    <t>Asheville Police Department</t>
  </si>
  <si>
    <t>Officers saw Marion with a gun during a chase that lasted nearly an hour, officers heard a gun discharged and one officer said Marion pointed a gun at him at one point. Marion did not have the gun when he was shot.</t>
  </si>
  <si>
    <t>http://www.citizen-times.com/story/news/crime/2014/07/22/asheville-officer-face-charges-aj-marion-shooting/12994537/</t>
  </si>
  <si>
    <t>Travis Claye Davis</t>
  </si>
  <si>
    <t>http://local.sltrib.com/charts/shootings/images/thumbs/23.jpg</t>
  </si>
  <si>
    <t>50 E Clark St.</t>
  </si>
  <si>
    <t>Grantsville</t>
  </si>
  <si>
    <t>84029</t>
  </si>
  <si>
    <t>Grantsville Police</t>
  </si>
  <si>
    <t>Davis, reported to be suicidal, was barricaded inside his home. He posted on Facebook that he would "have to go out like Billy The Kid" and took a hangun and extra magazine outside. He allegedly pointed a gun at Barrett and screamed, "I'll do it! I'll [expletive] do it!"</t>
  </si>
  <si>
    <t>Larry Steve Howard II</t>
  </si>
  <si>
    <t>http://thumbs.mugshots.com/gallery/images/2/ed/48/Larry-Steve-Howard-II_mugshot.400x800.jpg</t>
  </si>
  <si>
    <t>51 Pleasant Retreat Rd</t>
  </si>
  <si>
    <t>Travelers Rest</t>
  </si>
  <si>
    <t>29690</t>
  </si>
  <si>
    <t>Howard suffered cardiac arrest and later died after being arrested in connection with his girlfriend's shooting death.</t>
  </si>
  <si>
    <t>Channing Eugene Nicholson</t>
  </si>
  <si>
    <t>http://www.gastongazette.com/polopoly_fs/1.210936.1380580499!/fileImage/httpImage/image.jpg_gen/derivatives/landscape_445/fatal-wreck.jpg</t>
  </si>
  <si>
    <t>246 N New Hope Rd</t>
  </si>
  <si>
    <t>Nicholson was killed in a one-vehicle motorcycle crash with police in hot pursuit at over 100 MPH, according to officers. Family held that the police narrative of events was exaggerated and dubious.</t>
  </si>
  <si>
    <t>http://www.gastongazette.com/spotlight/racing-police-chase-now-part-of-fatal-motorcycle-wreck-1.210934</t>
  </si>
  <si>
    <t>Austin Jones</t>
  </si>
  <si>
    <t>http://www.trbimg.com/img-5248ea36/turbine/ph-ag-hdg-01-supect-death-jpg-20130929/480/480x480</t>
  </si>
  <si>
    <t>700 block Erie St.</t>
  </si>
  <si>
    <t>Havre de Grace</t>
  </si>
  <si>
    <t>21078</t>
  </si>
  <si>
    <t>Harford County Special Response Team</t>
  </si>
  <si>
    <t>Jones apparently had an altercation with his girlfriend, then barricaded himself in the bedroom of the house once the police arrived. Jones then made "an overt gesture towards responding officers" and was then shot.</t>
  </si>
  <si>
    <t>http://www.baltimoresun.com/news/maryland/harford/aberdeen-havre-de-grace/ph-ag-hdg-suspect-death-1002-20130928-story.html</t>
  </si>
  <si>
    <t>Caleb Hector</t>
  </si>
  <si>
    <t>http://s3.amazonaws.com/tributecenteronline/Obituaries/69719/Thumbnail.jpg</t>
  </si>
  <si>
    <t>Dealy Road</t>
  </si>
  <si>
    <t>Big Spring</t>
  </si>
  <si>
    <t>79720</t>
  </si>
  <si>
    <t>Howard County Sheriff's Deputy</t>
  </si>
  <si>
    <t>According to the preliminary investigation, the deputy encountered an armed man and shot the individual. Caleb Hector, 19, died at the Scenic Mountain Medical Center. There was not much published about the incident.</t>
  </si>
  <si>
    <t>http://www.newswest9.com/story/23547666/howard-county-deputy-involved-in-officer-involved-shooting</t>
  </si>
  <si>
    <t>Tavaris Lokeco Gulley</t>
  </si>
  <si>
    <t>Pine Crest Cemetery</t>
  </si>
  <si>
    <t>Citronelle</t>
  </si>
  <si>
    <t>36522</t>
  </si>
  <si>
    <t>Mobile</t>
  </si>
  <si>
    <t>Mobile County Sheriff's Office</t>
  </si>
  <si>
    <t>Tavaris Gulley, holed up in a car near his mother's grave at Pine Crest Cemetery, refused several orders to surrender.After several hours, he got out of his car armed with a gun, and deputies fatally shot him.</t>
  </si>
  <si>
    <t>http://blog.al.com/live/2013/09/citronelle_homicide_suspect_ki.html</t>
  </si>
  <si>
    <t>William Keith Hall</t>
  </si>
  <si>
    <t>https://cbsdallas.files.wordpress.com/2013/09/keith-hall.jpg?w=195&amp;h=146&amp;crop=1</t>
  </si>
  <si>
    <t>10300 Sandra Lynn Dr</t>
  </si>
  <si>
    <t>75228</t>
  </si>
  <si>
    <t>After a man broke into his home attempting burglarize Hall, the 57-year-old shot the intruder and then threatened arriving officers with a handgun. Hall was fatally shot after refusing to lower his weapon.</t>
  </si>
  <si>
    <t>http://dfw.cbslocal.com/2013/09/27/dallas-police-officers-shoot-kill-homeowner/</t>
  </si>
  <si>
    <t>John Del Real</t>
  </si>
  <si>
    <t>https://whatzenalotionbar.files.wordpress.com/2014/11/john-del-real.jpg?w=90&amp;h=90&amp;crop=1</t>
  </si>
  <si>
    <t>Junipero Ave &amp; E 17th St</t>
  </si>
  <si>
    <t>John DelReal was shot and killed by a plainclothes narcotics officer after approaching the officer in a threatening and aggressive manner, police officials said. DelReal reached for an unknown object in his waistband, leading to the officer shooting.</t>
  </si>
  <si>
    <t>1600 Birchwood St</t>
  </si>
  <si>
    <t>77093</t>
  </si>
  <si>
    <t>A Houston Police Department SWAT officer fatally shot a middle aged Hispanic man while serving a drug-related search warrant. The man was allegedly pointing a gun at officers.</t>
  </si>
  <si>
    <t>http://www.chron.com/news/article/SWAT-team-fatally-shoots-suspect-during-scene-at-4841867.php</t>
  </si>
  <si>
    <t>Jose Luis Millan</t>
  </si>
  <si>
    <t>Co Rd 44B</t>
  </si>
  <si>
    <t>Waelder</t>
  </si>
  <si>
    <t>78959</t>
  </si>
  <si>
    <t>Gonzales</t>
  </si>
  <si>
    <t>Gonzales County Sheriff's Department</t>
  </si>
  <si>
    <t>During a multi-agency raid on a marijuana farm, sheriff deputies report that when they identified themselves to Millan and Daniel Ramirez, 30, Millan opened fire on them. They returned fire, killing him. Ramirez was taken into custody.</t>
  </si>
  <si>
    <t>http://www.gonzalesinquirer.com/news/article_cb0facee-2aa7-11e3-90ff-001a4bcf887a.html</t>
  </si>
  <si>
    <t>Erick Balint</t>
  </si>
  <si>
    <t>http://media.independent.com/img/photos/2013/09/26/Balint_Erick_t180.jpg?7d662043685d97479ca3193f5d07ca695b5434dc</t>
  </si>
  <si>
    <t>20000 Hillford Ave</t>
  </si>
  <si>
    <t>90746</t>
  </si>
  <si>
    <t>Long Beach Police officers investigated a man who reportedly threatened to kill his girlfriend and her family in Long Beach. He was shot to death during a running gunbattle with police officers in Carson.</t>
  </si>
  <si>
    <t>http://www.presstelegram.com/general-news/20130926/man-shot-by-long-beach-police-in-carson-gunbattle-identified</t>
  </si>
  <si>
    <t>Luke Daniel Castello</t>
  </si>
  <si>
    <t>http://www.trbimg.com/img-53a5b4ee/turbine/os-luke-castello-20140511/600/480x600</t>
  </si>
  <si>
    <t>Dunlawton Avenue and Interstate 95</t>
  </si>
  <si>
    <t>Luke Castello robbed a couple at a seedy Daytona Beach motel. Police caught up with him in a Wal-Mart parking lot. After police caught up with him, he crashed on Interstate 95 in a barrage of police bullets. Port Orange police officers — six in all — opened fire after he pulled a gun on them from the driver's seat of a stolen minivan wrecked on I-95 in Volusia County.</t>
  </si>
  <si>
    <t>http://articles.orlandosentinel.com/2014-06-21/news/os-luke-castello-killed-police-shooting-20140621_1_luke-castello-daytona-beach-police-police-pursuit</t>
  </si>
  <si>
    <t>Devell Johns</t>
  </si>
  <si>
    <t>York Road and Northern Parkway</t>
  </si>
  <si>
    <t>21212</t>
  </si>
  <si>
    <t>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t>
  </si>
  <si>
    <t>http://baltimore.cbslocal.com/2013/09/25/investigation-to-determine-if-triple-fatal-crash-was-caused-by-police-chase/</t>
  </si>
  <si>
    <t>Terrell Young aka Tavon Brown</t>
  </si>
  <si>
    <t>Tracy Daquan Bost</t>
  </si>
  <si>
    <t>http://media.graytvinc.com/images/320*200/tracy+bost+web.jpg</t>
  </si>
  <si>
    <t>1801 Fayetteville Road</t>
  </si>
  <si>
    <t>27707</t>
  </si>
  <si>
    <t>North Carolina Central University Police</t>
  </si>
  <si>
    <t>Bost had been tracked to North Carolina Central University by Durham police, prompting university officials to lock down the school for several hours. The university said that campus police approached Bost, but he fired a shotgun at an officer, and NCCU police returned fire. Bost ran into a wooded area. Authorities found him and told him to surrender, leading to a second exchange of gunfire and the man's death.</t>
  </si>
  <si>
    <t>http://www.witn.com/home/headlines/NCCU-Locked-Down-Overnight---224978702.html</t>
  </si>
  <si>
    <t>Connor Zion</t>
  </si>
  <si>
    <t>http://cdn.abclocal.go.com/images/kabc/cms_exf_2007/news/local/orange_county/9261460_448x252.jpg</t>
  </si>
  <si>
    <t>200 Chandon</t>
  </si>
  <si>
    <t>Laguna Niguel</t>
  </si>
  <si>
    <t>92677</t>
  </si>
  <si>
    <t>Officials say deputies saw 21-year-old Connor Zion stab his mother and roommate.That's when one of the deputies got too close. One of the deputies was stabbed by the suspect, another deputy shot and fatally wounded the suspect.</t>
  </si>
  <si>
    <t>http://abclocal.go.com/story?section=news/local/orange_county&amp;id=9261436</t>
  </si>
  <si>
    <t>Eric William Allen Poore</t>
  </si>
  <si>
    <t>http://media.theindychannel.com/photo/2013/09/26/Eric_Poore_1380237373032_989482_ver1.0_640_480.jpg</t>
  </si>
  <si>
    <t>Andrews Blvd E Dr</t>
  </si>
  <si>
    <t>Plainfield</t>
  </si>
  <si>
    <t>46168</t>
  </si>
  <si>
    <t>Hendricks</t>
  </si>
  <si>
    <t>Plainfield Police Department</t>
  </si>
  <si>
    <t>Poore was fatally shot by police arriving on a burglary call, and shot the 27-year-old after he pointed a gun at an officer. Poore's accomplice was arrested and charged with multiple robbery counts.</t>
  </si>
  <si>
    <t>http://www.theindychannel.com/news/local-news/burglary-suspect-fatally-shot-by-police-identified</t>
  </si>
  <si>
    <t>Antonio Nash</t>
  </si>
  <si>
    <t>http://bloximages.newyork1.vip.townnews.com/stltoday.com/content/tncms/assets/v3/editorial/5/fa/5facddf2-5401-5929-a29e-ea2c95a495b2/52430451d8ad0.preview-300.jpg</t>
  </si>
  <si>
    <t>Grand Basin</t>
  </si>
  <si>
    <t>St. Charles County Sheriff's Office</t>
  </si>
  <si>
    <t>It was about 11:15 Monday night when police say the 36-year-old off duty deputy and a female friend, 23, were jogging near the Grand Basin in Forest Park. Police say three men wearing hoodies with bandanas covering their mouths and noses approached, pulled at least one gun, and threatened the lives of their would-be victims. That’s when the deputy pulled his service weapon and opened fire. One of the suspects, 18-year-old Antonio Nash, was hit three times in the lower abdomen. He was pronounced dead at the scene.</t>
  </si>
  <si>
    <t>http://fox2now.com/2013/09/24/off-duty-sheriffs-deputy-shoots-kills-man-who-allegedly-tried-to-rob-him/</t>
  </si>
  <si>
    <t>Jeffrey Watts</t>
  </si>
  <si>
    <t>http://www.enterprisenews.com/storyimage/WL/20130925/NEWS/309259706/AR/0/AR-309259706.jpg&amp;MaxW=315&amp;MaxH=315</t>
  </si>
  <si>
    <t>Thatcher Street</t>
  </si>
  <si>
    <t>East Bridgewater</t>
  </si>
  <si>
    <t>02333</t>
  </si>
  <si>
    <t>Brockton Police Department, Massachusetts State Police</t>
  </si>
  <si>
    <t>Watts robbed a CVS store at gunpoint then led police in a high-speed chase through Brockton, Whitman and East Bridgewater. Witnesses describe a lengthy gun battle with 30 or 40 rounds in multiple volleys, Watts firing a shotgun at officers from multiple agencies. The chase ended with Watts shot to death.</t>
  </si>
  <si>
    <t>http://www.boston.com/metrodesk/2013/09/23/suspect-wounded-after-gunfire-exchanged-brockton-area-police-chase/Yb1fAdD313eSbWwhRfOYBM/story.html</t>
  </si>
  <si>
    <t>Kenneth Robert Sprankle</t>
  </si>
  <si>
    <t>http://media2.abcactionnews.com//photo/2013/09/24/WFTS-_Kenneth_Sprankle_Mug_20130924105957_320_240.JPG</t>
  </si>
  <si>
    <t>4th St N &amp; Central Ave</t>
  </si>
  <si>
    <t>33701</t>
  </si>
  <si>
    <t>St. Petersburg Police Department</t>
  </si>
  <si>
    <t>Two officers arrived and ordered Kenneth Sprankle, 27, to drop his weapon. But according to police, instead of dropping the ax, he ran toward one of the officers, yelling unintelligible statements. Multiple shots were fired. Sprankle was pronounced dead at the scene by paramedics.</t>
  </si>
  <si>
    <t>http://www.tampabay.com/news/publicsafety/crime/ax-wielding-man-shot-by-st-pete-police-had-history-of-mental-health-issues/2143608</t>
  </si>
  <si>
    <t>Breanne Michelle Sharpe</t>
  </si>
  <si>
    <t>http://www.krcrtv.com/image/view/-/22090038/highRes/1/-/maxh/360/maxw/640/-/d3mcnwz/-/Breanne-Sharpe-pic.jpg</t>
  </si>
  <si>
    <t>East 8th St &amp; Vista Verde Ave</t>
  </si>
  <si>
    <t>Chico</t>
  </si>
  <si>
    <t>Chico Police Department</t>
  </si>
  <si>
    <t>Deceased reversed car towards an officer, then u-turned vehicle, striking tree and police car. Five officers fired on car, stating fear for their lives.</t>
  </si>
  <si>
    <t>http://www.chicoer.com/breakingnews/ci_24157652/woman-shot-by-chico-officers-identified</t>
  </si>
  <si>
    <t>Juliet Macchi</t>
  </si>
  <si>
    <t>http://i.dailymail.co.uk/i/pix/2013/09/29/article-2437731-1861C06100000578-606_634x472.jpg</t>
  </si>
  <si>
    <t>546 Federal Furnace Rd</t>
  </si>
  <si>
    <t>02360</t>
  </si>
  <si>
    <t>Macchi and her mother were driving home from a baseball game when their vehicle was struck by another car driven by a drunk off-duty state trooper. The trooper, John Basler, was indicted on several charges related to the accident.</t>
  </si>
  <si>
    <t>http://randolph.wickedlocal.com/article/20140612/News/140619647</t>
  </si>
  <si>
    <t>Susan Macchi</t>
  </si>
  <si>
    <t>545 Federal Furnace Rd</t>
  </si>
  <si>
    <t>Macchi and her daughter were driving home from a baseball game when their vehicle was struck by another car driven by a drunk off-duty state trooper. The trooper, John Basler, was indicted on several charges related to the accident.</t>
  </si>
  <si>
    <t>Michael Lee Zubrod</t>
  </si>
  <si>
    <t>http://bloximages.chicago2.vip.townnews.com/globegazette.com/content/tncms/assets/v3/editorial/3/ab/3abd90d4-259d-11e3-87e0-0019bb2963f4/52426a5faaf24.image.jpg</t>
  </si>
  <si>
    <t>208 4th St N</t>
  </si>
  <si>
    <t>Northwood</t>
  </si>
  <si>
    <t>50459</t>
  </si>
  <si>
    <t>Worth County Sheriff’s Office</t>
  </si>
  <si>
    <t>Deputies arrived to find Zubrod beating his girlfriend, and tasered the 39-year-old several times after he attempted to attack a deputy. Zubrod's death was ruled justified by a county District Attorney.</t>
  </si>
  <si>
    <t>Mark Andrew Reed</t>
  </si>
  <si>
    <t>6333 East Colfax Ave</t>
  </si>
  <si>
    <t>80220</t>
  </si>
  <si>
    <t>A man allegedly robbed a bank teller and was leaving the bank when he pointed what appeared to be a weapon at the uniformed off-duty officer paid to stand guard outside the bank. That officer shot and killed him.</t>
  </si>
  <si>
    <t>David James Ward</t>
  </si>
  <si>
    <t>4040 Duquesne Avenue</t>
  </si>
  <si>
    <t>Culver City</t>
  </si>
  <si>
    <t>90232</t>
  </si>
  <si>
    <t>Culver City Police Department</t>
  </si>
  <si>
    <t>Ward, who has homeless, was fatally shot after walking into the Culver City police headquarters and announcing he had a gun.</t>
  </si>
  <si>
    <t>Tel Levi Rodgers</t>
  </si>
  <si>
    <t>http://www.ricefuneralservice.com/image.ashx?ihcparams=decedent%7c128%7c179%7c%7cFalse&amp;ihfparams=%5e*%7e*5c60efdid%2c3a2bb1f6-9773-4c96-b4c8-0d5ab541e216_*%7e*5c60ef%5e*%7e*0bbac0diid%2cdcc91b68-9e4b-47ad-b079-369ce711f4a8_*%7e*0bbac0</t>
  </si>
  <si>
    <t>5835 S 33rd W Ave</t>
  </si>
  <si>
    <t>74107</t>
  </si>
  <si>
    <t>The man who would later be shot fled on foot, and Trooper Raines pursued him for about half a mile. The trooper caught up, and he and the man got into another altercation and the man reached for the trooper's gun according to the OHP. Trooper Raines fired twice, hitting Rodgers in the chest and the head.</t>
  </si>
  <si>
    <t>http://www.tulsaworld.com/news/crimewatch/details-about-fatal-shooting-involving-state-trooper-emerge/article_86d9adb8-b88c-5492-8bc4-cf796a2618a3.html</t>
  </si>
  <si>
    <t>Steven Byrdo</t>
  </si>
  <si>
    <t>http://tribwxin.files.wordpress.com/2013/09/steven-byrdo-mug.jpg?w=307&amp;h=173</t>
  </si>
  <si>
    <t>6720 Eagle Pointe Dr N</t>
  </si>
  <si>
    <t>Byrdo was holding his girlfriend hostage. An officer entered Brydos apartment. Byrdo fatally shot the officer, but the officer was able to fire a few shots at Byrdo. Another officer encountered Byrdo at the door - they exchanged gunfire. Byrdo was killed.</t>
  </si>
  <si>
    <t>http://fox59.com/2013/09/20/new-details-of-officers-deadly-encounter-with-gunman/</t>
  </si>
  <si>
    <t>Carlos Fuentes</t>
  </si>
  <si>
    <t>Hawthorne Rd &amp; Heather Ave</t>
  </si>
  <si>
    <t>Ivanhoe</t>
  </si>
  <si>
    <t>93235</t>
  </si>
  <si>
    <t>Tulare County Sheriff’s Department</t>
  </si>
  <si>
    <t>Fuentes, who was wanted on a homicide charge, was fatally shot by a deputy after the 20-year-old allegedly pulled out a handgun while being chased by police.</t>
  </si>
  <si>
    <t>http://www.tularesheriff.info/news.php?p=13</t>
  </si>
  <si>
    <t>Misraim Nathaniel Cisneros</t>
  </si>
  <si>
    <t>9801 Airline Drive</t>
  </si>
  <si>
    <t>77037</t>
  </si>
  <si>
    <t>Volunteer Reserve Deputy Lt. Jimmy Rollins responded to a call from a pawnshop that stated a man "may have been casing the place for a robbery." Rollins asked the man for ID after he left the building, then followed him to his vehicle. Cisneros allegedly "reached into the vehicle, produced a handgun from behind his waistband, pointed it at the deputy and fired twice." Rollins shot him twice, killing him.</t>
  </si>
  <si>
    <t>http://www.yourhoustonnews.com/cypresscreek/news/hcso-identifies-suspect-shot-by-reserve-deputy/article_662c87d6-2154-11e3-b81b-001a4bcf887a.html</t>
  </si>
  <si>
    <t>5400 W Adams Blvd</t>
  </si>
  <si>
    <t>An unnamed Hispanic man was fatally shot by police after he allegedly drew a gun on officers.</t>
  </si>
  <si>
    <t>http://www.lapdonline.org/newsroom/news_view/54498</t>
  </si>
  <si>
    <t>Ruben Ramos-Escobedo</t>
  </si>
  <si>
    <t>West Adams Boulevard &amp; Hauser Boulevard</t>
  </si>
  <si>
    <t>Not reported</t>
  </si>
  <si>
    <t>Ruben Ramos-Escobedo, a 59-year-old Latino male, died after being shot in West Adams, according to Los Angeles County coroner's records.</t>
  </si>
  <si>
    <t>Larry Nortonsen</t>
  </si>
  <si>
    <t>48 S. Park Avenue</t>
  </si>
  <si>
    <t>Winter Garden</t>
  </si>
  <si>
    <t>34787</t>
  </si>
  <si>
    <t>Winter Garden Police Department</t>
  </si>
  <si>
    <t>An officer responding to a report of a stabbing reached the third floor of an apartment building and encountered a man running toward him. He shot Nortonsen once in the chest.</t>
  </si>
  <si>
    <t>Derek Deandre Walker</t>
  </si>
  <si>
    <t>http://cdn.abclocal.go.com/images/wtvd/cms_exf_2007/news/local/9252871_600x338.jpg</t>
  </si>
  <si>
    <t>201 Corcoran St.</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</si>
  <si>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t>
  </si>
  <si>
    <t>http://www.wral.com/man-killed-in-durham-police-standoff-snapped-close-friend-says/12899940/</t>
  </si>
  <si>
    <t>Barrington Williams</t>
  </si>
  <si>
    <t>East 161st Street and River Avenue</t>
  </si>
  <si>
    <t>10451</t>
  </si>
  <si>
    <t>Williams was selling subway-card swipes, and the police were called on him. He took off on foot and was caught after a short chase. Severely out of breath, he had a severe asthma attack and died in custody.</t>
  </si>
  <si>
    <t>http://blogs.villagevoice.com/runninscared/2013/11/barrington_williams_nypd_death_natural_causes_medical_examiner.php</t>
  </si>
  <si>
    <t>Charles Adrien Martin</t>
  </si>
  <si>
    <t>http://d3trabu2dfbdfb.cloudfront.net/2/4/2425110_150x150.jpeg</t>
  </si>
  <si>
    <t>117 Meadowview Cir</t>
  </si>
  <si>
    <t>Judsonia</t>
  </si>
  <si>
    <t>72081</t>
  </si>
  <si>
    <t>Martin engaged in a prolonged standoff with a state police SWAT team after he threatened a neighbor and fired a gun at an officer. The 40-year-old and officers exchanged gunfire, fatally striking Martin.</t>
  </si>
  <si>
    <t>http://www.arkansasonline.com/news/2013/sep/17/police-fatally-shoot-gunman-white-county-standoff/?f=crime</t>
  </si>
  <si>
    <t>Aaron Alexis</t>
  </si>
  <si>
    <t>http://www.washingtonpost.com/rf/image_606w/2010-2019/WashingtonPost/2013/09/16/Local/Images/Was7914440.jpg</t>
  </si>
  <si>
    <t>1014 N St. SE</t>
  </si>
  <si>
    <t>20374</t>
  </si>
  <si>
    <t>Alexis entered the Naval Sea Systems Command Center and killed 12 people and injured three others. He was fatally shot by police in response to the shooting.</t>
  </si>
  <si>
    <t>http://www.washingtonpost.com/politics/aaron-alexis-34-is-dead-gunman-in-navy-yard-shooting-authorities-say/2013/09/16/dcf431ce-1f07-11e3-8459-657e0c72fec8_story.html</t>
  </si>
  <si>
    <t>Mitchell Alanda St. Clair Jr.</t>
  </si>
  <si>
    <t>http://www.wach.com/uploadedImages/wach/News/Stories/mitchell%20st.%20clair.jpg?w=440&amp;h=330&amp;aspect=nostretch</t>
  </si>
  <si>
    <t>East Boundary Road and Faraway Drive</t>
  </si>
  <si>
    <t>Richland County Sheriff's Department</t>
  </si>
  <si>
    <t>St. Clair ran fled from sheriff's deputies during an attempted traffic stop, led them on a chase and finally pulled over and fired shots at deputies. Deputies returned fire and fatally shot St. Clair.</t>
  </si>
  <si>
    <t>http://www.wistv.com/story/23448495/suspect-shot-killed-following-chase-on-e-boundary-road</t>
  </si>
  <si>
    <t>Jorge Joel Ramirez</t>
  </si>
  <si>
    <t>https://scontent-a.xx.fbcdn.net/hphotos-xfa1/v/t1.0-9/1661269_741760599168915_2143094464_n.jpg?oh=99cd0ac7a29ad85dcfa3e1fff01b002a&amp;oe=54DC6029</t>
  </si>
  <si>
    <t>5101 California Ave</t>
  </si>
  <si>
    <t>93309</t>
  </si>
  <si>
    <t>Jorge Ramirez was working as an informant for the BPD. He let them know the location that he and the WANTED suspect, Justin Harger, were going to be and when police stopped their vehicle Ramirez attempted to exit the vehicle. Police ordered him to stay, then Harger opened fire on the officers and both men were shot dead.</t>
  </si>
  <si>
    <t>http://www.bakersfieldcalifornian.com/local/x196570287/Shooting-leaves-2-dead-2-officers-injured-in-hotel-parking-lot</t>
  </si>
  <si>
    <t>Justin Bryan Harger</t>
  </si>
  <si>
    <t>http://media.bakersfieldnow.com/images/130916-Justin-Bryan-Harger.jpg</t>
  </si>
  <si>
    <t>Police fatally shot Harger and Jorge Ramirez after an attempted traffic stop turned into a gunfight. The shooting deaths of the two were ruled justified.</t>
  </si>
  <si>
    <t>http://www.kerngoldenempire.com/story/internal-review-board-says-deadly-officer-involved/d/story/ZjoYHC4Waket9Tjj6LpU9A</t>
  </si>
  <si>
    <t>R.T. McGinty</t>
  </si>
  <si>
    <t>http://archive.azcentral.com/ic/imgs/avondale-mcginty.jpg</t>
  </si>
  <si>
    <t>S 3rd St &amp; E Rose Ln</t>
  </si>
  <si>
    <t>Officers stopped McGinty for an unknown reason. When they stepped out of their vehicle, he allegedly began shooting at them. He hit one officer in the face, injuring him. Officers then shot and killed McGinty.</t>
  </si>
  <si>
    <t>http://archive.azcentral.com/community/swvalley/articles/20130914avondale-officer-shot.html</t>
  </si>
  <si>
    <t>Jonathan A. Ferrell</t>
  </si>
  <si>
    <t>http://binaryapi.ap.org/7004c4c6e941450b9f8a81199152563d/460x.jpg</t>
  </si>
  <si>
    <t>7500 Reedy Creek Road</t>
  </si>
  <si>
    <t>Police were responding to a 911 call of a suspicious man outside a woman's home. Three officers arrived, and Ferrell allegedly began running toward them. One officer fired a stun gun, which police say malfunctioned, and then Officer Randall Kerrick shot Ferrell several times, killing him. Ferrell was unarmed, and had apparently walked to the woman's house from his severely crashed vehicle nearby and was looking for help. Officer Kerrick has been charged with voluntary manslaughter.</t>
  </si>
  <si>
    <t>http://www.nytimes.com/2014/01/28/us/charlotte-police-officer-indicted-in-shooting.html?_r=0</t>
  </si>
  <si>
    <t>Courtney Andrew Hollomon</t>
  </si>
  <si>
    <t>5004 Ferrell Parkway</t>
  </si>
  <si>
    <t>23464</t>
  </si>
  <si>
    <t>An off-duty Portsmouth police officer fatally shot Hollomon as the 30-year-old attempted to rob a bank in Virginia City. The officer was cleared of any wrongdoing.</t>
  </si>
  <si>
    <t>http://www.vbgov.com/news/pages/selected.aspx?release=1670</t>
  </si>
  <si>
    <t>Samuel Frazier</t>
  </si>
  <si>
    <t>Amy Street</t>
  </si>
  <si>
    <t>31406</t>
  </si>
  <si>
    <t>Savannah-Chatham Police Department</t>
  </si>
  <si>
    <t>Police went to Frazier's home in response to an altercation that had occurred at a business earlier in the day. Frazier was shot following a standoff with officers at his home.</t>
  </si>
  <si>
    <t>http://savannahnow.com/crime/2013-09-15/savannah-chatham-police-fatally-shoot-armed-man-gbi-investigating#.UjXXH9Iwd9Z</t>
  </si>
  <si>
    <t>Lance L. Danielson</t>
  </si>
  <si>
    <t>http://archive.azcentral.com/ic/imgs/lance-danielson.jpg</t>
  </si>
  <si>
    <t>3535 West Tierra Buena Ln</t>
  </si>
  <si>
    <t>85053</t>
  </si>
  <si>
    <t>Police responded to a possible break-and-enter by 4 people at a condo. While the group allegedly talked to police, Danielson reportedly said he didn't want to go back to prison and removed a gun from his backpack. Officers "began to negotiate with him" and when he refused to put down his weapon, a SWAT team was called. They negotiated for about 3 hours until the "situation deteriorated" and they attempted to arrest him. "Gunfire was exchanged" and Danielson was shot and killed.</t>
  </si>
  <si>
    <t>http://www.azcentral.com/news/articles/20130915police-man-dead-officers-shot-following-hour-phoenix-standoff.html</t>
  </si>
  <si>
    <t>David Farries</t>
  </si>
  <si>
    <t>https://fbcdn-profile-a.akamaihd.net/hprofile-ak-frc3/v/t1.0-1/p160x160/1240590_1419005701660136_980274848_n.jpg?oh=f52514874594245dd044547dff7df1d5&amp;oe=5506E84F&amp;__gda__=1426921908_7510cca7ffcf1448bc0dfa926a6bc1f9</t>
  </si>
  <si>
    <t>State Rd &amp; Ashburner St</t>
  </si>
  <si>
    <t>19136</t>
  </si>
  <si>
    <t>Farries's vehicle was hit by a drunk off-duty police officer traveling over 100 miles per hour, killing Farries. The officer was charged with homicide and is currently standing trial.</t>
  </si>
  <si>
    <t>http://abclocal.go.com/wpvi/story?section=news%2Flocal&amp;id=9265081</t>
  </si>
  <si>
    <t>Hector Jimenez</t>
  </si>
  <si>
    <t>http://cdn.abclocal.go.com/images/kabc/cms_exf_2007/news/local/inland_empire/9248793_600x338.jpg</t>
  </si>
  <si>
    <t>2300 block 10th Street</t>
  </si>
  <si>
    <t>RPD’s Communications Bureau received a 911 call about a man, in the front yard of a residence, who had a knife and appeared to be suicidal. Patrol officers responded to the location and found Jimenez frantically waving a knife and cutting himself. Officers tried to get him to drop the knife. While the officers were talking to Mr. Jimenez, he charged them with the knife still in his hand, and officers shot and killed him.</t>
  </si>
  <si>
    <t>http://www.riversideca.gov/CPRC/Reports/02-07-14_CPRC_13_AR_Draft_v1.pdf</t>
  </si>
  <si>
    <t>Austin Del Castillo</t>
  </si>
  <si>
    <t>http://kpho.images.worldnow.com/images/23416466_BG3.JPG</t>
  </si>
  <si>
    <t>University Drive &amp; Mill Ave</t>
  </si>
  <si>
    <t>Police responded to reports of a man threatening people on Mill Ave with a box cutter. He was found in front of a Chili's restaurant. Castillo would not comply with police demands to drop his weapon. He lunged at officers with the box cutter. A Police negotiator arrived and attempted to talk with the agitated Castillo. He charged an officer who fired his weapon striking him. An eye witness challenges the police account claiming Castillo was 10-15 feet from officers when he was shot. Austin Del Castillo died days later in the hospital.</t>
  </si>
  <si>
    <t>http://www.kpho.com/story/23416466/box-cutter-wielding-man-shot-by-temp-police-dies</t>
  </si>
  <si>
    <t>John Schultz</t>
  </si>
  <si>
    <t>27500 Medford Way</t>
  </si>
  <si>
    <t>Menifee</t>
  </si>
  <si>
    <t>Menifee Police Department</t>
  </si>
  <si>
    <t>Police responding to a possible suicide call fatally shot Schultz after the 66-year-old refused orders to lower a handgun and then pointed the weapon at officers.</t>
  </si>
  <si>
    <t>http://patch.com/california/lakeelsinore-wildomar/coroner-identifies-menifee-man-killed-by-police-gunfire</t>
  </si>
  <si>
    <t>William Ranaldo Brown Jr.</t>
  </si>
  <si>
    <t>http://www.trbimg.com/img-5230dfd2/turbine/bal-baltimore-mug-shots-pg-010/500/281x500</t>
  </si>
  <si>
    <t>1900 Copeland St</t>
  </si>
  <si>
    <t>Annapolis</t>
  </si>
  <si>
    <t>21401</t>
  </si>
  <si>
    <t>Annapolis Police Department</t>
  </si>
  <si>
    <t>Brown attacked his ex-girlfriend with a knife. An Annapolis police officer shot and killed Brown as a result. Brown's ex-girlfriend died from her injuries.</t>
  </si>
  <si>
    <t>http://www.baltimoresun.com/news/maryland/anne-arundel/annapolis/bs-md-ar-police-shooting-20130910-story.html#page=1</t>
  </si>
  <si>
    <t>Carlos Ernesto Oliva Sola</t>
  </si>
  <si>
    <t>http://media.nbclosangeles.com/images/1206*675/Carlos+Oliva+DIS.PNG</t>
  </si>
  <si>
    <t>Miller Ave &amp; E Almanza Ln</t>
  </si>
  <si>
    <t>Deputies were flagged by a bystander who reported a "man with gun" in the vicinity. They report that they saw Oliva on the street, and that when they confronted him he pointed a gun at them. Deputy Anthony Forlano shot and killed him. Oliva reportedly was not the man they were looking for, and the autopsy report shows he was shot eight times from behind. On 09/11/14 the family announced they will file a $10m wrongful death lawsuit against the LASD. They are requesting that Forlano, who has shot 7 people, be fired and brought to trial.</t>
  </si>
  <si>
    <t>http://www.nbclosangeles.com/news/local/Family-of-Man-Killed-by-LASD-Deputy-Filing-10-million-Lawsuit-274721541.html</t>
  </si>
  <si>
    <t>Daniel Richard Vasquez</t>
  </si>
  <si>
    <t>http://kltv.images.worldnow.com/images/2799162_G.jpg</t>
  </si>
  <si>
    <t>http://www.kltv.com/story/23394802/authorities-release-identity-of-man-killed-in-officer-involved-shooting</t>
  </si>
  <si>
    <t>141 Deer Run Road</t>
  </si>
  <si>
    <t>75156</t>
  </si>
  <si>
    <t>According to Henderson County Sheriff Ray Nutt, while executing the search warrant, a Henderson County Sheriff's Office Investigator was involved in a shooting.</t>
  </si>
  <si>
    <t>2000 Allen Parkway</t>
  </si>
  <si>
    <t>77019</t>
  </si>
  <si>
    <t>Police report that they followed a suspicious car and attempted to pull it over. They say the driver appeared to reach under his seat as if producing a weapon, then drove off firing a gun at them. He led them on a chase, firing at them, until the car crashed. The driver and passenger Stephanie Adams, 39, fled on foot. The man was shot and killed by Ofcrs. R. Rivas, C. Frazzini, V. Zaunbrecher and R. Gilchrest. The man's name may be Jerry Barnes.</t>
  </si>
  <si>
    <t>http://www.houstontx.gov/police/nr/2013/sep/nr090913-5.htm</t>
  </si>
  <si>
    <t>Shawn Evans</t>
  </si>
  <si>
    <t>4501 Torley St</t>
  </si>
  <si>
    <t>Pittsburg</t>
  </si>
  <si>
    <t>Pittsburg Police Department</t>
  </si>
  <si>
    <t>Monroe Isadore</t>
  </si>
  <si>
    <t>107</t>
  </si>
  <si>
    <t>http://www.gannett-cdn.com/-mm-/81fe42d54e284297ad9bb802f98b838823639423/c=6-11-244-329&amp;r=537&amp;c=0-0-534-712/local/-/media/USATODAY/test/2013/09/11/1378920924000-monroe-isadore.jpg</t>
  </si>
  <si>
    <t>1411 W. 16th Ave.</t>
  </si>
  <si>
    <t>Pine Bluff</t>
  </si>
  <si>
    <t>71603</t>
  </si>
  <si>
    <t>Pine Bluff Police Department SWAT</t>
  </si>
  <si>
    <t>Police arrived at a residence in response to reports of a disturbance. Isadore confronted them with a handgun and retreated into a bedroom, firing on them when they attempted to enter. SWAT officers arrived as backup and, after failed negotiations, released gas into the room and broke down the door. Isadore fired on them as they entered, and they returned fire, killing him.</t>
  </si>
  <si>
    <t>http://www.huffingtonpost.com/2013/09/08/monroe-isadore-shootout_n_3889826.html</t>
  </si>
  <si>
    <t>Marlon Horton</t>
  </si>
  <si>
    <t>http://wfld.images.worldnow.com/images/4584705_G.jpg</t>
  </si>
  <si>
    <t>1800 block West Monroe Street</t>
  </si>
  <si>
    <t>A sleeping Horton was asked to leave the lobby of a building by two security guards, one of which was an off-duty policeman. Officers alleged that Horton attacked them after leaving the building and urinating on a vehicle, and the off-duty policeman shot Horton after a short scuffle. Horton's brother filed a lawsuit against the city in August 2014, claiming the officers were overzealous in their conduct. The shooting is still under investigation by Chicago's Independent Police Review Authority.</t>
  </si>
  <si>
    <t>http://www.myfoxchicago.com/story/26378492/family-of-unarmed-man-fatally-shot-by-chicago-police-seeks-justice</t>
  </si>
  <si>
    <t>Jorge Azucena</t>
  </si>
  <si>
    <t>http://cdn.abclocal.go.com/images/kabc/cms_exf_2007/news/local/los_angeles/9301428_1280x720.jpg</t>
  </si>
  <si>
    <t>1546 West Martin Luther King Jr. Boulevard</t>
  </si>
  <si>
    <t>90062</t>
  </si>
  <si>
    <t>Subject complained of having difficult breathing at time of arrest, said he had asthma. officers ignored him on several occasions. eventually subject was found unconscious in jail cell. paramedics arrived nearly 40 minutes after he was taken into custody. subject was officially declared dead hours later at the hospital</t>
  </si>
  <si>
    <t>http://www.latimes.com/local/crime/la-me-lapd-custody-death-20140823-story.html#page=2</t>
  </si>
  <si>
    <t>Joseph Duran</t>
  </si>
  <si>
    <t>4001 CA-104</t>
  </si>
  <si>
    <t>Amadour</t>
  </si>
  <si>
    <t>http://www.sacbee.com/2014/09/04/6678997/family-sues-alleging-widespread.html</t>
  </si>
  <si>
    <t>Moses Baeza</t>
  </si>
  <si>
    <t>N 10th St &amp; E Pierce St</t>
  </si>
  <si>
    <t>Officers responded after they received several calls about a man shooting a gun in the air. Martos said officers saw a gun in the suspect's hand as he started running southbound. Baeza ignored commands to drop the gun and pointed it at one of the officers. The officer fired at the suspect. Baeza fled and was later found dead in a yard.</t>
  </si>
  <si>
    <t>http://www.azfamily.com/news/Police-identify-man-found-dead-after-officer-involved-shooting-in-Phoenix-222990611.html</t>
  </si>
  <si>
    <t>John Edward Shanks</t>
  </si>
  <si>
    <t>http://wrcb.images.worldnow.com/images/23382781_SA.jpg</t>
  </si>
  <si>
    <t>1594 Lock and Dam Road</t>
  </si>
  <si>
    <t>37347</t>
  </si>
  <si>
    <t>Marion County Sheriff's Department</t>
  </si>
  <si>
    <t>Reports on events leading up to Shanks' death are varied and include attempted robbery, assault and sleeping on a porch. A deputy confronted him for an unknown reason, and Shanks fled into the woods. The deputy reports that when Shanks pointed a gun at him, he ordered him several times to drop the weapon. When Shanks did not comply, he shot and killed him.</t>
  </si>
  <si>
    <t>http://www.timesfreepress.com/news/2013/sep/07/breaking-one-killed-officer-involved-shooting/</t>
  </si>
  <si>
    <t>Lealann Russell Melder Cooley</t>
  </si>
  <si>
    <t>http://www.tampabay.com/resources/images/dti/rendered/2013/09/b4s_sphooting090813a_11464607_8col.jpg</t>
  </si>
  <si>
    <t>3311 40th St N</t>
  </si>
  <si>
    <t>33713</t>
  </si>
  <si>
    <t>The officers encountered Lealann Russell Melder Cooley when they went to check out a noise complaint. Cooley, 46, was sitting in his screened porch. Six officers approached as Cooley had a gun in his hand and a shotgun nearby. After retreating briefly to his home when officers challenged him, Cooley emerged with a rifle and pointed it at them. Several of the officers fired at Cooley, killing him.</t>
  </si>
  <si>
    <t>http://www.tampabay.com/news/publicsafety/crime/man-killed-after-pointing-rifle-at-st-petersburg-officers/2140569</t>
  </si>
  <si>
    <t>Devon Thomas Costa</t>
  </si>
  <si>
    <t>N Ventura Ave &amp; Fraser Ln</t>
  </si>
  <si>
    <t>93001</t>
  </si>
  <si>
    <t>Ventura County Sheriff's Office</t>
  </si>
  <si>
    <t>A police deputy fatally shot Costa after the 21-year-old threatened and then attacked a deputy using his fists.</t>
  </si>
  <si>
    <t>http://www.vcstar.com/news/suspect-threatened-deputy-was-attacked-by-police</t>
  </si>
  <si>
    <t>Charlie Christopher Bates</t>
  </si>
  <si>
    <t>http://www.trbimg.com/img-522bc0b5/turbine/os-charlie-christopher-bates-20130907/600/405x600</t>
  </si>
  <si>
    <t>6502 U.S. 301</t>
  </si>
  <si>
    <t>33610</t>
  </si>
  <si>
    <t>Bates sexually assaulted several women and terrorized party-goers before police found and began pursuing his vehicle. Police and Bates exchanged gunfire until the 24-year-old crashed his vehicle and was fatally shot by police.</t>
  </si>
  <si>
    <t>http://tbo.com/news/crime/shooting-of-usf-rampage-suspect-ruled-justified-20131004/</t>
  </si>
  <si>
    <t>Ray Anson Mitchell</t>
  </si>
  <si>
    <t>http://ak-cache.legacy.net/legacy/images/cobrands/mobile/photos/al0026901-1_161604.jpg?v=0x000000002e1a462c</t>
  </si>
  <si>
    <t>700 Bonneville Dr</t>
  </si>
  <si>
    <t>36695</t>
  </si>
  <si>
    <t>Mobile Police Department</t>
  </si>
  <si>
    <t>Police responding to a prowler call fatally shot Mitchell after the 37-year-old wrestled a taser from officers and attempted to use it on them.</t>
  </si>
  <si>
    <t>http://blog.al.com/live/2013/09/mobile_police_37-year-old_atte.html</t>
  </si>
  <si>
    <t>Domingo Soto</t>
  </si>
  <si>
    <t>http://www.gannett-cdn.com/-mm-/0618b07500109f5fc5d1c9782de9a41e3fbfe777/c=0-0-680-510&amp;r=x404&amp;c=534x401/http/wfaa-download.edgesuite.net/archive/images/domingosoto.jpg</t>
  </si>
  <si>
    <t>500 S Buckner Blvd</t>
  </si>
  <si>
    <t>Dallas and Garland police officers opened fire Friday afternoon on a man suspected of shooting his ex-girlfriend's boyfriend hours earlier at a Garland QuikTrip gas station. Police say the suspect, Dallas resident Domingo Soto, died of a self-inflicted gunshot wound.</t>
  </si>
  <si>
    <t>http://www.wfaa.com/story/news/crime/2014/08/19/14093996/</t>
  </si>
  <si>
    <t>Michael Deluca</t>
  </si>
  <si>
    <t>http://diversitynewsmagazine.com/wp-content/uploads/2013/09/Michael-Deluca-aka-Duke-De-Luca.jpg</t>
  </si>
  <si>
    <t>500 block Surfside Drive</t>
  </si>
  <si>
    <t>Port Hueneme</t>
  </si>
  <si>
    <t>93041</t>
  </si>
  <si>
    <t>Port Hueneme Police Department</t>
  </si>
  <si>
    <t>Deluca was involved in a car accident. Police responded to scene and Deluca was uncooperative with officers and told them he had a handgun. Officers were involved in a confrontation with Deluca and shot him after using a taser on him was ineffective.</t>
  </si>
  <si>
    <t>http://www.vcstar.com/news/man-killed-by-port-hueneme-police-was-former-for</t>
  </si>
  <si>
    <t>Michael "The Duke" DeLuca</t>
  </si>
  <si>
    <t>500 block East Surfside Drive</t>
  </si>
  <si>
    <t>Police said De Luca's pickup apparently hit a palm tree on the sand near a parking lot. Police said De Luca was uncooperative and told them he had a handgun. Officers shot and killed De Luca after using a Taser stun gun on him, which was ineffective.</t>
  </si>
  <si>
    <t>http://www.vcstar.com/news/2013/sep/06/person-shot-and-killed-by-port-hueneme-police/</t>
  </si>
  <si>
    <t>Kendrick Lee Amest</t>
  </si>
  <si>
    <t>9800 Ribbonwood St</t>
  </si>
  <si>
    <t>77078</t>
  </si>
  <si>
    <t>Deputies saw a van reported fleeing from a bank robbery and pursued it. Shots were reportedly fired from the van during the pursuit. When the van crashed, Amest and four other men fled on foot. One man reportedly pointed a gun and Amest reportedly shot at the deputies, who returned fire, wounding the man and killing Amest. He may have been shot in the back.</t>
  </si>
  <si>
    <t>http://thepolicenews.net/default.aspx?newsletterid=39845&amp;act=Newsletter.aspx</t>
  </si>
  <si>
    <t>Denis Reynoso</t>
  </si>
  <si>
    <t>http://bloximages.chicago2.vip.townnews.com/itemlive.com/content/tncms/assets/v3/editorial/6/1e/61e4206e-19c3-11e3-a26b-0019bb2963f4/522e886ae0a32.image.jpg</t>
  </si>
  <si>
    <t>115 O’Callaghan Way</t>
  </si>
  <si>
    <t>01905</t>
  </si>
  <si>
    <t>Veteran Reynoso was shot to death by a local officer in his own apartment, in front of his five-year-old son. Police had responded to a report of Reynoso acting erratically and claimed that the victim had managed to grab one of the officer's pistols and fired two shots. Subsequent investigation found grave problems with the police account, and called into question the DA's exoneration of these officers and many others.</t>
  </si>
  <si>
    <t>http://baystateexaminer.com/records-raise-new-questions-fatal-police-shooting-denis-reynoso/</t>
  </si>
  <si>
    <t>Kenneth Lamar Bedgood</t>
  </si>
  <si>
    <t>http://thumbs.mugshots.com/gallery/images/2/e2/c7/Kenneth-Lamar-Bedgood_mugshot.400x800.jpg</t>
  </si>
  <si>
    <t>1417 Azalea Road</t>
  </si>
  <si>
    <t>36693</t>
  </si>
  <si>
    <t>Police responding to a stolen car call fatally shot Bedgood after the 36-year-old opened fire at officers.</t>
  </si>
  <si>
    <t>http://blog.al.com/live/2013/09/police_id_26-year-old_killed_f.html</t>
  </si>
  <si>
    <t>4600 White City Rd</t>
  </si>
  <si>
    <t>Fulton County Police Department</t>
  </si>
  <si>
    <t>An officer fatally shot a man after the man shot and wounded the officer.</t>
  </si>
  <si>
    <t>http://www.ajc.com/news/news/fulton-police-officer-shot-near-college-park/nZnPb/</t>
  </si>
  <si>
    <t>Dontre Bennett</t>
  </si>
  <si>
    <t>http://cbsbaltimore.files.wordpress.com/2013/09/donte-bennett.jpg?w=300</t>
  </si>
  <si>
    <t>200 block Spring Court</t>
  </si>
  <si>
    <t>21231</t>
  </si>
  <si>
    <t>Four undercover officers say they "had intelligence" that Bennett was about to commit a crime, spotted him, and chased him. They report that he fell after jumping a fence and during a struggle he tried to grab a gun from his hip/belt buckle area. Multiple witnesses report that Bennett had only a cell phone, that he had his hands in the air after he was boxed in by the officers, and that they beat and shot him after they had apprehended him.</t>
  </si>
  <si>
    <t>http://www.wbaltv.com/news/maryland/baltimore-city/police-man-dies-in-officerinvolved-shooting/21783710</t>
  </si>
  <si>
    <t>Juan Carlos Ruelas</t>
  </si>
  <si>
    <t>http://cdn.abclocal.go.com/images/kgo/cms_exf_2007/news/local/south_bay/9240630_600x338.jpg</t>
  </si>
  <si>
    <t>800 West Ahwanee Ave</t>
  </si>
  <si>
    <t>Santa Clara Police Department / Santa Clara County Sheriff's Office</t>
  </si>
  <si>
    <t>Police report that during an undercover drug bust in a parking lot, Ruelas seemed to be high. While sitting in his truck, he reportedly told the undercover buyer, Det. Travis Niesen, that he had a gun and then "reached for his waist." Niesen shot him, then Dets. Cory Morgan, Justin Mead and Jake Thompson, Sgt. Greg Hill, and Deputy Sheriff Tyler Fernandes opened fire. Ruelas was unarmed and shot 29 times.</t>
  </si>
  <si>
    <t>http://sanfrancisco.cbslocal.com/2014/09/10/officers-cleared-in-2013-fatal-shooting-of-drug-suspect-in-sunnyvale-officer-involved-shooting-juan-carlos-ruelas-methamphetamine-bust/</t>
  </si>
  <si>
    <t>Drugs/Alcohol</t>
  </si>
  <si>
    <t>Brian Nichols</t>
  </si>
  <si>
    <t>http://www.williamsandbluitt.com/sitemaker/memsol_data/1640/1090305/1090305_profile_pic.jpg</t>
  </si>
  <si>
    <t>5800 Rockville Rd</t>
  </si>
  <si>
    <t>Officers responding to a call of a man acting erratic used pepper spray in arresting Nichols, who suffered an episode of cardiac arrest shortly after.</t>
  </si>
  <si>
    <t>http://web.archive.org/web/20130911160623/http://www.wane.com/news/indiana/man-dies-in-police-custody-after-becoming-combative-impd-launches-investigation</t>
  </si>
  <si>
    <t>Henry Montgomery</t>
  </si>
  <si>
    <t>Mattox Rd</t>
  </si>
  <si>
    <t>Tupelo</t>
  </si>
  <si>
    <t>38801</t>
  </si>
  <si>
    <t>Verona Police Department</t>
  </si>
  <si>
    <t>Police responding to a disturbance call fatally shot Montgomery after a traffic stop and altercation. A grand jury declined to charge the involved officers with a crime.</t>
  </si>
  <si>
    <t>Brian Anthony Costley</t>
  </si>
  <si>
    <t>2665 Baltimore Pike</t>
  </si>
  <si>
    <t>17331</t>
  </si>
  <si>
    <t>West Manheim Police Department</t>
  </si>
  <si>
    <t>Costley was wanted in Carroll County, Md., on an outstanding warrant in his pending DUI case, police said. Costley was outside when officers first made contact with him, but he started walking toward his home, state police said. Despite being ordered to stop, Costley went inside, then turned around and opened fire on the officers with a handgun, police said. One officer returned fire while retreating to a safe position, according to police. When QRT members eventually forced their way into Costley's home hours later, they found him dead inside, police said.</t>
  </si>
  <si>
    <t>http://www.yorkdispatch.com/ci_24551202</t>
  </si>
  <si>
    <t>Gary P. Beto</t>
  </si>
  <si>
    <t>1741 Brinton Ave</t>
  </si>
  <si>
    <t>Braddock</t>
  </si>
  <si>
    <t>15104</t>
  </si>
  <si>
    <t>East Pittsburgh Police Department</t>
  </si>
  <si>
    <t>Medical Emergency</t>
  </si>
  <si>
    <t>Police responded to a 911 call for a possible burglary by a man acting erratically and found Beto, who was mentally ill. They report that they chased him two blocks and when he refused to put his hands behind his back or be taken into custody, they tasered and pepper sprayed him. He "almost elbowed" an officer in the face. When Beto was handcuffed, police noticed he was unresponsive. He died several hours later in the hospital.</t>
  </si>
  <si>
    <t>http://triblive.com/news/allegheny/4655891-74/beto-police-kernick#axzz3O0P352OV</t>
  </si>
  <si>
    <t>619 Vine St</t>
  </si>
  <si>
    <t>Los Banos</t>
  </si>
  <si>
    <t>93635</t>
  </si>
  <si>
    <t>Los Banos Police Department</t>
  </si>
  <si>
    <t>The man's 80-year-old father called police to report that his son was attacking him. When an officer arrived, the man reportedly stabbed him in the arm with a pair of scissors and tried to grab his gun. The officer reports that they struggled over the gun, and he then shot the man in the shin and the chest, killing him.</t>
  </si>
  <si>
    <t>http://www.kmph.com/story/23324320/los-banos-officer-on-leave-following-shooting</t>
  </si>
  <si>
    <t>Philip E. Rank</t>
  </si>
  <si>
    <t>500 St Thomas Williamson Rd</t>
  </si>
  <si>
    <t>St. Thomas</t>
  </si>
  <si>
    <t>17252</t>
  </si>
  <si>
    <t>Police said Rank, who was armed, refused to surrender and defied a police command not to leave the residence. He was shot after he left the residence with "multiple" weapons and fled toward the perimeter of the scene, where police were stationed. He was shot and killed.</t>
  </si>
  <si>
    <t>http://articles.herald-mail.com/2013-09-07/news/41860287_1_troopers-labor-day-shooting-pennsylvania-state-police</t>
  </si>
  <si>
    <t>Jeffrey S. Frump</t>
  </si>
  <si>
    <t>http://media.graytvinc.com/images/353*198/FRUMP+WEB.jpg</t>
  </si>
  <si>
    <t>99 Orleans Ct</t>
  </si>
  <si>
    <t>Gray</t>
  </si>
  <si>
    <t>40734</t>
  </si>
  <si>
    <t>Deputy Brian Hensley arrived at a home on Orleans Circle. Hensley was at the home’s front door when he heard a gunshot. Hensley entered the home and Jeffery S. Frump, 44, of Gray, fired shots at Hensley. Hensley, who was struck in the leg, went out of the home seeking cover as Frump followed. Once on the front porch, Frump again aimed his weapon at Hensley, who returned fire, fatally wounding Frump.</t>
  </si>
  <si>
    <t>http://www.thetimestribune.com/news/local_news/article_0fa340cf-f113-501b-882e-f515735af6b4.html</t>
  </si>
  <si>
    <t>Seth Victor</t>
  </si>
  <si>
    <t>http://ak-cache.legacy.net/legacy/images/cobrands/hartfordcourant/photos/24c75e0e-2ddf-458a-b987-3ec2b53ac285.jpgx?w=130&amp;h=180&amp;option=1&amp;v=0x000000002b8a634a</t>
  </si>
  <si>
    <t>141 Broad Street</t>
  </si>
  <si>
    <t>New Britain</t>
  </si>
  <si>
    <t>06053</t>
  </si>
  <si>
    <t>New Britain Police Department</t>
  </si>
  <si>
    <t>Municipal police were called to an evening disturbance. Victor was found throwing furniture and other items from a third-story apartment house window. After several hours, Victor, described by police as irrational and despondent, was tasered. He developed "a medical issue" and was taken to a local hospital where he died. He had been unarmed.</t>
  </si>
  <si>
    <t>http://www.ct.gov/despp/cwp/view.asp?Q=531172</t>
  </si>
  <si>
    <t>Norman Oosterbroek</t>
  </si>
  <si>
    <t>http://heavyeditorial.files.wordpress.com/2013/09/norman-oosterbroek-9-5.jpg?w=640&amp;h=360</t>
  </si>
  <si>
    <t>13205 Old Cutler Road</t>
  </si>
  <si>
    <t>Pinecrest</t>
  </si>
  <si>
    <t>33156</t>
  </si>
  <si>
    <t>Pinecrest Police Department</t>
  </si>
  <si>
    <t>Norman Oosterbroek, a 280-pound former bodyguard for Lady Gaga, died after Pinecrest police Tasered him while he was gobbling suspected drugs.</t>
  </si>
  <si>
    <t>http://blogs.miaminewtimes.com/riptide/2013/09/naked_man_tasered_and_killed_i.php</t>
  </si>
  <si>
    <t>Ronald Wesley Sexton</t>
  </si>
  <si>
    <t>http://www.tampabay.com/resources/images/dti/rendered/2013/09/b4s_spshooting090313b_11424583_8col.jpg</t>
  </si>
  <si>
    <t>4412 10th Ave. N</t>
  </si>
  <si>
    <t>Saxton was arguing with his neighbor about their dogs barking. He had a gun in his waist band and a neighbor called the police. When the officers arrived he pointed the weapon at the officers and they shot and killed him. His 10 year old son was a witness.</t>
  </si>
  <si>
    <t>http://www.tampabay.com/news/publicsafety/crime/st-pete-police-shoot-kill-armed-man/2139594</t>
  </si>
  <si>
    <t>Jaime Benavidez</t>
  </si>
  <si>
    <t>http://www.elkharttruth.com/image/2013/09/06/800x800_b0/0905-OBT-BENAVIDEZ-JAIME-UNK.jpg</t>
  </si>
  <si>
    <t>300 block W Hubbard Ave</t>
  </si>
  <si>
    <t>A neighbor called 911 when she saw a man breaking into the house next door. When the officers arrived they witnessed Benavidez in possession of a handgun. They ordered him to put it down, he fled. Officers cornered him in front of a near by home. they ordered him to drop his weapon, he raised it, and the officers all shot and killed him. It was later determined that it was his sisters house, and he was not breaking into the home.</t>
  </si>
  <si>
    <t>http://www.elkhartcountyprosecutor.com/news/press-releases/prosecuting-attorney-police-action-shooting-jaime-benavidez-was-reasonable-use</t>
  </si>
  <si>
    <t>9290 Woodfair</t>
  </si>
  <si>
    <t>Officer Medina and a second officer responded to a disturbance with a weapon (gun) call at an apartment complex. Upon arrival, several males identified the suspect and informed officers he was armed with a gun. The officers gave verbal commands to the suspect to remove his hands from his pockets. The suspect pulled a firearm from his pocket. The officers then gave verbal commands for the suspect to drop the weapon, but he refused and instead raised the gun toward officers. At that time, Officer Medina, fearing for his life and that of his partner, shot and killed the subject.</t>
  </si>
  <si>
    <t>http://www.chron.com/news/houston-texas/article/HPD-shooting-under-investigation-4781326.php?cmpid=htx</t>
  </si>
  <si>
    <t>Ismael Maria-Acevedo</t>
  </si>
  <si>
    <t>http://d1t3gia0in9tdj.cloudfront.net/photo/tributes/t/8/r/207x207/1509020/34edacf0-ae98-4a9c-926e-b1fb7a0cd080.jpg</t>
  </si>
  <si>
    <t>South 9th and A Street</t>
  </si>
  <si>
    <t>Officers responded to the Golden Nugget Night Club in reference to 15 to 20 people fighting at the location. Several of the people involved left the location. A short time later, a person believed to have been involved in the altercation was located running and Police were able to detain him after a short foot pursuit. While he was being taken into custody it was discovered that he had stopped breathing. Efforts were made to resuscitate him, but officers were unsuccessful. No taser, pepper spray nor any other weapons were used by police to affect the arrest.</t>
  </si>
  <si>
    <t>http://www.kvewtv.com/article/2013/sep/02/pasco-police-investigate-custody-death/</t>
  </si>
  <si>
    <t>Brian Phillip Tacadena</t>
  </si>
  <si>
    <t>http://www.noozhawk.com/images/uploads/Brian-Tacadena-Mug-200.jpg</t>
  </si>
  <si>
    <t>De La Vina St. and W. Victoria St.</t>
  </si>
  <si>
    <t>93101</t>
  </si>
  <si>
    <t>Santa Barbara Police Departent</t>
  </si>
  <si>
    <t>A man was stopped because he was walking around with a 6-inch knife. When the officer ordered the weapon be put down twice, the man walked torward the officer. The officer said, "If you do not stop I will shoot." The man replied, "I know." And then the officer fired his weapon.</t>
  </si>
  <si>
    <t>http://www.missionandstate.org/special-features/the-people-vs-brian-tacadena/</t>
  </si>
  <si>
    <t>Michael Troy Swatosh</t>
  </si>
  <si>
    <t>http://bloximages.newyork1.vip.townnews.com/tulsaworld.com/content/tncms/assets/v3/editorial/5/2a/52ab54d4-fea5-5829-bec2-6c5960f6853b/53f57baa06a06.preview-300.jpg</t>
  </si>
  <si>
    <t>34 South Sheridan Road</t>
  </si>
  <si>
    <t>http://www.newson6.com/story/23311792/off-duty-trooper-shoots-kills-man-at-tulsa-hotel</t>
  </si>
  <si>
    <t>Casey Nicholas Smith</t>
  </si>
  <si>
    <t>http://wcsc.images.worldnow.com/images/23317632_BG1.jpg</t>
  </si>
  <si>
    <t>1310 Williamston Road</t>
  </si>
  <si>
    <t>29621</t>
  </si>
  <si>
    <t>Tilley said deputies and police went to the door closest to the stolen vehicle. After knocking on the door, two people came outside and told the law officers that the man they wanted was under the bed, Tilley said. Tilley said deputies and police asked Smith to come outside, but Smith refused. Tilley said that a short time later, the officers heard gunfire. Tilley said the officers were lifting up the bed when Smith shot at them with another gun he had. Four deputies and two police officers fired back.</t>
  </si>
  <si>
    <t>http://www.live5news.com/story/23317632/cops-upstate-carjacker</t>
  </si>
  <si>
    <t>Rickey Rozelle</t>
  </si>
  <si>
    <t>http://thumbs.mugshots.com/gallery/images/2/d3/4d/Rickey-Rozelle_mugshot.400x800.jpg</t>
  </si>
  <si>
    <t>6100 block South Cottage Grove Avenue</t>
  </si>
  <si>
    <t>The off-duty officer lives in the area and saw a man on the porch of a vacant apartment about 11:30 p.m. The officer called 911 twice during the incident, according to a union spokesman. He called out to the man to see what he was doing and the man replied "You don't want no part of me." The man had a bag or sack over his shoulder and his hand on his waistband, Camden said, but repeatedly ignored the officer's commands to come down after he identified himself as an officer. The man turned down a gangway and started to walk away, but the officer told him there was no way out of that gangway. The man, in a dark gangway, grabbed his waistband and threatened to kill the officer while continuing to ignore the officer's demands to show his hands. The officer opened fire after the man grabbed his waistband. He died at the scene, and the officer was not injured.</t>
  </si>
  <si>
    <t>Vergel Ricafrente Worrell</t>
  </si>
  <si>
    <t>http://extras.mnginteractive.com/live/media/site571/2013/0903/20130903__0904ucshot~1_200.JPG</t>
  </si>
  <si>
    <t>32600 block Kenita Way</t>
  </si>
  <si>
    <t>Worrell reportedly fired 10 to 15 gunshots in a neighborhood in Union City. He refused to comply with the officers' demand to drop the rifle and was then shot.</t>
  </si>
  <si>
    <t>http://www.contracostatimes.com/breaking-news/ci_24015226/union-city-police-release-911-tapes-from-fatal</t>
  </si>
  <si>
    <t>Mathew Jackson</t>
  </si>
  <si>
    <t>http://www.policestateusa.com/wp-content/uploads/2013/09/MathewJackson.jpg</t>
  </si>
  <si>
    <t>7196 North Loop 1604 E</t>
  </si>
  <si>
    <t>78216</t>
  </si>
  <si>
    <t>Jackson was shot and killed by an off-duty sheriff's deputy after a minor car collision escalated into shooting. Jackson was unarmed at the time of the shooting. The deputy was indicted for murder in February 2014.</t>
  </si>
  <si>
    <t>http://www.kens5.com/story/news/local/2014/06/27/10661966/</t>
  </si>
  <si>
    <t>Jaime Ceballos</t>
  </si>
  <si>
    <t>http://cbsdenver.files.wordpress.com/2013/08/jaime-ceballoscropped.jpg?w=620&amp;h=349&amp;crop=1</t>
  </si>
  <si>
    <t>2600 E 96th Pl</t>
  </si>
  <si>
    <t>Officers were called on a report of a drunk man threatening people at a party with a baseball bat. When officers arrived, they found he was standing on the front porch of a home, armed with a baseball bat and a knife. Police said the man refused to put the knife and bat down and officers first tried to tase him. He was then shot and killed when he walked toward police with the weapons.</t>
  </si>
  <si>
    <t>http://denver.cbslocal.com/2013/08/31/neighbor-calls-man-killed-by-thornton-police-a-nice-hardworking-man/</t>
  </si>
  <si>
    <t>Kenneth Thompson</t>
  </si>
  <si>
    <t>1435 East Blvd</t>
  </si>
  <si>
    <t>Geneva on the Lake Police Department</t>
  </si>
  <si>
    <t>Police broke up a fight between Thompson and a woman, when the 47-year-old pointed a gun at an off-duty officer. The officer ordered Thompson to drop the weapon and shot him after he refused.</t>
  </si>
  <si>
    <t>http://www.newsnet5.com/dpp/news/local_news/cleveland_metro/cleveland-security-guard-shoots-and-kills-a-man-after-breaking-up-a-fight-on-East-Boulevard</t>
  </si>
  <si>
    <t>William Edward Hall</t>
  </si>
  <si>
    <t>McKenzie-Bend Hwy &amp; Harrington Loop Rd</t>
  </si>
  <si>
    <t>Sisters</t>
  </si>
  <si>
    <t>97759</t>
  </si>
  <si>
    <t>Texan Hall displayed a weapon to a state trooper during a traffic stop, the beginning of a vehicle chase down two-lane mountain highways in Oregon's Cascade range. Stopped by spike strips and boxed in between two cruisers, Hall refused to drop his weapon and was shot to death.</t>
  </si>
  <si>
    <t>http://www.ktvz.com/news/police-chase-ends-near-sisters-shots-reportedly-fired/21720408</t>
  </si>
  <si>
    <t>John Van Allen</t>
  </si>
  <si>
    <t>http://assets.nydailynews.com/polopoly_fs/1.1476103.1380887768!/img/httpImage/image.jpg_gen/derivatives/article_970/dalles5n-4-web.jpg?enlarged</t>
  </si>
  <si>
    <t>The Dalles</t>
  </si>
  <si>
    <t>Biggs Junction</t>
  </si>
  <si>
    <t>97058</t>
  </si>
  <si>
    <t>Sherman</t>
  </si>
  <si>
    <t>Veteran Van Allen had abruptly uprooted himself and his two children, and was headed eastbound on an Oregon interstate. During a state police traffic stop Van Allen began shooting at the trooper, who returned fire, as caught on a dramatic dashcam video. He made it a few hundred yards more before pulling over mortally wounded.</t>
  </si>
  <si>
    <t>http://www.nydailynews.com/news/national/man-killed-opens-fire-oregon-state-trooper-kids-sit-car-article-1.1476110</t>
  </si>
  <si>
    <t>James Daniel Guler</t>
  </si>
  <si>
    <t>Old Shadburn Ferry Road</t>
  </si>
  <si>
    <t>Buford</t>
  </si>
  <si>
    <t>30518</t>
  </si>
  <si>
    <t>Officer Matthew Williamson and other officers responded to a domestic incident on Old Shadburn Ferry Road near Buford. When Williamson arrived, he witnessed 80-year-old Betty Jo Massengale run out of the house and be shot in the back and killed by 73-year-old James Daniel Guler. The officer then shot and killed Guler.</t>
  </si>
  <si>
    <t>http://atlanta.cbslocal.com/2013/08/30/police-identify-man-woman-killed-by-gunfire/</t>
  </si>
  <si>
    <t>Scott Holland</t>
  </si>
  <si>
    <t>2200 block Taxco Road</t>
  </si>
  <si>
    <t>Tarrant County Sheriff's Department</t>
  </si>
  <si>
    <t>A county officer went to serve outstanding warrants on Holland for unpaid child support. Holland opened his apartment door with a gun in hand, and the deputy shot him to death.</t>
  </si>
  <si>
    <t>http://crimeblog.dallasnews.com/2013/08/man-fatally-shot-by-tarrant-county-deputy-constable-was-wanted-for-unpaid-child-support.html/</t>
  </si>
  <si>
    <t>John Geer</t>
  </si>
  <si>
    <t>http://img.washingtonpost.com/blogs/local/files/2014/02/Geer.jpg</t>
  </si>
  <si>
    <t>Pebble Brook Ct</t>
  </si>
  <si>
    <t>22153</t>
  </si>
  <si>
    <t>Tevon Smith</t>
  </si>
  <si>
    <t>http://www.trbimg.com/img-52290e3c/turbine/bal-baltimore-mug-shots-pg-003/385/217x385</t>
  </si>
  <si>
    <t>Roberts Ave</t>
  </si>
  <si>
    <t>Catonsville</t>
  </si>
  <si>
    <t>21228</t>
  </si>
  <si>
    <t>Officers executing a no-knock warrant for Smith's cousin when the 25-year-old opened fire and killed an officer. Officers returned fire and fatally shot Smith.</t>
  </si>
  <si>
    <t>http://www.wbal.com/article/102364/2/template-story/Funeral-Arrangements-Complete-For-Fallen-Officer</t>
  </si>
  <si>
    <t>Henry Kiner</t>
  </si>
  <si>
    <t>http://www.trbimg.com/img-521e2c9f/turbine/fl-suspect-fatally-shot-20130828-003/374/300x374</t>
  </si>
  <si>
    <t>1595 West Oakland Park Boulevard</t>
  </si>
  <si>
    <t>Police were pursuing Kiner as part of a murder case when he ambushed a fugitive task force, exchanging gunfire with officers until he was fatally shot.</t>
  </si>
  <si>
    <t>http://www.sun-sentinel.com/news/broward/oakland-park/fl-suspect-fatally-shot-20130828,0,7940231.story</t>
  </si>
  <si>
    <t>2000 E Piru St</t>
  </si>
  <si>
    <t>90222</t>
  </si>
  <si>
    <t>Deputies approached an adult Hispanic man, who then turned and fled. The man was shot and killed after a short foot race that ended with the man pulling a firearm on deputies.</t>
  </si>
  <si>
    <t>http://articles.latimes.com/2013/aug/28/local/la-me-ln-deputy-kills-man-compton-20130828</t>
  </si>
  <si>
    <t>Dennis Hakeen Vasquez</t>
  </si>
  <si>
    <t>2060 E. Piru St.</t>
  </si>
  <si>
    <t>As reported to the Los Angeles Times, Dennis Hakeem Vasquez, 17, died after being shot in Willowbrook, according to Los Angeles County coroner's records.</t>
  </si>
  <si>
    <t>W Pico Blvd &amp; S Mariposa Ave</t>
  </si>
  <si>
    <t>90006</t>
  </si>
  <si>
    <t>A man allegedly shot at Los Angeles Police, causing the department to set up a perimeter to find the unidentified man. He was later found, shot and killed.</t>
  </si>
  <si>
    <t>http://ktla.com/2013/08/28/shots-fired-as-lapd-searches-for-gunman-in-pico-union/</t>
  </si>
  <si>
    <t>Korey Marcel Germaine</t>
  </si>
  <si>
    <t>http://ak-cache.legacy.net/legacy/images/Cobrands/timesheraldonline/Photos/e9fe02d9-ca22-412d-a7a6-8e85ddcbea23.jpg</t>
  </si>
  <si>
    <t>Hillcrest Ave, Wildflower Drive</t>
  </si>
  <si>
    <t>94531</t>
  </si>
  <si>
    <t>Antioch Police Department</t>
  </si>
  <si>
    <t>Germaine was shot and killed after pointing a gun at officers during a police chase.</t>
  </si>
  <si>
    <t>http://sanfrancisco.cbslocal.com/2013/08/28/police-involved-shooting-antioch/</t>
  </si>
  <si>
    <t>23000 block Riverside Dr</t>
  </si>
  <si>
    <t>Southfield</t>
  </si>
  <si>
    <t>48033</t>
  </si>
  <si>
    <t>An off-duty Detroit police officer fatally shot a suspected carjacker early Monday outside a Southfield apartment complex. The shooting happened around 2 a.m. at the Sutton Place Apartments in the 23000 block Riverside Dr., near 9 Mile Road and Lahser. Police say the officer was getting out of his Dodge Charger when he was approached by two armed suspects. "Fearing for his safety, he fired several round and struck one suspect," said Southfield Lt. Nick Louissa.</t>
  </si>
  <si>
    <t>http://www.myfoxdetroit.com/story/23253487/police-man-fatally-shot-outside-southfield-apartment-complex</t>
  </si>
  <si>
    <t>Adam Pelkey</t>
  </si>
  <si>
    <t>Aroostook Road</t>
  </si>
  <si>
    <t>Molunkus</t>
  </si>
  <si>
    <t>04459</t>
  </si>
  <si>
    <t>Penobscot County Sheriff’s Office</t>
  </si>
  <si>
    <t>Deputies observed Pelkey traveling at 75 MPH in a 25 MPH and gave chase. Pelkey likely misjudged rural Aroostook Road; he lost control where the road turned to dirt, flipped the car, snapped a utility pole, was thrown from his car and sustained fatal injuries.</t>
  </si>
  <si>
    <t>http://bangordailynews.com/2013/08/27/news/aroostook/police-pursuit-that-ended-in-fatal-crash-in-molunkus-under-investigation/?ref=storyPrevNextLinks</t>
  </si>
  <si>
    <t>Joseph Crist</t>
  </si>
  <si>
    <t>William Few Parkway and Chamblin Road</t>
  </si>
  <si>
    <t>Grovetown</t>
  </si>
  <si>
    <t>30813</t>
  </si>
  <si>
    <t>Columbia County Sheriff’s Department</t>
  </si>
  <si>
    <t>After his car broke down on the interstate and shortly after the death of his father, Crist informed a family member that we was considering taking his own life, leading to multi-hour standoff on the highway. An officer shot Crist after the 58-year-old raised a firearm at police.</t>
  </si>
  <si>
    <t>http://herald-review.com/sullivan-man-dies-during-standoff-with-georgia-police/article_4b64459e-0e9c-11e3-ac40-001a4bcf887a.html</t>
  </si>
  <si>
    <t>Eric Byron Johnston</t>
  </si>
  <si>
    <t>http://media.spokesman.com/photos/2013/08/26/shootingpic_t210.jpg?74a72ef94756bccc16ea1c78066b52f96b62dbc7</t>
  </si>
  <si>
    <t>1422 E. Young Ave.</t>
  </si>
  <si>
    <t>Coeur d’Alene</t>
  </si>
  <si>
    <t>83814</t>
  </si>
  <si>
    <t>Coeur d’Alene Police Department</t>
  </si>
  <si>
    <t>Officials said Johnston was killed on the scene after an apparent altercation over a hit-and-run incident. The man reportedly hit and severed a light pole with a vehicle around Dollar and Lost Avenue. Authorities said they tracked him down and an altercation ensued after officers made contact. He was armed with a knife. Police shot and killed him.</t>
  </si>
  <si>
    <t>http://www.spokesman.com/stories/2013/aug/26/man-shot-killed-cda-police-identified/</t>
  </si>
  <si>
    <t>David Lee Brown</t>
  </si>
  <si>
    <t>500 Charlotte Dr</t>
  </si>
  <si>
    <t>San Marcos</t>
  </si>
  <si>
    <t>92069</t>
  </si>
  <si>
    <t>Brown was shot after allegedly lunging at a deputy with one of several knifes he was armed with. A female relative said that Brown had been taking drugs and drinking the day of his death.</t>
  </si>
  <si>
    <t>http://www.nbcsandiego.com/news/local/San-Marcos-Sheriffs-Deputy-Involved-Shooting-Charlotte-Street-221010151.html</t>
  </si>
  <si>
    <t>Ryan Carnan</t>
  </si>
  <si>
    <t>http://i.dailymail.co.uk/i/pix/2013/08/26/article-0-1B75F49E000005DC-859_306x423.jpg</t>
  </si>
  <si>
    <t>500 Azure Hills Dr</t>
  </si>
  <si>
    <t>Simi Valley</t>
  </si>
  <si>
    <t>93065</t>
  </si>
  <si>
    <t>Simi Valley Police Department</t>
  </si>
  <si>
    <t>Carnan murdered his mother, set her home ablaze and left on a tractor attempting to shoot down passing bicyclists. Officers responding to the scene were fired upon by Carnan, and subsequently returned fire and fatally struck Carnan.</t>
  </si>
  <si>
    <t>http://abclocal.go.com/kabc/story?section=news%2Flocal%2Fventura_county&amp;id=9218323</t>
  </si>
  <si>
    <t>Edmond Demont Fair</t>
  </si>
  <si>
    <t>https://cbsminnesota.files.wordpress.com/2013/08/brooklyn-center-officer-involved-shooting.png?w=195&amp;h=146&amp;crop=1</t>
  </si>
  <si>
    <t>6539 Shingle Creek Parkway</t>
  </si>
  <si>
    <t>Brooklyn Center Police Department</t>
  </si>
  <si>
    <t>During a traffic stop, police said Fair told officers that there was a warrant out for his arrest. He told them he didn't want to go to jail. Police said Fair fought officers off as they attempted to arrest him. During the struggle, police said, Fair grabbed one of the officers' Tasers and shocked both before Soliday shot him in the chest.</t>
  </si>
  <si>
    <t>http://www.mprnews.org/story/2014/09/08/brooklyn-center-wrongful-death-suit</t>
  </si>
  <si>
    <t>Scott Kehoe</t>
  </si>
  <si>
    <t>Kirkbride Drive</t>
  </si>
  <si>
    <t>Danvers</t>
  </si>
  <si>
    <t>01923</t>
  </si>
  <si>
    <t>Danvers Police Department</t>
  </si>
  <si>
    <t>Police attempted to bring Kehoe into custody for a robbery at this scene (the former Danvers State Insane Asylum), and for prior outstanding warrants. Kehoe lunged towards an officer with a knife and was shot to death.</t>
  </si>
  <si>
    <t>http://www.boston.com/metrodesk/2013/08/23/man-shot-danvers-police/U7ttlDYvAUu7ljAPE7irPK/story.html</t>
  </si>
  <si>
    <t>Joseph Mavis</t>
  </si>
  <si>
    <t>W Baseline Rd &amp; S Central Ave</t>
  </si>
  <si>
    <t>85041</t>
  </si>
  <si>
    <t>Mavis, who was wanted by police on domestic violence and abuse charges, was fatally shot after attempting to draw a firearm while being arrested by Mesa police.</t>
  </si>
  <si>
    <t>http://www.myfoxphoenix.com/story/23244638/2013/08/23/suspect-shot-by-officers-during-execution-of-warrant</t>
  </si>
  <si>
    <t>Rick Santistevan</t>
  </si>
  <si>
    <t>http://ak-cache.legacy.net/legacy/images/cobrands/fortmorgantimes/photos/55d84d10-9be3-49bd-b1cd-22fd055bda2f.jpgx?w=130&amp;h=180&amp;option=1&amp;v=0x000000002b7b758f</t>
  </si>
  <si>
    <t>800 Prospect Street</t>
  </si>
  <si>
    <t>Fort Morgan</t>
  </si>
  <si>
    <t>80701</t>
  </si>
  <si>
    <t>Fort Morgan Police Department</t>
  </si>
  <si>
    <t>Santistevan, who was suspected of assault and home invasion before his death, attempted to run from officers attempting to detain him. Officers tasered Santistevan in an attempt to subdue him, but the 30-year-old died shortly after arrest.</t>
  </si>
  <si>
    <t>http://www.brushnewstribune.com/ci_23927656/man-dies-after-arrest-by-fort-morgan-police</t>
  </si>
  <si>
    <t>Jonathan Tricarico</t>
  </si>
  <si>
    <t>http://media.azfamily.com/images/470*264/8-26-13-JONATHAN-TRICARICO-BKGD.jpg</t>
  </si>
  <si>
    <t>N 32nd St &amp; E Greenway Ln</t>
  </si>
  <si>
    <t>85032</t>
  </si>
  <si>
    <t>Officers attempted to detain Tricarico after the 29-year-old was observed driving a stolen vehicle. Police said that Tricarico opened fire first, and was fatally shot in the ensuing gun fight.</t>
  </si>
  <si>
    <t>Eulizez Rodriguez</t>
  </si>
  <si>
    <t>http://www.gannett-cdn.com/-mm-/03108a089d45147bede1524ebfe51772a056f24e/c=0-240-2108-1821&amp;r=x404&amp;c=534x401/local/-/media/PalmSprings/2014/12/05/B9315389896Z.1_20141205204447_000_GCF9B0U4I.1-0.jpg</t>
  </si>
  <si>
    <t>El Cajon Dr</t>
  </si>
  <si>
    <t>Desert Hot Springs</t>
  </si>
  <si>
    <t>92240</t>
  </si>
  <si>
    <t>Desert Hot Springs Police Department</t>
  </si>
  <si>
    <t>Rodriguez was fatally shot after officers pursued him for driving a stolen car. After a short foot chase, an officer shot Rodriguez after the 24-year-old pulled out a gun. The officer was cleared of any charges in 2014.</t>
  </si>
  <si>
    <t>http://www.desertsun.com/story/news/crime_courts/2014/12/05/desert-hot-springs-officer-cleared/19977795/</t>
  </si>
  <si>
    <t>Robert Lee Palmer</t>
  </si>
  <si>
    <t>http://images.onset.freedom.com/pressenterprise/gallery/n22726-sdeath0902binary1173615.jpg</t>
  </si>
  <si>
    <t>Ramona Expy &amp; Indian Ave</t>
  </si>
  <si>
    <t>Deputies began pursuing Palmer as the 33-year-old attempted to carjack vehicles along a highway, eventually catching him and engaging in a struggle that would leave Palmer fatally injured. Family members said Palmer suffered from mental illness and drug problems.</t>
  </si>
  <si>
    <t>Danny C. Jones</t>
  </si>
  <si>
    <t>http://www.gannett-cdn.com/-mm-/8e19a5b20305c3f633f39b7acb83bf94766adc0e/c=0-0-680-510&amp;r=x404&amp;c=534x401/http/krem-download.edgesuite.net/archive/images/092613-daniel-jones.jpg</t>
  </si>
  <si>
    <t>204 E Indiana Ave</t>
  </si>
  <si>
    <t>Jones, who was mentally ill and on medication, was driving back to the Salvation Army where he was staying with his wife Nancy and three children. He got into a car accident and fled. After the other driver called 911, police vehicles pursued and boxed Jones' truck in the Salvation Army parking lot. In an attempt to leave the parking lot, Jones hit one or two police vehicles. He was allegedly shouting for his wife and for the police to kill him. His wife screamed from an upstairs window not to shoot him because he was mentally ill. Officers Cory Lyons, Robert Collins and Scott Lesser and Lt. Kevin King fired 19 rounds and hit him 7 times.</t>
  </si>
  <si>
    <t>https://www.scribd.com/doc/218703780/Danny-Jones-Decision-Letter</t>
  </si>
  <si>
    <t>Danny Cecil Jones</t>
  </si>
  <si>
    <t>http://khq.images.worldnow.com/images/2751087_G.jpg</t>
  </si>
  <si>
    <t>204 E. Indiana Ave.</t>
  </si>
  <si>
    <t>Spokane Police Officers responded to a suspicious person call near the area of Division and N. River Drive. Officers were advised a red Dodge truck had intentionally collided with another vehicle in what appeared to be a possible road rage incident. Officers located the red Dodge a short time later on N. Division. A short pursuit was initiated by Officers which ended in the parking lot of the Salvation Army, located at 204 E. Indiana. When Officers attempted to contact the suspect an altercation took place. Officers ultimately shot the suspect.</t>
  </si>
  <si>
    <t>Henry C. Taylor Jr.</t>
  </si>
  <si>
    <t>http://www.innocentdown.org/wp-content/uploads/2013/08/henry-taylor.jpg</t>
  </si>
  <si>
    <t>1856 Mentor Road</t>
  </si>
  <si>
    <t>37777</t>
  </si>
  <si>
    <t>Blount County Sheriff Department</t>
  </si>
  <si>
    <t>Taylor asked the police to help keep an eye on his property after some burglaries. Deputy Ernest Kevin Ragland came to check the property and saw Taylor with a handgun. Mistaking him for a burglar, he fired 11 shots. One struck Taylor, killing him. Although Ragland claims he identified himself and gave verbal commands before firing, Taylor's wife Cynthia Ridinger claims he did not, and that the Sheriff Office tried to cover up Ragland's misconduct. She filed a wrongful death lawsuit. As of 08/14, the lawsuit is pending, Ridinger's lawyer also sued the Blount County Sheriff for failure to disclose all records regarding the case.</t>
  </si>
  <si>
    <t>http://www.thedailytimes.com/news/federal-suit-filed-in-blount-deputy-s-fatal-shooting-of/article_25a10ff4-b7e7-5cd0-8976-08644d5b8be8.html</t>
  </si>
  <si>
    <t>Raymond Majors</t>
  </si>
  <si>
    <t>http://media.azfamily.com/images/600*338/082213_raymond-majors.jpg</t>
  </si>
  <si>
    <t>2400 block W Devonshire Ave</t>
  </si>
  <si>
    <t>Majors, who was wanted in connection to a domestic violence charge, was shot and killed by officers after using a U-Haul truck to ram into patrol cars in an attempt to escape from police.</t>
  </si>
  <si>
    <t>http://www.azfamily.com/news/Officers-shoot-kill-man-who-tried-to-rampolice-car-with-U-Haul-220657551.html</t>
  </si>
  <si>
    <t>S Normandie Ave &amp; W 41st St</t>
  </si>
  <si>
    <t>90037</t>
  </si>
  <si>
    <t>Police responding to a domestic dispute found an armed 70-year-old black man, who had earlier shot a woman in the ear. Police fatally shot the man, whose name was not released.</t>
  </si>
  <si>
    <t>http://losangeles.cbslocal.com/2013/08/20/woman-wounded-suspect-injured-in-officer-involved-shooting-in-south-la/</t>
  </si>
  <si>
    <t>Al Pickett</t>
  </si>
  <si>
    <t>500 Staunton Commons Dr</t>
  </si>
  <si>
    <t>Police were called to a residence where Pickett had stabbed a woman several times, and were met by the 52-year-old holding a gun. An officer fatally shot Pickett when he refused to drop the weapon.</t>
  </si>
  <si>
    <t>http://www.daytondailynews.com/news/news/crime-law/troy-police-investigate-reported-shooting/nZTsq/</t>
  </si>
  <si>
    <t>2200 Glenwood Avenue</t>
  </si>
  <si>
    <t>19132</t>
  </si>
  <si>
    <t>A 22nd District Officer was trying to stop a 2001 Buick LeSabre. According to police, the driver of the Buick refused to stop and accelerated. Police pursued the car and called in for backup. During the chase, investigators say the Buick crashed into a minivan carrying a family of five before striking a building near N 22nd Street and Glenwood Avenue. Police said a passenger got out and pointed a gun at the officer, who opened fire, hitting the 19-year-old man multiple times in the torso, ,killing him.</t>
  </si>
  <si>
    <t>http://www.nbcphiladelphia.com/news/local/Man-Shot-by-Police-Officer-in-North-Philly-220436941.html</t>
  </si>
  <si>
    <t>Aaron McDaniels</t>
  </si>
  <si>
    <t>N 22nd St &amp; W Glenwood Ave</t>
  </si>
  <si>
    <t>An officer attempting to pull over a vehicle driven by McDaniels began pursuing the car after the 19-year-old refused to stop. McDaniels eventually crashed the car and was fatally shot by police after pointing a gun at an officer.</t>
  </si>
  <si>
    <t>http://www.loladelphia.com/post/59106758360/the-sad-tale-of-aaron-mcdaniels</t>
  </si>
  <si>
    <t>John Terzani</t>
  </si>
  <si>
    <t>http://cmsimg.poughkeepsiejournal.com/apps/pbcsi.dll/bilde?Site=BK&amp;Date=20130828&amp;Category=NEWS01&amp;ArtNo=308280019&amp;Ref=AR</t>
  </si>
  <si>
    <t>Carpenter Road and the Taconic State Parkway</t>
  </si>
  <si>
    <t>Hopewell Junction</t>
  </si>
  <si>
    <t>12533</t>
  </si>
  <si>
    <t>East Fishkill Police Department, Dutchess County Sheriff’s Office, New York State Police</t>
  </si>
  <si>
    <t>A late-evening domestic dispute in which Terzani flourished a handgun developed into a five-hour manhunt, involving multiple jurisdictions and closure of several roads. After extended negotiations Terzani appeared on the threshold of his own house and pointed his gun at police. A state trooper fatally shot him.</t>
  </si>
  <si>
    <t>http://7online.com/archive/9211962/</t>
  </si>
  <si>
    <t>Edward John Scheboth</t>
  </si>
  <si>
    <t>Boulder Highway and College Drive</t>
  </si>
  <si>
    <t>89105</t>
  </si>
  <si>
    <t>Edward John Scheboth pulled up on Henderson police at a car crash scene on Boulder Highway and opened fire in what authorities called an "ambush." Officers returned fire and killed him.</t>
  </si>
  <si>
    <t>https://drive.google.com/file/d/0B-l9Ys3cd80fai1PTmh3eVpIdmhrQWFrajJLZFBQSzk1SW1N/edit?usp=sharing</t>
  </si>
  <si>
    <t>Matthew Borner</t>
  </si>
  <si>
    <t>http://www.mentalhealthportland.org/wp-content/uploads/2013/09/Matthew-Borner.jpg</t>
  </si>
  <si>
    <t>1600 block Portland Street</t>
  </si>
  <si>
    <t>97601</t>
  </si>
  <si>
    <t>Klamath Falls Police Department</t>
  </si>
  <si>
    <t>When police found Borner in a stolen car investigation he bolted from the porch on foot, verbally threatened officers when reaching a dead end, ignored police commands, and reached for a black object as if it were a handgun. He was shot four times, two bullets fatally striking him in the chest. The object was a cell phone.</t>
  </si>
  <si>
    <t>http://www.mentalhealthportland.org/klamath-falls-police-shooting-that-killed-matthew-borner-52-ruled-justified/</t>
  </si>
  <si>
    <t>Tony Procell</t>
  </si>
  <si>
    <t>http://ksla.images.worldnow.com/images/23252325_BG2.JPG</t>
  </si>
  <si>
    <t>LA-156</t>
  </si>
  <si>
    <t>Goldonna</t>
  </si>
  <si>
    <t>71031</t>
  </si>
  <si>
    <t>Natchitoches Police Department</t>
  </si>
  <si>
    <t>Procell was kidnapped and beaten to death by an off-duty Natchitoches police officer, allegedly as part of a domestic situation. The officer was indicted and is going through trial as of 2014.</t>
  </si>
  <si>
    <t>http://www.wlox.com/story/23252325/new-charge-for-barthelemy-in-procell-kidnapping-murder</t>
  </si>
  <si>
    <t>Travis Miller</t>
  </si>
  <si>
    <t>http://wbtw.images.worldnow.com/images/3796757_G.jpg</t>
  </si>
  <si>
    <t>Dakota St North</t>
  </si>
  <si>
    <t>Hanahan Police Department</t>
  </si>
  <si>
    <t>Following a routine traffic stop that turned into a pursuit, Miller and police engaged in an extended gun battle that began when Miller fired at police while fleeing. Miller was fatally shot during the gun battle.</t>
  </si>
  <si>
    <t>http://www.live5news.com/story/23178916/sled-investigating-hanahan-shooting</t>
  </si>
  <si>
    <t>Ronnie Ledesma Jr.</t>
  </si>
  <si>
    <t>http://media.bakersfieldnow.com/images/130830-Ronnie-Ledesma-Jr.jpg</t>
  </si>
  <si>
    <t>2629 Mt Vernon Ave</t>
  </si>
  <si>
    <t>Ledesma was detained by police inside a Walgreen's after the 39-year-old appeared under the influence of drugs. A fight broke out between Ledesma and police, requiring him to be transported to a hospital where later died from his injuries.</t>
  </si>
  <si>
    <t>Julio Lopez</t>
  </si>
  <si>
    <t>4402 River Bnd</t>
  </si>
  <si>
    <t>76903</t>
  </si>
  <si>
    <t>http://www.gosanangelo.com/news/wife-recalls-fatal-scuffle</t>
  </si>
  <si>
    <t>Tracy Lynn Daniel</t>
  </si>
  <si>
    <t>http://ak-cache.legacy.net/legacy/Images/Cobrands/DignityMemorial/Photos/5c2d6524-f1fb-4ff3-9571-c147b0dd7af0.jpg</t>
  </si>
  <si>
    <t>1026 Martha Glass Dr</t>
  </si>
  <si>
    <t>Jefferson City</t>
  </si>
  <si>
    <t>37760</t>
  </si>
  <si>
    <t>Jefferson City Police Department</t>
  </si>
  <si>
    <t>Police responding to a call of a man threatening another man with a knife fatally shot Daniel after he refused to lower a knife and began walking toward officers.</t>
  </si>
  <si>
    <t>http://www.knoxnews.com/news/2013/aug/19/jefferson-city-officers-involved-in-shooting/</t>
  </si>
  <si>
    <t>Justo Quintero</t>
  </si>
  <si>
    <t>http://d3trabu2dfbdfb.cloudfront.net/2/3/2388575_300x300_1.jpeg</t>
  </si>
  <si>
    <t>1000 Arroyo Verde Rd</t>
  </si>
  <si>
    <t>South Pasadena</t>
  </si>
  <si>
    <t>91030</t>
  </si>
  <si>
    <t>California State University Police Department</t>
  </si>
  <si>
    <t>Quintero was fatally shot by an off-duty California State University, Los Angeles officer after getting into a confrontation allegedly over the volume of Quintero's music. Quintero was armed at the time of the shooting.</t>
  </si>
  <si>
    <t>http://abclocal.go.com/kabc/story?section=news%2Flocal%2Flos_angeles&amp;id=9210315</t>
  </si>
  <si>
    <t>Charles G. Carll</t>
  </si>
  <si>
    <t>http://bloximages.chicago2.vip.townnews.com/host.madison.com/content/tncms/assets/v3/editorial/7/b3/7b316144-e7a3-5cea-a540-5abe25740587/521343c5c9068.preview-699.jpg</t>
  </si>
  <si>
    <t>5200 Hammersley Road</t>
  </si>
  <si>
    <t>Madison Police Department.</t>
  </si>
  <si>
    <t>Charles Carll was armed with a knife and reportedly attacked his wife with the knife. Police officers initially Tasered the man, but it failed to restrain him. The man ignored the officers' verbal commands and was fatally shot by the officers.[47]</t>
  </si>
  <si>
    <t>http://www.nbc15.com/home/headlines/1-person-dead-after-officer-involved-shooting--220067101.html</t>
  </si>
  <si>
    <t>Robert Edward Hart</t>
  </si>
  <si>
    <t>http://cdn2-b.examiner.com/sites/default/files/styles/image_content_width/hash/38/e8/38e813d51693e28a17b0e609dbded0b7.jpeg?itok=PWBuqu89</t>
  </si>
  <si>
    <t>146 Morris Dr</t>
  </si>
  <si>
    <t>Polk County Police Department</t>
  </si>
  <si>
    <t>Police responding to a suicide call found Hart in possession of a firearm and unsuccessfully trying to take his own life. An officer, fearing for his life, fatally fired at Hart who later died from his injuries.</t>
  </si>
  <si>
    <t>http://www.examiner.com/article/cedartown-man-dead-and-polk-county-police-officer-on-paid-leave</t>
  </si>
  <si>
    <t>Roger David Street</t>
  </si>
  <si>
    <t>http://www.timesnews.net/data/gnpics/2013/ca528b633a8cb3332601b2d630db7c01.jpg</t>
  </si>
  <si>
    <t>100 Egypt Road</t>
  </si>
  <si>
    <t>Bluff City</t>
  </si>
  <si>
    <t>37618</t>
  </si>
  <si>
    <t>Sullivan County Sheriff's Office</t>
  </si>
  <si>
    <t>Street was fatally shot by deputies after a short chase and after the 51-year-old "rammed" officers with his vehicle. Street's BAC was .28 at the time of his death.</t>
  </si>
  <si>
    <t>http://www.timesnews.net/article/9070547/officers-cleared-in-fatal-bluff-city-shooting</t>
  </si>
  <si>
    <t>Robert Bellfleur</t>
  </si>
  <si>
    <t>http://bdnpull.bangorpublishing.netdna-cdn.com/wp-content/uploads/2013/01/image001.jpg</t>
  </si>
  <si>
    <t>Frazier Road</t>
  </si>
  <si>
    <t>Grindstone Township</t>
  </si>
  <si>
    <t>04460</t>
  </si>
  <si>
    <t>East Millinocket Police Department</t>
  </si>
  <si>
    <t>Bellfleur drunkenly threatened his neighbors over their bear-hunting business. They called police. Bellfleur pointed his shotgun at him. They shot and killed him.</t>
  </si>
  <si>
    <t>http://www.maine.gov/tools/whatsnew/index.php?topic=AGOffice_Press&amp;id=610725&amp;v=reportsarticle10</t>
  </si>
  <si>
    <t>Seth Jacob Beckman</t>
  </si>
  <si>
    <t>http://www.wbaltv.com/image/view/-/21521986/highRes/1/-/d4uwf3/-/Seth-Jacob-Beckman-jpg.jpg</t>
  </si>
  <si>
    <t>595 Baltimore Pike</t>
  </si>
  <si>
    <t>21014</t>
  </si>
  <si>
    <t>Harford County Sheriff’s Office</t>
  </si>
  <si>
    <t>Seth Beckham broke into a 7-11, a McDonald's, and a gas station, while displaying aggressive and bizarre behavior. After the police officers drew their guns, Beckham reportedly tried to attack the officers. Seth Beckham was shot by a Harford County sheriff’s deputy.</t>
  </si>
  <si>
    <t>http://baltimore.cbslocal.com/2013/08/18/suspect-injured-after-police-involved-shooting-in-harford-county/</t>
  </si>
  <si>
    <t>Patrick Othro Sullivan</t>
  </si>
  <si>
    <t>4081 Normandie Ave.</t>
  </si>
  <si>
    <t>Vermont Square</t>
  </si>
  <si>
    <t>As reported to the Los Angeles Times, Patrick Ortho Sullivan, 74, died after being shot in Vermont Square, according to Los Angeles County coroner's records.</t>
  </si>
  <si>
    <t>http://homicide.latimes.com/post/patrick-othro-sullivan/</t>
  </si>
  <si>
    <t>Mason Saio</t>
  </si>
  <si>
    <t>http://bloximages.chicago2.vip.townnews.com/thegardenisland.com/content/tncms/assets/v3/editorial/8/07/80745b06-07cc-11e3-9e38-0019bb2963f4/521064b21b7db.image.jpg?resize=300%2C225</t>
  </si>
  <si>
    <t>Nawiliwili Harbor</t>
  </si>
  <si>
    <t>Līhuʻe</t>
  </si>
  <si>
    <t>96766</t>
  </si>
  <si>
    <t>Saio was fatally shot by officers after pointing a loaded shotgun at officers performing routine checks at Nawiliwili harbor. The officers were cleared of any wrongdoing in April 2014.</t>
  </si>
  <si>
    <t>http://www.staradvertiser.com/news/breaking/20140417_Prosecutors_Office_review_clears_police_in_fatal_shooting_of_Kalaheo_man.html?id=255743411</t>
  </si>
  <si>
    <t>Blake Allen Barbour</t>
  </si>
  <si>
    <t>http://kdminer.com/SiteImages/Article/58334a.jpg</t>
  </si>
  <si>
    <t>2900 Packard Ave</t>
  </si>
  <si>
    <t>86409</t>
  </si>
  <si>
    <t>Mohave County Sheriff's Office</t>
  </si>
  <si>
    <t>An officer responding to a domestic violence call fatally shot Barbour after the 43-year-old threw a chair at the officer and resisted non-lethal attempts to detain him. Prosecutors cleared the officer of any wrongdoing in February 2014.</t>
  </si>
  <si>
    <t>http://www.myfoxcarolinas.com/story/24694051/prosecutors-clear-mohave-deputy-in-fatal-shooting</t>
  </si>
  <si>
    <t>Michael Thomas Allison</t>
  </si>
  <si>
    <t>505 Susana Ave.</t>
  </si>
  <si>
    <t>Redondo Beach</t>
  </si>
  <si>
    <t>90277</t>
  </si>
  <si>
    <t>Redondo Beach Police Department</t>
  </si>
  <si>
    <t>Allison had assaulted his mother with a knife, when officers arrived they found her outside and forced their way inside the house where he was. He was armed with a knife, not obeying orders, and officers shot him to death.</t>
  </si>
  <si>
    <t>http://www.dailybreeze.com/general-news/20130816/redondo-beach-police-fatally-shoot-man-reportedly-armed-with-knife-updated</t>
  </si>
  <si>
    <t>Roza Sakhina</t>
  </si>
  <si>
    <t>http://stmedia.startribune.com/images/586*425/2pedestrian082313.jpg.jpeg</t>
  </si>
  <si>
    <t>800 Cleveland Ave S</t>
  </si>
  <si>
    <t>55116</t>
  </si>
  <si>
    <t>Sakhina was struck by a police vehicle while crossing the street, knocking her to the ground and fatally injuring her.</t>
  </si>
  <si>
    <t>http://www.startribune.com/local/east/220699271.html</t>
  </si>
  <si>
    <t>Carlo Alcis</t>
  </si>
  <si>
    <t>375 Rockaway Parkway</t>
  </si>
  <si>
    <t>11212</t>
  </si>
  <si>
    <t>http://www.nydailynews.com/new-york/brooklyn/family-mourns-brooklyn-dad-criticizes-nypd-article-1.1448858</t>
  </si>
  <si>
    <t>Eric McNeil</t>
  </si>
  <si>
    <t>http://media.nbcbayarea.com/images/Eric+McNeil+Trenton.jpg</t>
  </si>
  <si>
    <t>59 Hobart Ave</t>
  </si>
  <si>
    <t>08629</t>
  </si>
  <si>
    <t>Two detectives responding to a domestic disturbance call were ambushed and shot at by McNeil, wounding the two officers. McNeil was shot and killed during the exchange.</t>
  </si>
  <si>
    <t>http://abclocal.go.com/wpvi/story?section=news%2Flocal&amp;id=9207104</t>
  </si>
  <si>
    <t>6400 block Greenwood Road</t>
  </si>
  <si>
    <t>40258</t>
  </si>
  <si>
    <t>Louisville Metro Police say an officer involved shooting near a Pleasure Ridge Park McDonald's involved someone wanted for a recent homicide. The shooting happened around 6 p.m. Thursday in the 6400 block Greenwood Road near Terry Road. WAVE 3 News reporter Katie Bauer has learned Metro police were conducting surveillance on a person wanted for the August 12 deadly shooting at Crawford Crossing Apartments. The suspect, whose name has yet to be released, was in the back seat of a car and fired on two detectives. The detectives, both of whom were on foot, fired back injuring two people in the car, including the suspect.</t>
  </si>
  <si>
    <t>http://www.wave3.com/story/23151742/police-murder-suspect-among-2-shot-by-officers</t>
  </si>
  <si>
    <t>Thomas McClanahan</t>
  </si>
  <si>
    <t>Watson Road</t>
  </si>
  <si>
    <t>41049</t>
  </si>
  <si>
    <t>Fleming</t>
  </si>
  <si>
    <t>Fleming County Sheriff"s Department</t>
  </si>
  <si>
    <t>Fleming County Sheriff's deputies responded to a domestic call. Thomas McClanahan came out of the house and pointed a gun at the officers. A state trooper fired his weapon, killing McClanahan.</t>
  </si>
  <si>
    <t>http://www.lex18.com/news/fleming-county-man-shot-killed-by-officer/</t>
  </si>
  <si>
    <t>Mitchell Allison</t>
  </si>
  <si>
    <t>500 Susana Ave</t>
  </si>
  <si>
    <t>Police were called to Allison's residence after a neighbor reported the 43-year-old attacking his mother. Allison was fatally shot after officers entered the home and found him holding a knife.</t>
  </si>
  <si>
    <t>http://www.easyreadernews.com/73762/redondo-beach-police-officer-fatally-shoots-confrontational-man/</t>
  </si>
  <si>
    <t>Eric Zaman</t>
  </si>
  <si>
    <t>Jamaica Ave and Barbey Street</t>
  </si>
  <si>
    <t>Zaman inexplicably crashed his motorcycle into a parked car about 8:30 p.m. Police claimed that they'd been pursuing other motorcyclists nearby, but not Zaman. Eyewitnesses asserted that a police cruiser made contact with Zaman's bike and caused the crash.</t>
  </si>
  <si>
    <t>http://www.nydailynews.com/new-york/brooklyn/motorcyclist-dies-losing-control-brooklyn-article-1.1427464</t>
  </si>
  <si>
    <t>Graham Edward Dyer</t>
  </si>
  <si>
    <t>http://www.obitsforlife.com/uploaded-images/converted/293494-52104785a01e0-shrink-x180.jpg</t>
  </si>
  <si>
    <t>777 North Galloway Avenue</t>
  </si>
  <si>
    <t>75149</t>
  </si>
  <si>
    <t>Mesquite Police Department</t>
  </si>
  <si>
    <t>Dyer was arrested after ingesting LSD and behaving erratically near a middle school. Police said that Dyer was combative throughout the arrest, and was placed in a restraining chair at the local jail, where he suffered a medical emergency and later died.</t>
  </si>
  <si>
    <t>http://crimeblog.dallasnews.com/2013/08/man-18-is-brain-dead-after-banging-head-against-mesquite-school-door-scuffling-with-officers-who-arrested-him-tuesday.html/</t>
  </si>
  <si>
    <t>Donald Peter Johnson</t>
  </si>
  <si>
    <t>http://www.brenny.com/fh_live/12200/12224/images/obituaries/2195563_wlpp.jpg</t>
  </si>
  <si>
    <t>5038 Sleepy Hollow Rd</t>
  </si>
  <si>
    <t>Fort Ripley</t>
  </si>
  <si>
    <t>56449</t>
  </si>
  <si>
    <t>Crow Wing</t>
  </si>
  <si>
    <t>Crow Wing County Sheriff’s Office</t>
  </si>
  <si>
    <t>Officers called to Johnson's home found the 50-year-old perched in a tree and armed. Johnson and officers exchanged gunfire, with one officer suffering a gunshot wound before Johnson was fatally shot.</t>
  </si>
  <si>
    <t>http://stmedia.startribune.com/documents/BCA_Johnson.pdf</t>
  </si>
  <si>
    <t>Donny Simmons</t>
  </si>
  <si>
    <t>http://extras.mnginteractive.com/live/media/site571/2013/0815/20130815_091720_0816oic-donny_simmons2_200.jpg</t>
  </si>
  <si>
    <t>2100 block West Tennyson Road</t>
  </si>
  <si>
    <t>94545</t>
  </si>
  <si>
    <t>A domestic violence suspect was fatally shot by police in his apartment after charging at officers with a knife.</t>
  </si>
  <si>
    <t>http://www.mercurynews.com/ci_23868546/hayward-police-fatally-shoot-man-knife-at-apartment</t>
  </si>
  <si>
    <t>Leamond Ward</t>
  </si>
  <si>
    <t>South 38th Street</t>
  </si>
  <si>
    <t>Middlesboro</t>
  </si>
  <si>
    <t>40965</t>
  </si>
  <si>
    <t>Middlesboro Police Department</t>
  </si>
  <si>
    <t>Ward robbed a gas station clerk but was stopped mid-robbery by arriving police officers. An officer fatally shot Ward after the 20-year old approached officers while holding a knife.</t>
  </si>
  <si>
    <t>http://www.wkyt.com/wymt/home/headlines/One-dead-following-shooting-involving-police-officer-in-Bell-County-218813591.html</t>
  </si>
  <si>
    <t>Fuaed Abdo Ahmed</t>
  </si>
  <si>
    <t>http://www.everyjoe.com/wp-content/gallery/fuaed-abdo-ahmed/fuaed-abdo-ahmed-photos-4.jpg</t>
  </si>
  <si>
    <t>921 Plank Rd</t>
  </si>
  <si>
    <t>71366</t>
  </si>
  <si>
    <t>Tensas</t>
  </si>
  <si>
    <t>Louisiana State Police</t>
  </si>
  <si>
    <t>Suspect was holding hostages during a bank robbery</t>
  </si>
  <si>
    <t>http://www.nola.com/news/index.ssf/2013/08/police_kill_gunman_after_he_sh.html</t>
  </si>
  <si>
    <t>Allen Harvey Jr.</t>
  </si>
  <si>
    <t>Dogwood Rd</t>
  </si>
  <si>
    <t>21202</t>
  </si>
  <si>
    <t>A burglary suspect ran into a van and sped off with it, striking and injuring a police officer. Three officers fired at the van, killing the driver.</t>
  </si>
  <si>
    <t>http://articles.baltimoresun.com/2013-08-14/news/bs-md-co-police-involved-shooting-update-20130814_1_first-degree-burglary-other-burglaries-county-police</t>
  </si>
  <si>
    <t>Alex Cora DeJesus</t>
  </si>
  <si>
    <t>http://www.policestateusa.com/wp-content/uploads/2014/06/Alex-Cora-Dejesus.png</t>
  </si>
  <si>
    <t>Prescott Street and Marlboro Street</t>
  </si>
  <si>
    <t>Keene</t>
  </si>
  <si>
    <t>03431</t>
  </si>
  <si>
    <t>Cheshire</t>
  </si>
  <si>
    <t>Weare Police Department</t>
  </si>
  <si>
    <t>Five Weare police officers lay in wait for DeJesus to take part in a drug sting which fell through. DeJesus attempted to flee in his vehicle. One of the officers shot him in the temple with a shotgun as he passed, despite no evidence of a crime committed, DeJesus being unarmed, and no evidence supporting the police claims of being endangered. Amid much controversy the family took a $300k settlement from the city. The Attorney General said after 8 months, he could not determine if the shooting was justified, so no charges were brought, which is defacto justification.</t>
  </si>
  <si>
    <t>http://doj.nh.gov/media-center/press-releases/2014/documents/20140423-weare-officer-involved-report.pdf</t>
  </si>
  <si>
    <t>Jack Snyder</t>
  </si>
  <si>
    <t>Downing St &amp; E 29th Ave</t>
  </si>
  <si>
    <t>80205</t>
  </si>
  <si>
    <t>After threatening passengers with a knife, Snyder was fatally shot by police after he lunged at an officer.</t>
  </si>
  <si>
    <t>http://www.thedenverchannel.com/news/local-news/one-person-critical-after-officer-involved-shooting-near-29th-and-downing-in-denver</t>
  </si>
  <si>
    <t>Lucious Gaultney</t>
  </si>
  <si>
    <t>MS-24</t>
  </si>
  <si>
    <t>Gloster</t>
  </si>
  <si>
    <t>39638</t>
  </si>
  <si>
    <t>Amite</t>
  </si>
  <si>
    <t>Gloster Police Department</t>
  </si>
  <si>
    <t>Police responding to a domestic disturbance began pursuing Gaultney on foot after learning that the 33-year-old stabbed his wife. An officer fired a stun gun at Gaultney, who died shortly thereafter.</t>
  </si>
  <si>
    <t>Gary Roell</t>
  </si>
  <si>
    <t>http://ak-cache.legacy.net/legacy/images/Cobrands/Cincinnati/Photos/CEN046838-1_20130815.jpg</t>
  </si>
  <si>
    <t>Barrington Ct</t>
  </si>
  <si>
    <t>45242</t>
  </si>
  <si>
    <t>Roell, who suffered from bipolar depression and schizophrenia, was fatally tasered by police after first breaking a neighbor's windows and then attacking responding officers.</t>
  </si>
  <si>
    <t>http://www.wlwt.com/news/local-news/hamilton-county/man-dies-after-being-shocked-by-deputys-taser/21442790</t>
  </si>
  <si>
    <t>Martin A. Duckworth</t>
  </si>
  <si>
    <t>http://seattletimes.wpengine.netdna-cdn.com/today/files/2013/08/Duckworth_Martin_20131.jpg</t>
  </si>
  <si>
    <t>3rd Ave &amp; University St</t>
  </si>
  <si>
    <t>98101</t>
  </si>
  <si>
    <t>Duckworth shot a bus driver several times before boarding a second bus in downtown seattle, where officers fatally shot the 31-year-old.</t>
  </si>
  <si>
    <t>http://blogs.seattletimes.com/today/2013/08/metro-bus-driver-shot-in-downtown-seattle/</t>
  </si>
  <si>
    <t>Lisa Taylor</t>
  </si>
  <si>
    <t>Fir Way</t>
  </si>
  <si>
    <t>33026</t>
  </si>
  <si>
    <t>Taylor called police and informed deputies that she planned to shoot up her neighborhood. Arriving deputies shot Taylor after she pointed a handgun at the officers.</t>
  </si>
  <si>
    <t>http://www.sun-sentinel.com/fl-deputy-involved-cooper-city-20130812,0,7874798.story</t>
  </si>
  <si>
    <t>Steven Michael Brill</t>
  </si>
  <si>
    <t>http://bloximages.newyork1.vip.townnews.com/lancasteronline.com/content/tncms/assets/v3/editorial/a/0c/a0c5c0eb-b2df-5324-b704-43bf0c744a06/52338926e3ff8.image.jpg?resize=300%2C203</t>
  </si>
  <si>
    <t>1492 Old Line Rd</t>
  </si>
  <si>
    <t>Manheim</t>
  </si>
  <si>
    <t>17545</t>
  </si>
  <si>
    <t>Manheim Borough Police Department</t>
  </si>
  <si>
    <t>Brill was fatally shot by police after pointing a gun, later revealed to be a pellet rifle, at officers responding following reports of Brill acting suicidal. A local district attorney cleared the officers of any charges.</t>
  </si>
  <si>
    <t>http://www.pennlive.com/midstate/index.ssf/2013/09/fatal_shooting_of_man_by_manhe.html</t>
  </si>
  <si>
    <t>Russell Donahue</t>
  </si>
  <si>
    <t>http://ak-cache.legacy.net/legacy/images/Cobrands/RRStar/Photos/RRP1933723_20130821.jpg</t>
  </si>
  <si>
    <t>336 Springmeadow Dr</t>
  </si>
  <si>
    <t>Poplar Grove</t>
  </si>
  <si>
    <t>61065</t>
  </si>
  <si>
    <t>Before the shooting, Donahue attempted to take his estranged wife and daughter hostage as deputies arrived on scene. Donahue was fatally shot by deputies outside the residence, who were later ruled justified in shooting the 44-year-old.</t>
  </si>
  <si>
    <t>http://www.wifr.com/home/headlines/219283911.html</t>
  </si>
  <si>
    <t>Wayne Edwards</t>
  </si>
  <si>
    <t>Interstate 91 and Interstate 291 interchange</t>
  </si>
  <si>
    <t>01103</t>
  </si>
  <si>
    <t>A state trooper pulled Edwards over for speeding on I-91 after midnight. A physical struggle developed between the two in which the driver was shot. The driver then attempted to escape but got only .2 miles until crashing into a protective barrier. He subsequently died of his injuries, and was found to have two handguns in the vehicle.</t>
  </si>
  <si>
    <t>http://www.masslive.com/news/index.ssf/2013/08/state_police_identify_man_fata.html</t>
  </si>
  <si>
    <t>James Lee DiMaggio</t>
  </si>
  <si>
    <t>http://37.media.tumblr.com/b4af05cc72c400b370aa8c7170cd1808/tumblr_mrdkaqzSut1qmyzbpo1_400.jpg</t>
  </si>
  <si>
    <t>near Morehead Lake</t>
  </si>
  <si>
    <t>Cascade</t>
  </si>
  <si>
    <t>83611</t>
  </si>
  <si>
    <t>Valley</t>
  </si>
  <si>
    <t>ADA County Sheriff's Office</t>
  </si>
  <si>
    <t>On August 4, 2013, an Amber Alert was issued for 16-year-old Hannah Anderson and her 8-year-old brother, Ethan, after they were reported missing by their grandparents. Their mother was found burned to death along with Ethan Anderson at a house owned by James DiMaggio, in Boulevard, California. James DiMaggio was named a suspect in the murders and abduction of Hannah Anderson, which lead to manhunts being executed across the western U.S. On August 8, DiMaggio's car was found in central Idaho. On August 10, DiMaggio was found with Anderson at a campsite at Frank Church-River of No Return Wilderness and was fatally shot by an FBI agent during a confrontation. Hannah Anderson was unharmed.</t>
  </si>
  <si>
    <t>Mitchell Keith Campbell</t>
  </si>
  <si>
    <t>http://bloximages.newyork1.vip.townnews.com/timesdaily.com/content/tncms/assets/v3/editorial/3/dd/3dd0d07f-874e-5954-82e9-bf322742db30/5209afd0b95d6.preview-300.jpg</t>
  </si>
  <si>
    <t>2123 Lauderdale 277</t>
  </si>
  <si>
    <t>35633</t>
  </si>
  <si>
    <t>Lauderdale County Sheriff's Department</t>
  </si>
  <si>
    <t>Deputies responding to a disturbance call found Campbell outside his residence, holding a rifle. Deputies fatally shot Campbell after he raised the rifle at the deputies, and were later cleared of any wrongdoing by a grand jury.</t>
  </si>
  <si>
    <t>http://www.timesdaily.com/news/local/article_871e7e88-69ff-11e3-8f2b-001a4bcf6878.html</t>
  </si>
  <si>
    <t>Brent Egan Dotson</t>
  </si>
  <si>
    <t>http://media.al.com/breaking/photo/13231770-large.jpg</t>
  </si>
  <si>
    <t>1755 Slaughter Road</t>
  </si>
  <si>
    <t>35758</t>
  </si>
  <si>
    <t>Hobbs said police got a call at 8:01 a.m. about a suspicious person in the area of Mountain View mobile home park. He was near the road, according to Hobbs. When police arrived and questioned the man, he showed police his gun, then pulled it out and fired.Police ruled the death suicide.</t>
  </si>
  <si>
    <t>http://blog.al.com/breaking/2013/08/huntsville_police_on_the_scene_3.html</t>
  </si>
  <si>
    <t>Brent Walls</t>
  </si>
  <si>
    <t>http://www.fountainsquaremortuary.com/obituaries/uploads/OI444731442_walls%20crop.jpg</t>
  </si>
  <si>
    <t>2500 Shelby St</t>
  </si>
  <si>
    <t>Walls was fatally shot by police after a failed carjacking attempt, leading police to track down and shoot the 21-year-old after he pointed a weapon at officers.</t>
  </si>
  <si>
    <t>http://fox59.com/2013/08/09/ex-girlfriend-speaks-out-about-carjacking-suspect-killed-by-police-friday/</t>
  </si>
  <si>
    <t>James William Wallace</t>
  </si>
  <si>
    <t>http://media.hamptonroads.com/cache/files/images/1161031.jpg</t>
  </si>
  <si>
    <t>23000 Tara Ct</t>
  </si>
  <si>
    <t>23314</t>
  </si>
  <si>
    <t>Isle of Wight</t>
  </si>
  <si>
    <t>Isle of Wight County Sheriff's Office</t>
  </si>
  <si>
    <t>Wallace was shot after attempting to attack deputies, serving an arrest warrant for the 31-year-old, with a knife inside his home.</t>
  </si>
  <si>
    <t>Robert William Kaminski</t>
  </si>
  <si>
    <t>http://www.tampabay.com/resources/images/dti/rendered/2013/08/b2s_kaminski081113_11289256_8col.jpg</t>
  </si>
  <si>
    <t>9518 Marley Ave</t>
  </si>
  <si>
    <t>34654</t>
  </si>
  <si>
    <t>A deputy responding to a domestic disturbance call was shot at by Kaminski, who then engaged in a short standoff with police before deputies fatally shot the armed 62-year-old.</t>
  </si>
  <si>
    <t>http://www.tampabay.com/news/publicsafety/crime/deputy-cleared-in-august-shooting-of-moon-lake-man/2147434</t>
  </si>
  <si>
    <t>Montrell Moss</t>
  </si>
  <si>
    <t>http://mylifeofcrime.files.wordpress.com/2013/08/montrell-moss.jpg</t>
  </si>
  <si>
    <t>985 Indianapolis Blvd</t>
  </si>
  <si>
    <t>46320</t>
  </si>
  <si>
    <t>Cook County Sheriff’s Office</t>
  </si>
  <si>
    <t>Moss was shot by a correctional officer after the 23-year-old threw a cup of water at the officer's car. The officer was convicted of first degree murder.</t>
  </si>
  <si>
    <t>Sentenced to 50 years</t>
  </si>
  <si>
    <t>Jeffery B. Lilly Jr.</t>
  </si>
  <si>
    <t>http://media.theindychannel.com/photo/2013/08/09/Jeffrey_Lilly_1376076955707_698705_ver1.0_640_480.jpg</t>
  </si>
  <si>
    <t>2200 Station St</t>
  </si>
  <si>
    <t>After selling drugs to officers as part of an undercover sting operation, Lilly died after being tasered and arrested by police.</t>
  </si>
  <si>
    <t>Michael Nehez</t>
  </si>
  <si>
    <t>678 San Pedro Ave.</t>
  </si>
  <si>
    <t>SWAT officers called to the scene by Nehez himself found him with a knife actively threatening them. He and his wife were going through a painful divorce with prior police complaints. Officers shot Nehez to death and found his wife inside strangled to death.</t>
  </si>
  <si>
    <t>http://www.mercurynews.com/ci_23852008/sunnyvale-woman-found-dead-inside-home-is-identified</t>
  </si>
  <si>
    <t>Michael Bitters</t>
  </si>
  <si>
    <t>http://kctv.images.worldnow.com/images/23088794_BG3.jpg</t>
  </si>
  <si>
    <t>Parvin Road and Corrington Avenue</t>
  </si>
  <si>
    <t>A man wanted for an alleged parole violation was resisting arrest and then was shot by police. Police said he pointed his finger at them like a gun.</t>
  </si>
  <si>
    <t>Roudy Hendricks</t>
  </si>
  <si>
    <t>Dorchester Avenue, near Shepton Street</t>
  </si>
  <si>
    <t>Boston drug control unit Officers Harry Jean and Terry Cotton were observing two men. An alleged shootout between officers and the men ensued. Both officers were wounded by gunfire, and one of the men was shot to death.</t>
  </si>
  <si>
    <t>http://boston.cbslocal.com/2013/08/07/boston-police-officer-shot-by-suspect-in-dorchester/</t>
  </si>
  <si>
    <t>Kevin Koonce</t>
  </si>
  <si>
    <t>http://ktre.images.worldnow.com/images/23067032_BG4.jpg</t>
  </si>
  <si>
    <t>15599 TX-103</t>
  </si>
  <si>
    <t>75949</t>
  </si>
  <si>
    <t>Angelina</t>
  </si>
  <si>
    <t>Deputies on their way to serve a high-risk warrant to Koonce engaged in a shootout with the 46-year-old on a bridge over Lake Sam Rayburn. Koonce was fatally shot during the exchange.</t>
  </si>
  <si>
    <t>http://www.kltv.com/story/23067032/nacogdoches-co-Sherriff</t>
  </si>
  <si>
    <t>Hector Leija</t>
  </si>
  <si>
    <t>3800 block Fleetwood Street</t>
  </si>
  <si>
    <t>Police were responding to a disturbance when they encountered a man who was allegedly armed with a gun. Officers shot and killed the man.</t>
  </si>
  <si>
    <t>http://www.topix.com/forum/city/carlsbad-nm/TGR6F2VL6GKKNCO1F</t>
  </si>
  <si>
    <t>Israel "Reefa" Hernandez-Llach</t>
  </si>
  <si>
    <t>http://i.dailymail.co.uk/i/pix/2013/08/08/article-2386823-1B343D3D000005DC-874_634x684.jpg</t>
  </si>
  <si>
    <t>71st Street and Collins Avenue</t>
  </si>
  <si>
    <t>33141</t>
  </si>
  <si>
    <t>Miami Beach graffiti artist named Israel Hernandez-Llach, known as Reefa, was injected with a Taser after a chase by police. He later died.</t>
  </si>
  <si>
    <t>http://www.huffingtonpost.com/2014/03/07/israel-hernandez-taser_n_4919108.html</t>
  </si>
  <si>
    <t>5725 Fondren Rd</t>
  </si>
  <si>
    <t>Officers were called to a gas station after a man was observed firing a gun into the air. After a short pursuit, an officer shot the man after he fired at a K-9 unit.</t>
  </si>
  <si>
    <t>http://abclocal.go.com/ktrk/story?section=news%2Flocal&amp;id=9196336</t>
  </si>
  <si>
    <t>Tobias J. Torres</t>
  </si>
  <si>
    <t>N 59th Ave &amp; W Roosevelt St</t>
  </si>
  <si>
    <t>85043</t>
  </si>
  <si>
    <t>Torres was fatally shot by officers responding to a domestic disturbance between Torres and his girlfriend. Torres was shot after approaching officers while holding a machete.</t>
  </si>
  <si>
    <t>http://www.abc15.com/dpp/news/region_phoenix_metro/central_phoenix/pd-man-fatally-shot-after-altercation-with-phoenix-officers</t>
  </si>
  <si>
    <t>Shaaliver Douse</t>
  </si>
  <si>
    <t>http://hinterlandgazette.com/wp-content/uploads/2013/08/shaaliver-douse-killed.png</t>
  </si>
  <si>
    <t>East 151st Street and Courtlandt Avenue</t>
  </si>
  <si>
    <t>10455</t>
  </si>
  <si>
    <t>Shaaliver Douse, a 14-year-old black male, was killed by NYPD Officers after shooting at another man in South Bronx. Douse was only shot once. He had other run ins with the law, one of which was attempted murder in May, two miles away from where Douse was shot by the NYPD officer.</t>
  </si>
  <si>
    <t>John Chavez</t>
  </si>
  <si>
    <t>396 La Madera Rd</t>
  </si>
  <si>
    <t>Sandia Park</t>
  </si>
  <si>
    <t>87047</t>
  </si>
  <si>
    <t>Deputies were called after Chavez was reportedly acting suicidal, and a deputy fatally shot the 54-year-old after he pointed a hunting rifle at officers.</t>
  </si>
  <si>
    <t>http://www.abqjournal.com/242892/news/red-flags-missing-in-shooting-case.html</t>
  </si>
  <si>
    <t>Bruce Pavey</t>
  </si>
  <si>
    <t>960 MT-2</t>
  </si>
  <si>
    <t>Cardwell</t>
  </si>
  <si>
    <t>59721</t>
  </si>
  <si>
    <t>Madison County Sheriff's Office, Jefferson County Sheriff's Office</t>
  </si>
  <si>
    <t>Pavey had been pulled over for failing to observe a stop sign, and fled from the traffic stop when reminded his license was suspended. With deputies from two counties in pursuit, he lost control of his vehicle, pitched down a 40-foot embankment, from thrown from the car and died at the scene.</t>
  </si>
  <si>
    <t>http://billingsgazette.com/news/state-and-regional/montana/whitehall-man-dies-in-crash-during-police-chase/article_608c7934-c36c-57e8-b032-8af7f3544266.html</t>
  </si>
  <si>
    <t>Chris Chipman</t>
  </si>
  <si>
    <t>49</t>
  </si>
  <si>
    <t>Main Street and Gilbert Road</t>
  </si>
  <si>
    <t>85203</t>
  </si>
  <si>
    <t>A man in a wheelchair was killed after Mesa police shot him during an altercation. The man pulled out his gun and officers responded by firing shots.[76]</t>
  </si>
  <si>
    <t>http://www.abc15.com/news/region-southeast-valley/mesa/mesa-pd-1-hurt-in-officer-involved-shooting-near-main-and-williams</t>
  </si>
  <si>
    <t>Eric Marquez</t>
  </si>
  <si>
    <t>Glencoe Drive and Silver Lane</t>
  </si>
  <si>
    <t>92647</t>
  </si>
  <si>
    <t>Marquez was shot by a Huntington Beach police officer after he was exiting a vehicle while brandishing a firearm.[78]</t>
  </si>
  <si>
    <t>http://articles.hbindependent.com/2013-08-08/news/tn-hbi-me-officer-shooting-20130803_1_police-officer-officer-involved-shooting-officer-involved-shooting</t>
  </si>
  <si>
    <t>Oral Allen Murray</t>
  </si>
  <si>
    <t>http://localtvkfor.files.wordpress.com/2013/08/promo2001003461.jpg?w=370&amp;h=204&amp;crop=1</t>
  </si>
  <si>
    <t>NW 10th St &amp; N Meridian Ave</t>
  </si>
  <si>
    <t>Murray was arrested by officers after behaving erratically and attempting to enter random cars. He suffered a medical emergency when placed in the back of a police vehicle, and died shortly after.</t>
  </si>
  <si>
    <t>http://newsok.com/man-dies-in-oklahoma-city-police-custody/article/3868964</t>
  </si>
  <si>
    <t>Alvin McBride</t>
  </si>
  <si>
    <t>http://www.arizonadailyindependent.com/wp-content/uploads/2013/08/Alvin-James-McBride_large.png</t>
  </si>
  <si>
    <t>4395 N Romero Rd</t>
  </si>
  <si>
    <t>A deputy was called to a Tucson Circle K on report of a person with a firearm. McBride shot the officer in the leg before being fatally shot.</t>
  </si>
  <si>
    <t>http://www.kvoa.com/news/deputy-shot-shoots-and-kills-suspect/</t>
  </si>
  <si>
    <t>Jon M. Sides</t>
  </si>
  <si>
    <t>https://localtvkfor.files.wordpress.com/2013/08/jon-sides-from-his-facebook-page.jpg</t>
  </si>
  <si>
    <t>E State Highway 152 &amp; S Morgan Rd</t>
  </si>
  <si>
    <t>73064</t>
  </si>
  <si>
    <t>Canadian</t>
  </si>
  <si>
    <t>Warr Acres Police Department</t>
  </si>
  <si>
    <t>Jon Sides was shot and killed by a Warr Acres Police officer after a motorcycle chase that began in Warr Acres and ended in southwest Oklahoma City.</t>
  </si>
  <si>
    <t>Jermaine McBean</t>
  </si>
  <si>
    <t>http://img.opposingviews.com/sites/default/files/imagecache/350x250/featured_image/jermaine_0.jpg</t>
  </si>
  <si>
    <t>5201 North Dixie Highway</t>
  </si>
  <si>
    <t>33334</t>
  </si>
  <si>
    <t>McBean, who worked for an advertising agency, was fatally shot by deputies after walking into an apartment's pool complex with an air rifle and subsequently ignoring a deputy's demand to lower the weapon.</t>
  </si>
  <si>
    <t>http://www.opposingviews.com/i/society/crime/florida-man-carrying-air-rifle-shot-and-killed-sheriff-s-deputy</t>
  </si>
  <si>
    <t>Russell Rios</t>
  </si>
  <si>
    <t>http://i.dailymail.co.uk/i/pix/2014/06/12/article-2656090-1EB1689F00000578-144_306x423.jpg</t>
  </si>
  <si>
    <t>North Loop 336 West</t>
  </si>
  <si>
    <t>77301</t>
  </si>
  <si>
    <t>Conroe Police Department</t>
  </si>
  <si>
    <t>Rios was fatally shot in the back of the head by off-duty officer Sgt. Jason Blackwelder. Officers were detaining Rios outside a Wal-Mart on suspicion of shoplifting when the teen fled into the woods. Blackwelder, who was off-duty, followed him and killed him during an alleged struggle. On September 26, 2013, Blackwelder was indicted on one count of manslaughter, one count of tampering with a government document and one count of false report to a police officer.</t>
  </si>
  <si>
    <t>Sentenced to five years probation.</t>
  </si>
  <si>
    <t>http://www.chron.com/neighborhood/woodlands/article/Conroe-woman-files-federal-suit-over-son-s-5009991.php</t>
  </si>
  <si>
    <t>Paul Schenck</t>
  </si>
  <si>
    <t>http://ysnews.com/wp-content/uploads/2013/08/080813_schenck.jpg</t>
  </si>
  <si>
    <t>280 North High Street</t>
  </si>
  <si>
    <t>Yellow Springs</t>
  </si>
  <si>
    <t>45387</t>
  </si>
  <si>
    <t>Greene County Combined SWAT Team</t>
  </si>
  <si>
    <t>The incident began with a 911 call from someone at Schenck’s home, claiming there had been an assault. Shortly after Yellow Springs police arrived at the residence, they reported shots fired on the property. Police requested assistance from the Greene County Combined SWAT Team. They soon received aid from about 63 units from 10 jurisdictions in the area. Greene County Coroner confirmed that Paul E. Schenck had died in his home during the standoff.</t>
  </si>
  <si>
    <t>http://ysnews.com/news/2013/08/yellow-springs-villagers-seek-answers-over-death</t>
  </si>
  <si>
    <t>Allen Desdunes</t>
  </si>
  <si>
    <t>http://ak-cache.legacy.net/legacy/images/cobrands/theadvocate/photos/b3efa427-b72b-4868-b94b-a397f985c1c0.jpgx?w=200&amp;h=200&amp;option=1&amp;fc=fff</t>
  </si>
  <si>
    <t>12300 I- 10 Service Rd</t>
  </si>
  <si>
    <t>70128</t>
  </si>
  <si>
    <t>An FBI agent fatally shot Desdunes during an undercover narcotics investigation. The Justice Department and local District Attorney declined to charge the agent of any crime.</t>
  </si>
  <si>
    <t>Hans Kevin Arellano</t>
  </si>
  <si>
    <t>http://jonathanturley.files.wordpress.com/2013/08/hans-kevin-arellano.png</t>
  </si>
  <si>
    <t>622 S. Harbor Blvd.</t>
  </si>
  <si>
    <t>92704</t>
  </si>
  <si>
    <t>Police officers say the unarmed homeless man got into a confrontation with a Santa Ana police officer and took off running. What led to the police officer opening fire is under investigation.</t>
  </si>
  <si>
    <t>http://losangeles.cbslocal.com/2013/07/31/santa-ana-police-confirm-officer-shot-killed-unarmed-homeless-man/</t>
  </si>
  <si>
    <t>Shaun Nathaniel Walters</t>
  </si>
  <si>
    <t>McDowell Road and Avondale Blvd.</t>
  </si>
  <si>
    <t>85392</t>
  </si>
  <si>
    <t>Walter was in a convenience store and told clerk he had a knife and a Taser. Police arrived on scene and Walter displayed "a weapon." At that point, Walter was apparently shot. Walter was airlifted to St. Joseph's Hospital where he was pronounced dead.</t>
  </si>
  <si>
    <t>http://www.abc15.com/news/region-west-valley/avondale/avondale-officer-involved-shooting-sends-man-to-hospital</t>
  </si>
  <si>
    <t>Ronald G. Hoover Jr.</t>
  </si>
  <si>
    <t>U.S. Highway 82 and Old Montgomery Highway</t>
  </si>
  <si>
    <t>35405</t>
  </si>
  <si>
    <t>Hoover was pitched from a Toyota 4-Runner and killed in a head-on collision. The vehicle was driven by his friend James Champion; they were in an 85 MPH chase with police after a burglary call in an apartment complex. Police declined to provide a copy of their chase policy, or comment on whether their driving at high speed into opposing traffic was legal. A grand jury charged Champion with murder, manslaughter, vehicular manslaughter, and 15 more criminal counts.</t>
  </si>
  <si>
    <t>http://crime.blogs.tuscaloosanews.com/16538/driver-involved-in-fatal-police-pursuit-crash-charged-with-murder/</t>
  </si>
  <si>
    <t>Clifford O'Neal Jones</t>
  </si>
  <si>
    <t>http://media.arkansasonline.com/img/obits/2013/08/02/cliffordjones1_08032013jpg_t105.jpg?03de732e9f2f492816cb544b3263d0bbbeea84d2</t>
  </si>
  <si>
    <t>19700 block I-30 Frontage Rd</t>
  </si>
  <si>
    <t>72019</t>
  </si>
  <si>
    <t>Benton Police Department</t>
  </si>
  <si>
    <t>Police were "conducting a felony narcotics investigation" and spotted Jones, who reportedly was a case suspect. When they "tried to conduct a traffic stop" he led them on a vehicle chase, allegedly shooting at them. He then ran over stop sticks placed on a highway, lost control of his car, and hit a concrete barrier. A witness states that Jones exchanged fire with at least one officer. Two officers shot and killed him.</t>
  </si>
  <si>
    <t>http://archive.thv11.com/news/article/273965/2/Police-release-name-of-suspect-killed-in-police-chase-on-I-30?odyssey=obinsite</t>
  </si>
  <si>
    <t>Ben Ellett</t>
  </si>
  <si>
    <t>http://www.guns.com/wp-content/uploads/2013/08/Screenshot-505.jpg</t>
  </si>
  <si>
    <t>207th Street Ct E</t>
  </si>
  <si>
    <t>Orting</t>
  </si>
  <si>
    <t>98360</t>
  </si>
  <si>
    <t>Fife Police Department</t>
  </si>
  <si>
    <t>Ellett, who was known to be mentally ill, confronted the officer at the officer’s home … the suspect fired shots at the officer’s residence, with the officer shooting and killing the suspect.”</t>
  </si>
  <si>
    <t>http://q13fox.com/2013/07/31/off-duty-fife-police-officer-shoots-kills-man-after-being-fired-on-sheriffs-dept-says/</t>
  </si>
  <si>
    <t>Michael Jermaine Lollis</t>
  </si>
  <si>
    <t>http://www.thejacksonmortuary.com/sitemaker/memsol_data/1117/1059941/1059941_profile_pic.jpg?1419787951</t>
  </si>
  <si>
    <t>35570</t>
  </si>
  <si>
    <t>The state of Alabama is investigating an officer-involved shooting after a police officer shot and killed a man in northwest Alabama. Marion County Sheriff Kevin Williams said Michael Jermaine Lollis, of Bloomingdale, GA, was approached by police, ran off into the woods and fired some shots during the search. Authorities fired back and Lollis was killed. The sheriff said the man had been in a stolen car and was carrying a stolen gun.</t>
  </si>
  <si>
    <t>http://www.wtoc.com/story/23024447/georgia-man-killed-in-officer-involved-shooting-in-alabama</t>
  </si>
  <si>
    <t>7005 AL-129</t>
  </si>
  <si>
    <t>Winfield</t>
  </si>
  <si>
    <t>35594</t>
  </si>
  <si>
    <t>Winfield Police Department</t>
  </si>
  <si>
    <t>Winfield officers arrived to check out a suspicious person in a car. Police say an "African Male" exited the vehicle but quickly ran and led police on a foot chase into a wooded area nearby. Police say the suspect was armed, and they later discovered a stolen gun in the vehicle. They believed the suspect was surrounded and resumed the manhunt after backup officers and helicopter for aerial vision arrived. When the suspect was relocated, he allegedly fired shots, and officers returned fire striking the suspect and killing him.</t>
  </si>
  <si>
    <t>http://www.abc3340.com/story/22961088/winfield-officer-shoots-and-kills-suspect-abi-investigating</t>
  </si>
  <si>
    <t>Charles Edward Morales</t>
  </si>
  <si>
    <t>7800 Maverick Ave</t>
  </si>
  <si>
    <t>79915</t>
  </si>
  <si>
    <t>Morales was fatally shot after threatening police with a knife outside his home. Officers believe Morales had earlier fatally stabbed his estranged ex-wife and another person.</t>
  </si>
  <si>
    <t>http://www.elpasotimes.com/newupdated/ci_23759045/el-paso-police-release-name-homicide-suspect-shot</t>
  </si>
  <si>
    <t>Daniel E. DeLong</t>
  </si>
  <si>
    <t>501 SW Franklin Ave</t>
  </si>
  <si>
    <t>Police undergoing a check welfare call fatally shot DeLong after the 56-year-old charged at police with a knife in an apartment hallway. The county District Attorney declined to charge the officers involved with any crime.</t>
  </si>
  <si>
    <t>http://www.wibw.com/home/headlines/Police-On-Scene-Of-Reported-Shooting-217393571.html</t>
  </si>
  <si>
    <t>Donna Weaver</t>
  </si>
  <si>
    <t>http://wbbh.images.worldnow.com/images/22961382_BG2.jpg</t>
  </si>
  <si>
    <t>27665 Okeana St.</t>
  </si>
  <si>
    <t>Bonita Springs</t>
  </si>
  <si>
    <t>34134</t>
  </si>
  <si>
    <t>Lee County Sheriff’s Office</t>
  </si>
  <si>
    <t>Deputies were called to investigate a domestic disturbance. Deputies encountered an armed subject, and shots were fired.</t>
  </si>
  <si>
    <t>http://www.nbc-2.com/story/22961382/woman-shot-killed-by-deputy-in-bonita-springs#.VMEX4kfF-wQ</t>
  </si>
  <si>
    <t>Tyris Wilkerson</t>
  </si>
  <si>
    <t>http://cache.comcorpusa.com/640/0/crop/nbc33tv/media/news/wilkerson_edited.jpg</t>
  </si>
  <si>
    <t>South Eugene Street and Louisiana Avenue</t>
  </si>
  <si>
    <t>70806</t>
  </si>
  <si>
    <t>Police attempted to stop Wilkerson’s 1997 Mercury Mountaineer for an unspecified traffic violation, police said. Wilkerson refused to stop and drove through several neighborhoods as police pursued him. Two off-duty officers were trying to help other officers stop Wilkerson at South Eugene and Louisiana when Wilkerson sped straight at them. One of the officers fired multiple shots into the front windshield, striking Wilkerson in the head. Wilkerson died at the scene.</t>
  </si>
  <si>
    <t>http://theadvocate.com/news/police/6630920-123/brpd-officers-suspended-after-shooting</t>
  </si>
  <si>
    <t>Ryan L. Stokes</t>
  </si>
  <si>
    <t>http://www.kansascity.com/news/local/crime/9ylo8e/picture1315125/alternates/FREE_960/Police%20Stokes%20082514%20JAT%20066F.JPG</t>
  </si>
  <si>
    <t>E 13th St &amp; McGee St</t>
  </si>
  <si>
    <t>64106</t>
  </si>
  <si>
    <t>http://www.kansascity.com/news/local/crime/article1315126.html</t>
  </si>
  <si>
    <t>Guadalupe Aguilar</t>
  </si>
  <si>
    <t>5200 block South Mozart Street</t>
  </si>
  <si>
    <t>A 39 year-old man who was stabbing his estranged wife outside her home was shot to death by police when he charged at them with a knife.</t>
  </si>
  <si>
    <t>http://www.chicagotribune.com/news/local/breaking/chi-police-kill-man-who-was-stabbing-exwife-union-spokesman-says-20130728,0,972305.story</t>
  </si>
  <si>
    <t>Michael Angel Ruiz</t>
  </si>
  <si>
    <t>http://www.policestateusa.com/wp-content/uploads/2013/08/JBT_MichaelAngelRuiz4.png</t>
  </si>
  <si>
    <t>W Indian School Rd &amp; N 23rd Ave</t>
  </si>
  <si>
    <t>Ruiz was swarmed by police officers due to the 44-year-old's erratic behavior on the roof of his apartment complex. Officers tasered and choked Ruiz, who died several days later from injuries sustained.</t>
  </si>
  <si>
    <t>http://www.kpho.com/story/23178374/family-questions-polices-actions-after-sons-death</t>
  </si>
  <si>
    <t>Warren G. Cipriano</t>
  </si>
  <si>
    <t>Gila Bend</t>
  </si>
  <si>
    <t>85337</t>
  </si>
  <si>
    <t>Maricopa County Sheriff’s Office</t>
  </si>
  <si>
    <t>An off-duty sheriff's deputy shot and killed a man who charged him with a bat Sunday night in Gila Bend after answering a call about a domestic violence incident. A couple was arguing on a street and the woman's boyfriend allegedly was threatening her with a baseball bat. The deputy was the first to arrive on the scene and the man refused commands to drop the bat. The deputy said the man then charged him in an aggressive manner, and he feared for his life and shot the man once in the chest.</t>
  </si>
  <si>
    <t>http://www.myfoxphoenix.com/story/22961570/2013/07/29/mcso-says-deputy-fatally-shoots-man-in-gila-bend</t>
  </si>
  <si>
    <t>Shane Allen Ryan</t>
  </si>
  <si>
    <t>http://www.indeonline.com/storyimage/OH/20130729/NEWS/307299897/AR/0/AR-307299897.jpg&amp;MaxW=315&amp;MaxH=315</t>
  </si>
  <si>
    <t>1200 block Erie Street S</t>
  </si>
  <si>
    <t>Massillon</t>
  </si>
  <si>
    <t>44646</t>
  </si>
  <si>
    <t>Stark County SWAT</t>
  </si>
  <si>
    <t>A man who took a woman hostage Sunday at Great Clips in Massillon and was shot and killed by a police SWAT team, had called police in the past threatening to harm himself.</t>
  </si>
  <si>
    <t>http://www.indeonline.com/news/x273442308/Man-shot-by-SWAT-threatened-to-harm-himself-in-the-past?zc_p=0</t>
  </si>
  <si>
    <t>Casey Daniel Smith</t>
  </si>
  <si>
    <t>https://www.justmugshots.com/img/21673764/tn/casey-daniel-smith.jpg</t>
  </si>
  <si>
    <t>1800 Marketplace Dr</t>
  </si>
  <si>
    <t>75041</t>
  </si>
  <si>
    <t>Smith was fatally shot by an off-duty officer working as a security guard after threatening him with a crowbar Smith shoplifted. Smith was also a suspect in a carjacking several days earlier.</t>
  </si>
  <si>
    <t>http://crimeblog.dallasnews.com/2013/07/police-say-shoplifter-who-was-shot-by-officer-also-carjacked-cadillac-from-elderly-woman.html/</t>
  </si>
  <si>
    <t>Pedro Alberto Vargas</t>
  </si>
  <si>
    <t>http://1.bp.blogspot.com/-NbSoz1a3EBE/UfUcfkdeB3I/AAAAAAAAHUI/C1e06J7gRnE/s1600/o-PEDRO-VARGAS-FLORIDA-APARTMENT-SHOOTING-facebook.jpg</t>
  </si>
  <si>
    <t>1485 West 46th Street</t>
  </si>
  <si>
    <t>Pedro Alberto Vargas fatally shot six people inside his Hialeah apartment complex and then took two people hostage for about three hours. After negotiations reportedly broke down, a SWAT team entered the building and fatally shot Vargas after a brief shootout; the two hostages escaped unharmed.</t>
  </si>
  <si>
    <t>http://en.wikipedia.org/wiki/2013_Hialeah_shooting</t>
  </si>
  <si>
    <t>Jose Adan Cruz Ocampo</t>
  </si>
  <si>
    <t>http://wncn.images.worldnow.com/images/24652119_BG1.jpg</t>
  </si>
  <si>
    <t>700 block Park Avenue</t>
  </si>
  <si>
    <t>The incident occurred after police were dispatched to a stabbing call. They began looking around and saw Ocampo and approached him as a possible witness, according to the Durham police. Witnesses indicated that Ocampo was waiting at the front of his residence to talk with officers about a prior altercation. As three police officers arrived, one noticed that Ocampo had a kitchen knife in his back pocket, and the officer announced to the other two officers the presence of the knife. At least two of the officers then drew their weapons, and ordered Ocampo to throw down the knife. According to witnesses, Ocampo then took the knife from his pocket by the blade and presented the handle of the knife to the officer standing in front of him. Someone nearby then yelled to Ocampo in Spanish to throw the knife down, and as he was handing the officer the handle of the knife, one of officers shot Ocampo, striking him multiple times in the chest. He died at the scene.</t>
  </si>
  <si>
    <t>http://www.thedurhamnews.com/2014/01/21/3552252_autopsy-confirms-suspect-died.html?rh=1</t>
  </si>
  <si>
    <t>Stacy Guy Garren</t>
  </si>
  <si>
    <t>456 Chism Street.</t>
  </si>
  <si>
    <t>76430</t>
  </si>
  <si>
    <t>Shackelford</t>
  </si>
  <si>
    <t>Albany Police Department, Shackelford County Sheriff’s Office</t>
  </si>
  <si>
    <t>Upon their arrival, police found Guy Garren who in the process of being placed under arrest, broke from the officer's hold and grabbed a .22 caliber hand gun and raised it to the law enforcement officials. In response, officers fired four shots at Garren, killing him.</t>
  </si>
  <si>
    <t>http://www.bigcountryhomepage.com/story/albany-man-dead-after-officer-involved-shooting/d/story/0EIFnQX-m0iQyO3DpyJ4rQ</t>
  </si>
  <si>
    <t>Craig Berner</t>
  </si>
  <si>
    <t>Westfield Road</t>
  </si>
  <si>
    <t>Moorestown</t>
  </si>
  <si>
    <t>08057</t>
  </si>
  <si>
    <t>Moorsetown Police Department</t>
  </si>
  <si>
    <t>Sgt. William McGovern of the Burlington County Prosecutor's Office fatally ran over a motorcyclist and called 911 last July 27. Then, minutes after he learned the victim was off-duty Moorestown Patrolman Craig Berner, McGovern left the scene on Westfield Road to feed a friend's cat, according to law enforcement records.</t>
  </si>
  <si>
    <t>http://articles.philly.com/2014-07-29/news/52144849_1_carrie-berner-phone-records-berner-family</t>
  </si>
  <si>
    <t>Jonathan David Rutkowski</t>
  </si>
  <si>
    <t>http://image2.findagrave.com/photos/2014/35/114842220_1391653991.jpg</t>
  </si>
  <si>
    <t>18 S Church St</t>
  </si>
  <si>
    <t>Wernersville</t>
  </si>
  <si>
    <t>19565</t>
  </si>
  <si>
    <t>Western Berks Regional Police</t>
  </si>
  <si>
    <t>Officers responded to a "man with guns" call and found Rutkowski walking down the street with two guns. Police report that they told him several times to put them down and that he pointed them at him twice. When he reportedly hid behind a metal box near a railroad track and pointed at them again, they shot him twice. They approached him and shot him again.</t>
  </si>
  <si>
    <t>http://www.policeone.com/officer-shootings/articles/6357554-Pa-police-cleared-in-shooting-of-armed-man/</t>
  </si>
  <si>
    <t>Larry Eugene Jackson Jr.</t>
  </si>
  <si>
    <t>http://media.cmgdigital.com/shared/img/photos/2014/02/10/fd/39/jackson-2012.jpg</t>
  </si>
  <si>
    <t>1901 N Lamar Blvd</t>
  </si>
  <si>
    <t>78705</t>
  </si>
  <si>
    <t>Jackson was shot and killed by Charles Kleinert, a police detective who was investigating a bank robbery. The detective shot Jackson in the back of the neck after he allegedly fled and then struggled with the officer, according to an initial report. An amended report has since been filed which does not state that Jackson fled or fought with Kleinert. An investigation is pending.</t>
  </si>
  <si>
    <t>Juan Louis Acuna</t>
  </si>
  <si>
    <t>http://www.kionrightnow.com/image/view/-/30891304/medRes/2/-/maxh/360/maxw/640/-/24nv1tz/-/JUAN-ACUNA-jpg.jpg</t>
  </si>
  <si>
    <t>Kern Street and East Market Street</t>
  </si>
  <si>
    <t>A wanted parolee with past gang affiliations was shot and killed by a police task force Friday in Salinas after firing a shot and pointing two guns at an officer, a police spokesman said today. Juan Louis Acuna, 30, of Salinas, was shot multiple times after he raised the guns as members of a 10-officer task force tried to take him in, Salinas police Cmdr. Vincent Maiorana said. Acuna had been wanted for failing to meet with his state parole officer and based on his background as a convict with gang enhancements was considered an absconded parolee at large and dangerous, Maiorana said.</t>
  </si>
  <si>
    <t>http://www.montereycountyweekly.com/blogs/news_blog/article_696e4272-f8af-11e2-b8f0-001a4bcf6878.html</t>
  </si>
  <si>
    <t>Dainell Simmons</t>
  </si>
  <si>
    <t>http://www.fatalencounters.org/wp-content/uploads/2013/10/DainellSimmons.jpg</t>
  </si>
  <si>
    <t>222 Currans Road</t>
  </si>
  <si>
    <t>Middle Island</t>
  </si>
  <si>
    <t>11953</t>
  </si>
  <si>
    <t>Police used pepper spray and a Taser to subdue Simmons, an autistic resident of a group home. He died shortly afterward. His family filed a $20M wrongful death suit against the county.</t>
  </si>
  <si>
    <t>http://longisland.news12.com/news/family-of-dainell-simmons-files-lawsuit-against-suffolk-after-taser-death-1.8540024</t>
  </si>
  <si>
    <t>1300 block South Long Beach Boulevard</t>
  </si>
  <si>
    <t>Sheriff's were responding to a call about a possible drunken driver on Long Beach Boulevard. The driver was placed, unhandcuffed, in the back seat of the patrol car. He was cooperative at first, but then became involved in a struggle and bit the deputy on his left bicep before trying to grab his gun. The deputy fired three shots at the unarmed man. The man, an unlicensed driver identified only as Hispanic and about 42 years old, was pronounced dead at the scene, officials said.</t>
  </si>
  <si>
    <t>http://www.nbclosangeles.com/news/local/Man-Killed-in-Deputy-Involved-Shooting-in-Compton-216898101.html</t>
  </si>
  <si>
    <t>Luis Alonzo Juarez</t>
  </si>
  <si>
    <t>1319 S Long Beach Blvd</t>
  </si>
  <si>
    <t>As reported to the Los Angeles Times, Luis Alonzo Juarez, 42, died after being shot in Compton, according to Los Angeles County coroner's records.</t>
  </si>
  <si>
    <t>http://homicide.latimes.com/post/luis-alonzo-juarez/</t>
  </si>
  <si>
    <t>Brent Taylor Catoe</t>
  </si>
  <si>
    <t>3222 Wolfe Pond Road</t>
  </si>
  <si>
    <t>28112</t>
  </si>
  <si>
    <t>Police officers went to Catoe's house to arrest him on a warrant, and Catoe ran into the woods behind his house. Police chased him and when Catoe aimed a gun at the officers they shot him.</t>
  </si>
  <si>
    <t>http://www.wsoctv.com/news/news/local/union-co-sheriff-man-killed-officer-involved-shoot/nY4nG/</t>
  </si>
  <si>
    <t>Roger "Jeremy" Ramundo</t>
  </si>
  <si>
    <t>http://media2.wcpo.com//photo/2013/07/25/Roger_Ramundo__20130725131728_640_480.JPG</t>
  </si>
  <si>
    <t>307 Ludlow Ave</t>
  </si>
  <si>
    <t>45220</t>
  </si>
  <si>
    <t>Ramundo was arguing with his mother. He was willfully off his medication for bi-polar disorder. She called a health care representative who called 9-1-1. He left the house and headed to his favorite bar Arlin's Bar, which is where Cincinnati police caught up with him. Five officers struggled with him, including Tazering him three times. He raised his gun, fired once, and an officer shot him twice.</t>
  </si>
  <si>
    <t>http://www.citybeat.com/cincinnati/blog-4902-the_unexpected_death_of_jeremy_ramundo.html</t>
  </si>
  <si>
    <t>Southaly Ketmany</t>
  </si>
  <si>
    <t>http://image2.findagrave.com/photos/2013/216/114939029_137570291585.jpg</t>
  </si>
  <si>
    <t>9000 block Crystal Rock Circle</t>
  </si>
  <si>
    <t>89123</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</si>
  <si>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</si>
  <si>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</si>
  <si>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Jason M. Nalls</t>
  </si>
  <si>
    <t>http://www.fatalencounters.org/wp-content/uploads/2013/10/JasonM.Nalls_.jpg</t>
  </si>
  <si>
    <t>Pioneer Park</t>
  </si>
  <si>
    <t>http://www.heraldnet.com/article/20130724/NEWS03/707249910</t>
  </si>
  <si>
    <t>John J. Wheelihan</t>
  </si>
  <si>
    <t>2100 block east Cairo</t>
  </si>
  <si>
    <t>Tempe Police</t>
  </si>
  <si>
    <t>http://www.kpho.com/story/22925597/suspect-shot-dead-by-tempe-police-idd</t>
  </si>
  <si>
    <t>Kyam Livingston</t>
  </si>
  <si>
    <t>http://assets.nydailynews.com/polopoly_fs/1.1406250.1374545761!/img/httpImage/image.jpg_gen/derivatives/article_970/custody23n-6-web.jpg</t>
  </si>
  <si>
    <t>120 Schermerhorn St.</t>
  </si>
  <si>
    <t>11201</t>
  </si>
  <si>
    <t>Livingston became violent at her grandmother's home and was taken into custody by NYPD. She complained of stomach pains and diarrhea while in her cell and was ignored by police until she began to have seizures. NYPD finally called for medical help but Livingston was dead upon their arrival.</t>
  </si>
  <si>
    <t>http://www.huffingtonpost.com/2013/10/22/kyam-livingston-family-sues_n_4144836.html</t>
  </si>
  <si>
    <t>Tevin Hammond</t>
  </si>
  <si>
    <t>http://media.philly.com/images/072213-FBI-shot.jpg</t>
  </si>
  <si>
    <t>23rd Street and Jefferson Street</t>
  </si>
  <si>
    <t>19121</t>
  </si>
  <si>
    <t>Police and FBI received information that Hammond and another man wanted for robbery and homicide were in the area of Musgrave and Montana streets. Police and FBI arrived and the suspects fired on police and agents. They returned fire and killed Hammond.</t>
  </si>
  <si>
    <t>http://www.philly.com/philly/blogs/dncrime/Police-FBI-shoot-and-wound-2-suspects-in-E-Mount-Airy.html</t>
  </si>
  <si>
    <t>Thomas Martinez Jr.</t>
  </si>
  <si>
    <t>2400 block Second Street</t>
  </si>
  <si>
    <t>Coralville</t>
  </si>
  <si>
    <t>52241</t>
  </si>
  <si>
    <t>Coralville Police Department</t>
  </si>
  <si>
    <t>Employees from a business reported that Martinez had been “acting very violently and destroying property” at their business. Officers were able to calm Martinez, who was sweating profusely and appeared to be having mini-seizures as police interacted with him. Officers believed Martinez was experiencing medical problems and called the Johnson County Ambulance Service. Officers used a Taser twice to subdue Martinez. Martinez stopped breathing as he was being loaded on the stretcher for the hospital.</t>
  </si>
  <si>
    <t>http://www.press-citizen.com/article/20130724/NEWS01/130724018/Authorities-investigating-death-of-man-in-Coralville-Police-custody?Local+News</t>
  </si>
  <si>
    <t>Deomain Hayman</t>
  </si>
  <si>
    <t>http://img01.funeralnet.com/obit_photo.php?fullsize=1&amp;id=1231342&amp;clientid=congofuneralhome&amp;iid=684910&amp;sticky=5673</t>
  </si>
  <si>
    <t>1700 block Wawaset Street</t>
  </si>
  <si>
    <t>19806</t>
  </si>
  <si>
    <t>After a reckless high-speed chase and a foot chase, four officers attempted to subdue the 6-foot 350-lbs Hayman with multiple sets of handcuffs. Tasered twice, where the instrument appeared not to work, Hayman soon went into cardiac arrest and died at the scene.</t>
  </si>
  <si>
    <t>Matthew Hullman</t>
  </si>
  <si>
    <t>http://bloximages.newyork1.vip.townnews.com/omaha.com/content/tncms/assets/v3/editorial/c/72/c72e8011-ec52-5d3a-89d9-e6faac7b5e6e/5332fcb37ece2.image.jpg?resize=300%2C531</t>
  </si>
  <si>
    <t>Grand Forks AFB</t>
  </si>
  <si>
    <t>Grand Forks</t>
  </si>
  <si>
    <t>58201</t>
  </si>
  <si>
    <t>Grand Forks Air Force Base Security</t>
  </si>
  <si>
    <t>Omaha-born Technical Sergeant Hullman reportedly was drunk and threatening military police with a handgun when he was shot to death on base. About three years away from retirement, earlier in the incident he'd held the weapon to his own head.</t>
  </si>
  <si>
    <t>http://www.bakkentoday.com/event/article/id/36476/</t>
  </si>
  <si>
    <t>Garrett Nelson Brooks</t>
  </si>
  <si>
    <t>http://wwwcache.wral.com/asset/news/local/2013/07/22/12690108/brooks2-300x225.jpg</t>
  </si>
  <si>
    <t>NC-42 &amp; I-95</t>
  </si>
  <si>
    <t>Wilson</t>
  </si>
  <si>
    <t>27893</t>
  </si>
  <si>
    <t>Wilson and Johnston County Sheriff's Office</t>
  </si>
  <si>
    <t>Officers were called to the scene of a robbery. Brooks escaped in a jeep and led the deputies on a chase. He eventually crashed and was shot by deputies.</t>
  </si>
  <si>
    <t>James Robert Rogers Jr.</t>
  </si>
  <si>
    <t>10100 block Daventry Drive</t>
  </si>
  <si>
    <t>Cockeysville</t>
  </si>
  <si>
    <t>21030</t>
  </si>
  <si>
    <t>Officers responded to a call of an assault in progress. Rogers had a knife and refused to drop it. The officer shot and killed him.</t>
  </si>
  <si>
    <t>http://www.baltimoresun.com/news/maryland/baltimore-county/cockeysville/bs-md-co-police-involved-shooting-20130721,0,1173995.story</t>
  </si>
  <si>
    <t>Corey Thomas</t>
  </si>
  <si>
    <t>Echo Ridge Drive</t>
  </si>
  <si>
    <t>Paulding Sheriff's Office</t>
  </si>
  <si>
    <t>Paulding deputies spotted a man in a car who matched the description of a suspect involved in a home invasion. They followed him to his home. When they approached him, he fled into a wooded area. Thomas allegedly fired at deputies. They returned fire, killing him.</t>
  </si>
  <si>
    <t>http://www.ajc.com/news/news/local/home-invasion-suspect-shot-killed-by-paulding-depu/nYxr4/</t>
  </si>
  <si>
    <t>Leigh Weeden</t>
  </si>
  <si>
    <t>http://dailyrepublic.s3.amazonaws.com/files/2013/07/L-Weeden.jpg</t>
  </si>
  <si>
    <t>Grande Circle and East Tabor Avenue</t>
  </si>
  <si>
    <t>Officers stopped Weeden for a traffic violation. He fired shots at them. They fired back and Weeden was hit several times, killing him.</t>
  </si>
  <si>
    <t>http://www.dailyrepublic.com/news/crimecourts/deputy-man-shot-killed-by-fairfield-police-after-he-shot-at-officers/</t>
  </si>
  <si>
    <t>Robert Michael McAfee</t>
  </si>
  <si>
    <t>http://www.socalfuneral.com/sitemaker/memsol_data/1581/1040193/1040193_profile_pic.jpg?1426861531</t>
  </si>
  <si>
    <t>6871 Duchess Dr</t>
  </si>
  <si>
    <t>90606</t>
  </si>
  <si>
    <t>McAfee's mother said that he called her 2.5 weeks before he was killed and said, 'Mom, they're out to kill me,'" referring to law enforcement. McAfee was a member of a gang. Accounts between deputies and witnesses differ between whether McAfee had a gun and pointed it at officers or not when he was confronted. He may have fled into a backyard, and was shot to death.</t>
  </si>
  <si>
    <t>http://www.whittierdailynews.com/general-news/20130727/mother-questions-fatal-west-whittier-deputy-involved-shooting</t>
  </si>
  <si>
    <t>Howard Curtis Martin</t>
  </si>
  <si>
    <t>62</t>
  </si>
  <si>
    <t>http://bloximages.chicago2.vip.townnews.com/vp-mi.com/content/tncms/assets/v3/editorial/6/a5/6a5c8024-ef0c-11e2-8769-0019bb2963f4/51e6deac865a2.preview-300.jpg</t>
  </si>
  <si>
    <t>76 Monte Circle</t>
  </si>
  <si>
    <t>St. Regis</t>
  </si>
  <si>
    <t>59866</t>
  </si>
  <si>
    <t>Montana Highway Patrol</t>
  </si>
  <si>
    <t>Mineral County Sheriff's Office received a call reporting a family disturbance. Mineral County Sheriff's deputies responded and when they arrived, they heard a gunshot come from the residence. The deputies requested backup and additional officers from Mineral County responded, as well as four Montana Highway Patrol Troopers. Officers discovered that Martin had left the home and was armed with a rifle. Investigators say that during the armed encounter with officers, Martin would not follow orders to drop the rifle and instead raised the weapon toward them, at which point he was shot and killed by a Montana Highway Patrol trooper.</t>
  </si>
  <si>
    <t>http://www.krtv.com/news/man-killed-by-mhp-trooper-in-st-regis-confrontation-identified/</t>
  </si>
  <si>
    <t>Scott M. Murphy</t>
  </si>
  <si>
    <t>http://media.cmgdigital.com/shared/img/photos/2013/07/22/84/b6/Scott-Murphy---Latrobe-standoff-suspect.jpg</t>
  </si>
  <si>
    <t>400 block Lloyd Avenue</t>
  </si>
  <si>
    <t>Latrobe</t>
  </si>
  <si>
    <t>15650</t>
  </si>
  <si>
    <t>Family and friends described Murphy as depressed and addicted to drugs after the passing of his wife of 21 years. He was the prime suspect in the afternoon robbery of hundreds of Oxycontin pills from a local drug store. Local police attempted to arrest him at his house around 7 p.m., starting a 17-hour armed standoff that left Murphy shot to death and a state trooper seriously wounded from a gunshot to the eye.</t>
  </si>
  <si>
    <t>http://triblive.com/news/westmoreland/4393317-74/murphy-standoff-police</t>
  </si>
  <si>
    <t>Kong Nay</t>
  </si>
  <si>
    <t>Broad River Rd &amp; Kennerly Rd</t>
  </si>
  <si>
    <t>29063</t>
  </si>
  <si>
    <t>Nay tried to rob a gas station. He fled the scene and deputies caught up with him and he crashed at Broad River and Kennerly Road. He got into a standoff with officers and was shot.</t>
  </si>
  <si>
    <t>http://www.wltx.com/story/local/2013/07/20/1679546/</t>
  </si>
  <si>
    <t>Laroy Brown</t>
  </si>
  <si>
    <t>1505 High St</t>
  </si>
  <si>
    <t>94501</t>
  </si>
  <si>
    <t>Alameda Police Department</t>
  </si>
  <si>
    <t>An off-duty Alameda County Sheriff's deputy fatally shot a gunman inside an Alameda grocery store during an attempted robbery.</t>
  </si>
  <si>
    <t>http://abclocal.go.com/kgo/story?section=news%2Flocal%2Feast_bay&amp;id=9178148</t>
  </si>
  <si>
    <t>Tyrone West</t>
  </si>
  <si>
    <t>http://www.afro.com/wp-content/uploads/2014/05/99821510151616102413565121134397n.jpg</t>
  </si>
  <si>
    <t>1300 block Kitmore Road</t>
  </si>
  <si>
    <t>Along with a passenger West was pulled over on a traffic stop by two plainclothes officers in an unmarked car. On a pat-down officers discovered a small amount of cocaine. This caused West to react, and started an extended physical struggle among the three in which the officers accidentally pepper-sprayed themselves. Other police arrived and the beating of West continued after he'd been subdued and handcuffed. He died at the scene.</t>
  </si>
  <si>
    <t>http://articles.baltimoresun.com/2014-01-23/news/bs-md-ci-tyrone-west-witness-20140122_1_tyrone-west-jorge-bernardez-ruiz-kitmore-road</t>
  </si>
  <si>
    <t>Andrew Thomas</t>
  </si>
  <si>
    <t>1462 S. Palm Ave</t>
  </si>
  <si>
    <t>Pembroke Pines</t>
  </si>
  <si>
    <t>33025</t>
  </si>
  <si>
    <t>Police shot and killed a ski-masked robbery suspect to allegedly was trying to hold-up an Allstate Insurance office. The masked suspect refused to put his weapon down when ordered to do so. Police opened fire and killed the man. Earlier in the week, detectives learned from a confidential informant that the suspect, 23, was planning on robbing the office on Thursday. He was ambushed by police when he arrived at the Allstate office.</t>
  </si>
  <si>
    <t>http://www.nbcmiami.com/news/local/Suspect-Dead-After-Deputy-Involved-Shooting-in-Pembroke-Pines-Broward-Sheriffs-Office-216062311.html</t>
  </si>
  <si>
    <t>Kendall Walker</t>
  </si>
  <si>
    <t>Ulatis Drive</t>
  </si>
  <si>
    <t>Vacaville</t>
  </si>
  <si>
    <t>95687</t>
  </si>
  <si>
    <t>Vacaville Police Department</t>
  </si>
  <si>
    <t>Walker was shot after he got out of his car and charged towards officers with a hammer and a knife.</t>
  </si>
  <si>
    <t>http://www.sfgate.com/crime/article/Family-of-man-killed-by-Vacaville-police-sues-5351780.php</t>
  </si>
  <si>
    <t>Byron Scott Kincade</t>
  </si>
  <si>
    <t>OR-207</t>
  </si>
  <si>
    <t>Stanfield</t>
  </si>
  <si>
    <t>97838</t>
  </si>
  <si>
    <t>Stanfield Police Department</t>
  </si>
  <si>
    <t>Kincade stole an idling newspaper-delivery car from a truck stop at 4 a.m. Local police responding to the theft happened to glimpse the car and gave chase at high spped. Both headed south on state highway 207, Kincade failed to negotiate a curve, crashed the stolen car, was ejected from the vehicle and died at the scene.</t>
  </si>
  <si>
    <t>http://www.jrn.com/kivitv/news/216077411.html</t>
  </si>
  <si>
    <t>Gerardo Pinedo</t>
  </si>
  <si>
    <t>http://crimeblog.dallasnews.com/files/2014/03/GerardoPinedo.jpg</t>
  </si>
  <si>
    <t>1600 block Connor Drive</t>
  </si>
  <si>
    <t>Officers responded to a call of possible breaking and entering. Arrived and ordered Pineo from home, who then attacked. Officers tasered and shot him.</t>
  </si>
  <si>
    <t>John Sebastian Snider</t>
  </si>
  <si>
    <t>http://www.allenanddahl.com/fh_live/13900/13969/images/obituaries/2176071_wlpp.jpg</t>
  </si>
  <si>
    <t>3200 block Briarwood Drive</t>
  </si>
  <si>
    <t>96007</t>
  </si>
  <si>
    <t>Shasta County SWAT team</t>
  </si>
  <si>
    <t>Snider opened fire with a shotgun at the seven SWAT team members as they approached the home. The seven team members returned fire, killing Snider.</t>
  </si>
  <si>
    <t>http://www.andersonvalleypost.com/news/2013/jul/17/suspect-dead-after-standoff-shoot-out-anderson/</t>
  </si>
  <si>
    <t>Daryll Blair</t>
  </si>
  <si>
    <t>http://ww2.hdnux.com/photos/22/77/05/4976977/9/622x350.jpg</t>
  </si>
  <si>
    <t>8900 block Datapoint Drive</t>
  </si>
  <si>
    <t>78229</t>
  </si>
  <si>
    <t>Officers responded to a call at a food mart of a man acting strange. He proceeded to drive away in a police cruiser and was chased by police until he crashed, exited the vehicle and charged an officer, who fired at him, killing him.</t>
  </si>
  <si>
    <t>Carlos Crompton</t>
  </si>
  <si>
    <t>http://www.baynews9.com/content/dam/news/images/2013/07/carlos-crompton-0717.jpg</t>
  </si>
  <si>
    <t>4240 14th Ave. S</t>
  </si>
  <si>
    <t>33711</t>
  </si>
  <si>
    <t>Officers confronted Compton after locating him following a call that he was a suspect in the shooting of his girlfriend. Compton retrieved a gun from his car and fired a round at two officers who then returned fire, killing Compton.</t>
  </si>
  <si>
    <t>http://www.tampabay.com/news/publicsafety/crime/st-pete-officers-justified-in-fatal-shooting-state-attorney-says/2135729</t>
  </si>
  <si>
    <t>Juan Diaz Chavez</t>
  </si>
  <si>
    <t>1800 block West Pico Blvd.</t>
  </si>
  <si>
    <t>Chavez, a reformed gang member, was leaving a funeral when he ran into police. He apparently stared at them, and then pulled a gun.</t>
  </si>
  <si>
    <t>http://homicide.latimes.com/post/juan-diaz-chavez/</t>
  </si>
  <si>
    <t>Marilyn Elizabeth Peterson</t>
  </si>
  <si>
    <t>http://images.townnews.com/titusvilleherald.com/content/articles/2013/07/19/news/doc51e7609af2293177730547.jpg</t>
  </si>
  <si>
    <t>400 block Central Avenue</t>
  </si>
  <si>
    <t>Oil CIty</t>
  </si>
  <si>
    <t>16301</t>
  </si>
  <si>
    <t>Venango</t>
  </si>
  <si>
    <t>Oil City Police Department</t>
  </si>
  <si>
    <t>A legally blind disabled woman was under distress speaking of suicide to her son and her grandchildren. The man called the police and asked them to send the mental health officers to take her in for evaluation. Police entered the house. Within seconds (the son says 30 seconds) the woman was shot three times.</t>
  </si>
  <si>
    <t>Deon Williams</t>
  </si>
  <si>
    <t>http://ionenewsone.files.wordpress.com/2013/07/williams.jpg?w=635&amp;h=362</t>
  </si>
  <si>
    <t>1100 block Adams Street</t>
  </si>
  <si>
    <t>72204</t>
  </si>
  <si>
    <t>Officers pursued a stolen car; the driver stopped and exited the vehicle and foot pursuit ensued; the officer thought he saw a handgun fall out of the suspect's waistband and fired at him.</t>
  </si>
  <si>
    <t>Zheng Diao</t>
  </si>
  <si>
    <t>4415 West 36 1/2 Street</t>
  </si>
  <si>
    <t>St. Louis Park</t>
  </si>
  <si>
    <t>55416</t>
  </si>
  <si>
    <t>Police tasered Diao after the 76-year-old behaved erratically and held a knife to his throat. Diao later died from his injuries.</t>
  </si>
  <si>
    <t>http://www.startribune.com/politics/statelocal/220573291.html</t>
  </si>
  <si>
    <t>Harold J. Bastin</t>
  </si>
  <si>
    <t>http://ak-cache.legacy.net/legacy/images/Cobrands/TheAdvertiser/Photos/LDA019839-1_20130719.jpg</t>
  </si>
  <si>
    <t>306 Chateau Place</t>
  </si>
  <si>
    <t>70503</t>
  </si>
  <si>
    <t>Lafayette Police Department</t>
  </si>
  <si>
    <t>Officers responded to call about attempted suicide, encountered armed Bastin in yard, resulting in him being shot and killed.</t>
  </si>
  <si>
    <t>http://theadvocate.com/home/6518179-125/state-police-investigate-police-shooting</t>
  </si>
  <si>
    <t>Dustin Cole</t>
  </si>
  <si>
    <t>http://myktem.com/files/2013/07/Pfc.-Dustin-Billy-Cole-KWTX-TV-630x413.jpg</t>
  </si>
  <si>
    <t>1600 block Grandon Drive</t>
  </si>
  <si>
    <t>Killeen</t>
  </si>
  <si>
    <t>76543</t>
  </si>
  <si>
    <t>Killeen Police Department</t>
  </si>
  <si>
    <t>Two officers were shot, one fatally, by Cole wielding assault rifle. Other officers returned fire, killing him.</t>
  </si>
  <si>
    <t>http://kdhnews.com/news/crime/killeen-police-officer-shot-killed-during-shootout-at-apartment-complex/article_9339dc26-ec91-11e2-a2c1-0019bb30f31a.html</t>
  </si>
  <si>
    <t>Derek Hobson</t>
  </si>
  <si>
    <t>http://dgc27lrrryz1d.cloudfront.net/assets/local_story_media/Fatal-cemetery-shooting-called_1405732850/20140719dj_jail_mug_hobson__derek_thumb.jpg</t>
  </si>
  <si>
    <t>1500 N 800 E</t>
  </si>
  <si>
    <t>Needham</t>
  </si>
  <si>
    <t>46162</t>
  </si>
  <si>
    <t>Johnson County Sheriff's Office</t>
  </si>
  <si>
    <t>Hobson attempted to run from police after giving them a false name and then later running from deputies. The 25-year-old allegedly fired at deputies, who then returned fire and fatally struck Hobson.</t>
  </si>
  <si>
    <t>http://www.dailyjournal.net/view/local_story/Fatal-cemetery-shooting-called_1405732850/</t>
  </si>
  <si>
    <t>Daniel Houfek</t>
  </si>
  <si>
    <t>http://www.fatalencounters.org/wp-content/uploads/2013/10/DannyHoufek.jpg</t>
  </si>
  <si>
    <t>10000 block Old Creek Road</t>
  </si>
  <si>
    <t>Oak View</t>
  </si>
  <si>
    <t>Deputies responded to a report of a suspicious person in a vehicle. Houfek sped off, lead­ing offi­cers on a brief vehi­cle chase. Houfek soon stopped his vehi­cle and exited it with a hand­gun. The pur­su­ing deputies fired at Houfek after he allegedly pointed it at them, fatally wound­ing him.</t>
  </si>
  <si>
    <t>http://www.keyt.com/news/sheriffs-deputy-fatally-shoots-suspect-in-oak-view/-/17671600/20962986/-/131wnvu/-/index.html</t>
  </si>
  <si>
    <t>Brian Simms Jr.</t>
  </si>
  <si>
    <t>http://cdn2.newsok.biz/cache/sq105-f9f811cfdaf37cfed494709040c60d9c.jpg</t>
  </si>
  <si>
    <t>311 S Klein Ave</t>
  </si>
  <si>
    <t>73108</t>
  </si>
  <si>
    <t>Brian Simms was outside of a concert in his car, allegedly passed out. Off duty police officers who were wearing their state police uniforms but were on leave said something about him having a gun in his waistband, he "didn't comply" Another individual attending the concert said they heard eight gunshots fired. "The officers saw a gun in the man's waistband and gave him orders regarding the weapon. When he didn't comply, one of the officers shot him..."</t>
  </si>
  <si>
    <t>Kenneth Jewell Stafford</t>
  </si>
  <si>
    <t>http://www.newsreview.com/imager/house-of-pain/b/original/14648624/eb2c/cover3-1.jpg</t>
  </si>
  <si>
    <t>2187 Bellcrest Circle</t>
  </si>
  <si>
    <t>Reno Police Department/SparksPolice Department (Regional Unit)</t>
  </si>
  <si>
    <t>Kenny Stafford was shot and killed by police after walking through a neighborhood with a gun on July 11, 2013. The active duty serviceman was said to be suffering from PTSD and suicidal.</t>
  </si>
  <si>
    <t>https://drive.google.com/file/d/0B-l9Ys3cd80fLWpxZFZyY1IwRW8/edit?usp=sharing</t>
  </si>
  <si>
    <t>Rashad Jarrett Hopes</t>
  </si>
  <si>
    <t>3476 Van Buren Blvd.</t>
  </si>
  <si>
    <t>Rashad Hopes pointed an empty revolver at police in a gas station after being involved in a car crash. Police fired 15 bullets at Hopes before one of them hit him in the back of the head as he ran.</t>
  </si>
  <si>
    <t>http://lakeelsinore-wildomar.patch.com/groups/police-and-fire/p/riverside-police-shoot-kill-corona-man</t>
  </si>
  <si>
    <t>Luis Alberto Flores</t>
  </si>
  <si>
    <t>http://kpho.images.worldnow.com/images/22813827_BG1.jpg</t>
  </si>
  <si>
    <t>W Camelback Rd &amp; N 29th Ave</t>
  </si>
  <si>
    <t>Flores approached an apartment and pointed a gun at the resident who answered after the resident said the person Flores was looking for wasn't inside. The resident called the police. Police got into a standoff with Flores.Flores aimed a gun at police. The police shot Flores twice, killing him with the second shot.</t>
  </si>
  <si>
    <t>http://www.kpho.com/story/22813827/phoenix-officers-shoot-kill-man-who-wields-handgun</t>
  </si>
  <si>
    <t>Jared Woosypiti</t>
  </si>
  <si>
    <t>http://www.kansas.com/incoming/a3ovcl/picture966868/alternates/FREE_960/Jared%20Lee%20Woosypiti</t>
  </si>
  <si>
    <t>4141 S. Seneca</t>
  </si>
  <si>
    <t>67217</t>
  </si>
  <si>
    <t>After armed robbery and firing shots at KMart, Woosypiti fled to apartment building where officers shot and killed suspect after 32-hour stand-off.</t>
  </si>
  <si>
    <t>http://www.sedgwickcounty.org/da/criminal_media/2013/Woosypiti%20Release.pdf</t>
  </si>
  <si>
    <t>Shawn Payne</t>
  </si>
  <si>
    <t>https://usgunviolence.files.wordpress.com/2014/11/shawn-maurice-payne.jpg?w=625</t>
  </si>
  <si>
    <t>I-70</t>
  </si>
  <si>
    <t>Loma</t>
  </si>
  <si>
    <t>81524</t>
  </si>
  <si>
    <t>A suspect in an attempted kidnapping and car theft in Lakewood on Tuesday night was fatally shot after he pointed a weapon at officers.</t>
  </si>
  <si>
    <t>http://www.denverpost.com/breakingnews/ci_23634479/police-suspect-violent-lakewood-crime-killed-i-70</t>
  </si>
  <si>
    <t>15900 FM 529</t>
  </si>
  <si>
    <t>A trooper reportedly saw a young man trying to open car doors as people drove by on a highway, or he saw him running with a duffel bag through a parking lot. The trooper drove up and questioned him. The man reportedly ignored him and then pointed a pistol at him. The trooper shot him once, killing him.</t>
  </si>
  <si>
    <t>http://www.chron.com/news/houston-texas/houston/article/Texas-DPS-trooper-fatally-shoots-man-outside-4657794.php</t>
  </si>
  <si>
    <t>Gerald Altomare Jr.</t>
  </si>
  <si>
    <t>http://thumbs.mugshots.com/gallery/images/2/7c/df/Gerald-F-Altomare-Jr_mugshot.400x800.jpg</t>
  </si>
  <si>
    <t>Fifth Street and Dakota Avenue.</t>
  </si>
  <si>
    <t>St. Cloud</t>
  </si>
  <si>
    <t>34769</t>
  </si>
  <si>
    <t>Altomare was driving recklessly and crashed into an elementary school fence. Altomare resisted officers and police tasered him.</t>
  </si>
  <si>
    <t>Antonio Johnson</t>
  </si>
  <si>
    <t>http://bloximages.newyork1.vip.townnews.com/stltoday.com/content/tncms/assets/v3/editorial/9/f2/9f2648bc-9aff-5bb7-a8e2-c1890e5bbbdd/52be52ea1f7d8.preview-300.jpg</t>
  </si>
  <si>
    <t>4600 block Aubuchon Road</t>
  </si>
  <si>
    <t>Hazelwood</t>
  </si>
  <si>
    <t>63042</t>
  </si>
  <si>
    <t>Hazelwood Police Department</t>
  </si>
  <si>
    <t>http://www.stltoday.com/news/local/crime-and-courts/man-in-critical-condition-after-arrest-by-hazelwood-police/article_7a6a5523-2a32-51e0-b24d-b704d9024dea.html</t>
  </si>
  <si>
    <t>Herman Pickens</t>
  </si>
  <si>
    <t>http://www.news4jax.com/image/view/-/20919360/highRes/1/-/53t549z/-/Herman-Pickens--JSO-2012-mug-.jpg</t>
  </si>
  <si>
    <t>6400 block San Juan Avenue at Jammes Road</t>
  </si>
  <si>
    <t>Trying to escape from police while a warrant was out on him for armed robbery, he rammed an undercover vehicle, got out of his car, and ran inside nearby restaurant. Reaching for a gun, he was fatally shot by police.</t>
  </si>
  <si>
    <t>http://www.news4jax.com/news/man-24-shot-by-police-charged-in-cvs-robbery-shooting/20918158</t>
  </si>
  <si>
    <t>Dante Cespedes</t>
  </si>
  <si>
    <t>http://cdn.news12.com/polopoly_fs/1.5671958.1373594613!/httpImage/image.jpg_gen/derivatives/landscape_768/image.jpg</t>
  </si>
  <si>
    <t>66 Lake Street</t>
  </si>
  <si>
    <t>Belleville</t>
  </si>
  <si>
    <t>07109</t>
  </si>
  <si>
    <t>Belleville Police Department</t>
  </si>
  <si>
    <t>The officers were responding to an assault complaint lodged by his wife, Judy Breton, who previously told The Star-Ledger she and Cespedes argued in the hours before the fatal confrontation. Cespedes had been drinking the night of the incident, according to Breton, but prosecutors have not revealed the results of toxicology tests. Officers Angelo Quinn, Charles Mollineaux and Matthew Dox fired approximately 30 rounds, killing Cespedes, according to court papers. Quinn and Mollineaux each fired 14 times, while Dox fired twice, according to court papers. Cespedes was struck two dozen times, according to the claim. Officer Gary DeVito was also in the apartment, but he did not use his weapon, Belleville Police Chief Joseph Rotonda said.</t>
  </si>
  <si>
    <t>Justified; Civil Suit</t>
  </si>
  <si>
    <t>Rafael Salas Adame</t>
  </si>
  <si>
    <t>http://media2.abc15.com//photo/2013/07/10/KNXV_Rafael_Adame__20130710130456_640_480.JPG</t>
  </si>
  <si>
    <t>8100 block S Avenue 7 E</t>
  </si>
  <si>
    <t>85365</t>
  </si>
  <si>
    <t>Yuma County Sheriff's Office</t>
  </si>
  <si>
    <t>Adame's parole officer notified sheriff's deputies that Adame was threatening to harm himself; sheriff's deputies located Adame in a dirt field; as deputies approached, Adame pulled a handgun from his waistband and deputies shot and killed him.</t>
  </si>
  <si>
    <t>http://www.azcentral.com/news/arizona/articles/20130709arizona-man-killed-officer-involved-shooting-yuma-abrk.html</t>
  </si>
  <si>
    <t>James Ridge</t>
  </si>
  <si>
    <t>Railroad Ave</t>
  </si>
  <si>
    <t>Cabazon</t>
  </si>
  <si>
    <t>92230</t>
  </si>
  <si>
    <t>Ridge matched the description of an armed suspect. Deputies approached him. He confronted deputies with a knife. Deputies fatally shot him after he refused to drop his weapon.</t>
  </si>
  <si>
    <t>http://www.pe.com/articles/avenue-677781-railroad-ridge.html</t>
  </si>
  <si>
    <t>Glenn Llewellyn Briggs</t>
  </si>
  <si>
    <t>http://thumbs.mugshots.com/gallery/images/a5/fe/Glenn-Llewellyn-Briggs-mugshot-24546369.400x800.jpg</t>
  </si>
  <si>
    <t>905 East 23rd Place</t>
  </si>
  <si>
    <t>32405</t>
  </si>
  <si>
    <t>Panama City Police</t>
  </si>
  <si>
    <t>A man suspected of killing his wife and another man at the Courtyard Marriott in Panama City was killed during a shootout with law enforcement several hours later.</t>
  </si>
  <si>
    <t>http://www.newsherald.com/news/crime-public-safety/update-slaying-suspect-killed-in-shootout-1.169050</t>
  </si>
  <si>
    <t>Hernan Jaramillo</t>
  </si>
  <si>
    <t>2300 block East 21st Street</t>
  </si>
  <si>
    <t>94601</t>
  </si>
  <si>
    <t>Died after a struggle with Oakland police officers who were attempting to force him into a police vehicle.</t>
  </si>
  <si>
    <t>http://www.sfgate.com/bayarea/article/Oakland-man-dies-in-police-custody-4653384.php</t>
  </si>
  <si>
    <t>Gary L. Wissinger</t>
  </si>
  <si>
    <t>5395 Route 56 East</t>
  </si>
  <si>
    <t>Brush Valley</t>
  </si>
  <si>
    <t>State troopers investigating a rural domestic disturbance call were confronted by Wissinger at the threshold of his own house, brandishing a rifle. This was around midnight. Troopers shot at Wissinger, who retreated back into the house. Treating it as a "barricade situation" police called in an Emergency Response Team and waited an unknown period of time before realizing that the victim had bled to death inside.</t>
  </si>
  <si>
    <t>http://pittsburgh.cbslocal.com/2013/07/08/police-involved-shooting-leaves-1-man-dead/</t>
  </si>
  <si>
    <t>Luke Bulzak</t>
  </si>
  <si>
    <t>3S303 Elfstrom Trail</t>
  </si>
  <si>
    <t>Batavia Township</t>
  </si>
  <si>
    <t>60510</t>
  </si>
  <si>
    <t>Kane County Police Department</t>
  </si>
  <si>
    <t>Fatally shot by Kane County Sheriff's Deputies after the man pointed a rifle at officers.</t>
  </si>
  <si>
    <t>http://www.dailyherald.com/article/20130708/news/707089665/</t>
  </si>
  <si>
    <t>Lance Clay</t>
  </si>
  <si>
    <t>http://wsav.images.worldnow.com/images/22795016_BG2.jpg</t>
  </si>
  <si>
    <t>100 block Chinese Fir Court</t>
  </si>
  <si>
    <t>Pooler</t>
  </si>
  <si>
    <t>31322</t>
  </si>
  <si>
    <t>Pooler Police Department</t>
  </si>
  <si>
    <t>Police responded to "threatening issues" at home of Clay, who shot at them from house before emerging with gun in hand.</t>
  </si>
  <si>
    <t>http://www.wsav.com/story/22795016/police-involved-shooting-leaves-man-dead</t>
  </si>
  <si>
    <t>Robert Brooks</t>
  </si>
  <si>
    <t>http://www.post-gazette.com/image/2013/10/17/420x_q90_cMC_z/Robert-Brooks.jpg</t>
  </si>
  <si>
    <t>302 Thorn Street</t>
  </si>
  <si>
    <t>Sewickley</t>
  </si>
  <si>
    <t>15143</t>
  </si>
  <si>
    <t>Sewickley and Allegheny County police</t>
  </si>
  <si>
    <t>A suicidal Army Ranger grew increasingly violent in the months before he broke into the home of a former lover -- his cousin's wife -- and tussled with police officers who fatally shot him.</t>
  </si>
  <si>
    <t>Carlos D. Runyon</t>
  </si>
  <si>
    <t>http://wave.images.worldnow.com/images/22785642_BG1.jpg</t>
  </si>
  <si>
    <t>9100 block Beulah Church Road</t>
  </si>
  <si>
    <t>40228</t>
  </si>
  <si>
    <t>Runyon fled with hostage from KFC restaurant after armed robbery. Shots were fired at pursuing police, who returned fire, killing Runyon. Hostage was not wounded.</t>
  </si>
  <si>
    <t>http://www.wlky.com/news/local-news/louisville-news/officer-involved-in-fern-creek-shooting/-/9718340/20867548/-/uu97y6z/-/index.html</t>
  </si>
  <si>
    <t>German Mata</t>
  </si>
  <si>
    <t>http://d3trabu2dfbdfb.cloudfront.net/2/3/2325564_300x300_1.jpeg</t>
  </si>
  <si>
    <t>1615 S. Jackson St.</t>
  </si>
  <si>
    <t>79102</t>
  </si>
  <si>
    <t>Potter</t>
  </si>
  <si>
    <t>Amarillo Police Department</t>
  </si>
  <si>
    <t>Amarillo police fatally shot a man at 1615 S. Jackson St. on Sunday after they said he pointed a replica pistol at officers.</t>
  </si>
  <si>
    <t>http://amarillo.com/news/local-news/2013-07-07/amarillo-police-shoot-kill-man-who-pointed-replica-pistol</t>
  </si>
  <si>
    <t>Roy D. Barnhart Sr.</t>
  </si>
  <si>
    <t>Main Street</t>
  </si>
  <si>
    <t>Buckner</t>
  </si>
  <si>
    <t>62819</t>
  </si>
  <si>
    <t>Buckner Police Department</t>
  </si>
  <si>
    <t>Officers responded to a multi-party fight in progress. McKinney pepper sprayed and tasered the handcuffed Barnhart and beat him. He died a few days later. McKinney plead guilty involuntary manslaughter.</t>
  </si>
  <si>
    <t>Sentenced to 18 months</t>
  </si>
  <si>
    <t>http://thesouthern.com/news/local/isp-probes-death-of-buckner-man/article_e98fb9b0-eb79-11e2-a010-0019bb2963f4.html</t>
  </si>
  <si>
    <t>Adam Ignatz Bosch</t>
  </si>
  <si>
    <t>http://ak-cache.legacy.net/legacy/Images/Cobrands/DignityMemorial/Photos/f8811866-0e4d-4ac7-bebb-21c4a010a2bd.jpg</t>
  </si>
  <si>
    <t>3600 block Valley Way Ave.</t>
  </si>
  <si>
    <t>Norco</t>
  </si>
  <si>
    <t>92860</t>
  </si>
  <si>
    <t>Deputies recognized Bosch from arrest warrant, pulled him over, claims he then drove at one deputy, who shot and killed him.</t>
  </si>
  <si>
    <t>http://www.pe.com/articles/bosch-677879-officer-brian.html</t>
  </si>
  <si>
    <t>Kou Lee</t>
  </si>
  <si>
    <t>2000 block South Fourth Street</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</si>
  <si>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</si>
  <si>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</si>
  <si>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</si>
  <si>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John Evans</t>
  </si>
  <si>
    <t>293 Little Trail Road</t>
  </si>
  <si>
    <t>Craigsville</t>
  </si>
  <si>
    <t>26205</t>
  </si>
  <si>
    <t>Nicholas</t>
  </si>
  <si>
    <t>Nicholas County Sheriff’s Office</t>
  </si>
  <si>
    <t>Officers responded to a dispute between neighbors. Evans shot one officer with shotgun, and another one during the course of a five hour stand-off. Officers returned fire and killed him. Both officers survived.</t>
  </si>
  <si>
    <t>http://www.upi.com/Top_News/US/2013/07/06/WVa-man-84-shot-to-death-after-wounding-2-deputies/89881373164023/</t>
  </si>
  <si>
    <t>Todd Allan Ferguson</t>
  </si>
  <si>
    <t>700 E. Pierce</t>
  </si>
  <si>
    <t>Officers responded to domestic violence call. Ferguson threatened police with butcher knives and told the officer to kill him. After advancing on the officer and refusing to drop the knives, he was shot dead.</t>
  </si>
  <si>
    <t>http://www.abc15.com/dpp/news/region_phoenix_metro/central_phoenix/police-shoot-man-threatening-with-a-knife-at-phoenix-home</t>
  </si>
  <si>
    <t>Lemuel Rufus Furr III</t>
  </si>
  <si>
    <t>http://image2.findagrave.com/photos/2013/189/113588148_137341465132.jpg</t>
  </si>
  <si>
    <t>2350 Penninger Circle</t>
  </si>
  <si>
    <t>County officers and SWAT team members responded to a domestic disturbance and found Furr agitated, likely drunk, armed, and suicidal. Furr had already shot and wounded his son, and explicitly told officers on a phone call that he wanted to kill and be killed, "in a blaze of glory". When Furr emerged with a gun in each hand, and two more later discovered in his front pockets, he was fatally shot once by a police sniper.</t>
  </si>
  <si>
    <t>http://www.charmeckda.com/news/082313_2.pdf</t>
  </si>
  <si>
    <t>Felix Coss</t>
  </si>
  <si>
    <t>http://www.streetsblog.org/wp-content/uploads/2013/07/coss-felix.jpg</t>
  </si>
  <si>
    <t>300 block Hooper Street</t>
  </si>
  <si>
    <t>11211</t>
  </si>
  <si>
    <t>The 61-year-old Spanish teacher Coss was legally crossing the street in daylight when struck by a marked police van making a left turn. The driver was seen by witnesses to be on her cell phone. She refused to surrender the phone, and no charges were contemplated.</t>
  </si>
  <si>
    <t>http://www.streetsblog.org/2013/07/10/will-the-rule-of-two-trigger-hynes-probe-into-the-death-of-felix-coss/</t>
  </si>
  <si>
    <t>Vincent Wood</t>
  </si>
  <si>
    <t>66</t>
  </si>
  <si>
    <t>http://main.abqjournal.netdna-cdn.com/wp-content/uploads/2014/01/130725_victorWood.jpg</t>
  </si>
  <si>
    <t>San Mateo Blvd. NE and Montgomery Blvd. NE</t>
  </si>
  <si>
    <t>Wood brandished two large knives at police officers at a North Valley gas station before being shot as many as six times by APD officers. Wood, a Vietnam veteran with PTSD, had gunshot wounds in his upper right chest, lower left chest, left stomach, penis, lower back, left buttock and upper left arm, in addition to two to his left forearm.</t>
  </si>
  <si>
    <t>Larry Hawkins</t>
  </si>
  <si>
    <t>1113 24th St.</t>
  </si>
  <si>
    <t>50311</t>
  </si>
  <si>
    <t>When officers responded to a home invasion, Larry Hawkins, refused to put his gun down and pointed the weapon at the officers. They responded by firing seven shots, of which three hit Hawkins. He died from a gunshot wound to the chest.</t>
  </si>
  <si>
    <t>http://www.wgem.com/story/22768976/robbery-suspect-shot-by-des-moines-police-dies</t>
  </si>
  <si>
    <t>James Wyman McGlothlin</t>
  </si>
  <si>
    <t>http://www.northescambia.com/wp-content/uploads/2013/07/mcglothinjameswyman.jpg</t>
  </si>
  <si>
    <t>400 block 72nd Ave</t>
  </si>
  <si>
    <t>32506</t>
  </si>
  <si>
    <t>McGlothlin's vehicle was chased by police for an unknown reason, and when it got stuck in a ditch he fled on foot. He was reportedly tracked by a K-9 in a apartment complex shed. Deputies report that he drew a pistol. They shot him multiple times, killing him.</t>
  </si>
  <si>
    <t>http://www.northescambia.com/2013/10/grand-jury-no-charges-against-deputies-in-two-shootings</t>
  </si>
  <si>
    <t>Joel D. Reuter</t>
  </si>
  <si>
    <t>http://tribkcpq.files.wordpress.com/2013/07/standoff.jpeg?w=770</t>
  </si>
  <si>
    <t>100 block Bellevue Ave East.</t>
  </si>
  <si>
    <t>98102</t>
  </si>
  <si>
    <t>Suspect was pointing a gun at neighbors- when officers were called there was a several hour standoff that ended in Reuter being shot multiple times. Reuter suffered from bipolar disorder and lymphoma, and his parents are lobbying Washington state lawmakers to restrict access to guns for the mentally ill.</t>
  </si>
  <si>
    <t>http://www.thestranger.com/seattle/death-of-a-regular/Content?oid=17272208</t>
  </si>
  <si>
    <t>Dean Randolph Jess</t>
  </si>
  <si>
    <t>2525 King Ave. West</t>
  </si>
  <si>
    <t>59102</t>
  </si>
  <si>
    <t>A Yellowstone County deputy shot and killed a man who escaped from Montana State Prison following a standoff. Dean Randolph Jess was driving a stolen Jeep when he was pinned in by patrol cars at an intersection near a Wal-Mart. It ended when Jess moved a handgun he had been holding toward one of the deputies surrounding his vehicle. The deputy opened fire and Jess was killed.</t>
  </si>
  <si>
    <t>http://www.usatoday.com/story/news/nation/2013/07/05/escaped-inmate-montana-shot/2493693/</t>
  </si>
  <si>
    <t>Alex Nguyen</t>
  </si>
  <si>
    <t>2410 East Arkansas Lane</t>
  </si>
  <si>
    <t>76014</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</si>
  <si>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</si>
  <si>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</si>
  <si>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Christian Green</t>
  </si>
  <si>
    <t>https://tribwgntv.files.wordpress.com/2013/07/teen-killed-by-police.jpg</t>
  </si>
  <si>
    <t>5600 block S State St</t>
  </si>
  <si>
    <t>60621</t>
  </si>
  <si>
    <t>Officers report that they approached Green, who was "acting suspiciously." He ran, and they report that a gun fell from his waistband and that he picked it up and pointed it at them. They shot at him several times, possibly in the back, killing him. Witnesses say that Green was holding a firecracker. Mother Patricia Green filed a federal civil suit in 2013.</t>
  </si>
  <si>
    <t>http://cookcountyrecord.com/news/260885-mother-sues-after-her-child-was-allegedly-killed-by-a-chicago-police-officer</t>
  </si>
  <si>
    <t>Ernest Foster</t>
  </si>
  <si>
    <t>https://2dbdd5116ffa30a49aa8-c03f075f8191fb4e60e74b907071aee8.ssl.cf1.rackcdn.com/524720_1373213995.2602.jpg</t>
  </si>
  <si>
    <t>82220 Highway 111</t>
  </si>
  <si>
    <t>Foster was shot and killed by an Indio Police officer on July 4. According to authorities, Foster was armed and when police confronted him, he ran away. Then, a pursuit on foot started which led to a confrontation between the officer and Foster. That's when the officer opened fire and killed him. A family friend feels there is no evidence to prove he had any weapon with him at the time of the shooting.</t>
  </si>
  <si>
    <t>http://www.jrn.com/kmir6/news/Vigil-for-Man-Shot-and-Killed-by-Indio-PD-216094701.html</t>
  </si>
  <si>
    <t>Angel Cordero</t>
  </si>
  <si>
    <t>http://assets.dnainfo.com/generated/photo/2013/07/angel-cordero-13734944195940.JPG/extralarge.jpg</t>
  </si>
  <si>
    <t>298 Classon Ave.</t>
  </si>
  <si>
    <t>11205</t>
  </si>
  <si>
    <t>Cordero was arrested for attacking his girlfriend. While in police custody, he reported a seizure. Police said no paramedics were available and didn't transport him to a hospital. When paramedics finally arrived, Cordero was dead.</t>
  </si>
  <si>
    <t>http://www.dnainfo.com/new-york/20130717/bushwick/brooklyn-man-who-died-nypd-custody-laid-rest-as-family-awaits-answers</t>
  </si>
  <si>
    <t>James Garcia</t>
  </si>
  <si>
    <t>9980 Van Geisen Road</t>
  </si>
  <si>
    <t>Gilford Township</t>
  </si>
  <si>
    <t>48757</t>
  </si>
  <si>
    <t>Tuscola</t>
  </si>
  <si>
    <t>Tuscola County Sheriff's Department</t>
  </si>
  <si>
    <t>Officers responding to a 911 call about a dead woman found 53-year-old James Garcia, who they say came out of the home and started shooting. Police say they returned fire, killing Garcia.</t>
  </si>
  <si>
    <t>http://www.mlive.com/news/saginaw/index.ssf/2013/07/armed_stand-off_in_tuscola_cou.html</t>
  </si>
  <si>
    <t>Robert Hunter</t>
  </si>
  <si>
    <t>Powers Drive and West Colonial Drive</t>
  </si>
  <si>
    <t>32818</t>
  </si>
  <si>
    <t>An ex-con and "experienced car thief" fled from police in the early morning hours of July the Fourth not once but three times, the third time reportedly firing shots back at the pursuing officer. In the resulting high-speed chase the suspect rammed into Hunter's Mazda SUV, spinning it, and ejecting Hunter onto the street with fatal injuries.</t>
  </si>
  <si>
    <t>http://articles.orlandosentinel.com/2013-07-05/news/os-driver-shoots-at-police-colonial-20130704_1_fatal-crash-west-colonial-drive-kim-montes</t>
  </si>
  <si>
    <t>Daniel A. Fitton</t>
  </si>
  <si>
    <t>817 Cook Ave</t>
  </si>
  <si>
    <t>Boardman</t>
  </si>
  <si>
    <t>44512</t>
  </si>
  <si>
    <t>Mahoning</t>
  </si>
  <si>
    <t>Boardman Police</t>
  </si>
  <si>
    <t>Subject was drunk and mentally ill inside his own apartment and not threatening others. Initial reports stated that subject discharged his firearm at police, but subsequent investigation, which was never completed, indicated he did not fire.</t>
  </si>
  <si>
    <t>http://www.vindy.com/news/2013/jul/05/man-killed-by-officers-shot-first-police/</t>
  </si>
  <si>
    <t>Daniel Ryan Pinney</t>
  </si>
  <si>
    <t>http://www.obitsforlife.com/uploaded-images/converted/283625-51df0b1dbd3fb-shrink-x180.jpg</t>
  </si>
  <si>
    <t>665 U.S. Hwy. 1</t>
  </si>
  <si>
    <t>Calais</t>
  </si>
  <si>
    <t>04619</t>
  </si>
  <si>
    <t>Calais Police Department</t>
  </si>
  <si>
    <t>Sgt. John Preston and two officers went to Pinney's home to look for Megan Sherrard, 21, and their baby in a possible kidnapping. Police report that as Sherrard tried to exit the home, Pinney shot her twice in the back, and that the bullets also hit the baby. Preston reportedly pulled Sherrard out of the home, was grazed by Pinney's gunfire, and shot him twice in the chest and once in the arm. The medical examiner reported the cause of death as suicide from a self-inflicted gunshot to the head.</t>
  </si>
  <si>
    <t>http://bangordailynews.com/2013/12/13/news/down-east/maine-attorney-general-rules-police-justified-in-calais-shooting/</t>
  </si>
  <si>
    <t>Corey J. Navarrete</t>
  </si>
  <si>
    <t>http://atholdailynews.com/SiteImages/Article/101825a.jpg</t>
  </si>
  <si>
    <t>18 Mechanic Street</t>
  </si>
  <si>
    <t>01364</t>
  </si>
  <si>
    <t>Massachusetts State Police Special Tactical Operations (STOP) Team</t>
  </si>
  <si>
    <t>Navarrete's reaction to a militarized no-knock drug raid of his apartment at 5:00 a.m. was to train a semi-automatic rifle at one of the troopers from his bed. Ordered twice to drop the weapon, he froze, and the trooper shot him fatally three times.</t>
  </si>
  <si>
    <t>https://northwesternda.org/sites/default/files/Findings%20in%20Fatal%20July%202013%20Shooting.pdf</t>
  </si>
  <si>
    <t>Brandon Rennie Turner</t>
  </si>
  <si>
    <t>http://katv.images.worldnow.com/images/22746228_BG1.jpg</t>
  </si>
  <si>
    <t>1910 Martin Luther King Boulevard</t>
  </si>
  <si>
    <t>Malvern</t>
  </si>
  <si>
    <t>72104</t>
  </si>
  <si>
    <t>Hot Spring</t>
  </si>
  <si>
    <t>Rockport Police Department</t>
  </si>
  <si>
    <t>A man wanted on robbery and attempted murder was fatally shot after an officer stopped him in the parking lot of a Wal-Mart. An officer stopped Turner's pickup in the store lot after seeing that it matched the description of one that fled a robbery. The officer reported hearing a gunshot from inside the truck and returned gunfire toward the driver. Turner was also wanted in connection with an attempted murder and robbery in Hot Springs.</t>
  </si>
  <si>
    <t>http://www.arkansasonline.com/news/2013/jul/03/possible-officer-involved-wal-mart-malvern/?f=news-arkansas</t>
  </si>
  <si>
    <t>Jose Estrada</t>
  </si>
  <si>
    <t>http://www.bacasfuneralchapelslascruces.com/sitemaker/memsol_data/991/1029774/1029774_profile_pic.jpg</t>
  </si>
  <si>
    <t>1300 block Bronco Way</t>
  </si>
  <si>
    <t>When police arrived Estrada was standing outside his home. Police said Estrada disobeyed commands from officers, went inside and came back out with what looked like an assault-style rifle that he pointed at the officers. Officers shot at Estrada and hit him at least once in the chest. The investigation has revealed that the weapon Estrada pointed at the officers strongly resembles AR-15/M-16 style rifles. The rifle Estrada pointed at officers was determined to be a Crosman M-16 style pellet rifle.</t>
  </si>
  <si>
    <t>http://www.lcsun-news.com/ci_23594738/investigation-continues-tuesdays-fatal-lcpd-shooting</t>
  </si>
  <si>
    <t>Cindy Annette Shepard</t>
  </si>
  <si>
    <t>200 block Southwest 67th Street</t>
  </si>
  <si>
    <t>Redmond</t>
  </si>
  <si>
    <t>97756</t>
  </si>
  <si>
    <t>Deschutes County Sheriff's Department</t>
  </si>
  <si>
    <t>Shepard was at first cooperative with police as they questioned her at her apartment about a possible drug shipment, then increasingly belligerent. Over the course of a 40-minute standpoint Shepard went in and out of her front door, emerging with a different firearm each time. When she advanced on officers with a loaded shotgun, she was killed with one rifle round to the torso.</t>
  </si>
  <si>
    <t>http://www.oregonlive.com/pacific-northwest-news/index.ssf/2013/07/deschutes_county_rules_cindy_s.html</t>
  </si>
  <si>
    <t>Willie Joseph Evans III</t>
  </si>
  <si>
    <t>300 W Winton Ave</t>
  </si>
  <si>
    <t>94544</t>
  </si>
  <si>
    <t>Neglect</t>
  </si>
  <si>
    <t>Evans was in police custody when he suffered a medical emergency. Paramedics tried to resuscitate him, but were unsuccessful.</t>
  </si>
  <si>
    <t>http://www.mercurynews.com/ci_23596636/hayward-man-who-died-police-custody-identified</t>
  </si>
  <si>
    <t>Andrew Stigliano</t>
  </si>
  <si>
    <t>13 Metropolitan Ave</t>
  </si>
  <si>
    <t>01721</t>
  </si>
  <si>
    <t>Ashland Police Department.</t>
  </si>
  <si>
    <t>Andrew Stigliano had an outstanding warrant, was confronted by an officer and he fled. Officers attemped to arrest Stigliano and he then confronted officers with a shotgun and was subsequently shot.</t>
  </si>
  <si>
    <t>http://www.bostonglobe.com/metro/2013/07/02/police-ashland-fatally-shoot-man-they-say-was-armed-with-shotgun/o4HPXluwL0UVvK6SfmaHdK/story.html http://www.wickedlocal.com/article/20140706/NEWS/140708041</t>
  </si>
  <si>
    <t>Manfred M. Eisenheim</t>
  </si>
  <si>
    <t>North Fifth Road</t>
  </si>
  <si>
    <t>Town of Pound</t>
  </si>
  <si>
    <t>54161</t>
  </si>
  <si>
    <t>Marinette</t>
  </si>
  <si>
    <t>Marinette County Sheriff's Office</t>
  </si>
  <si>
    <t>Deputies responded to a call of a suspicious person. Shortly thereafter, a vehicle crashed into a residence in the same area. Deputies and rescue personnel removed an injured male from the crash who was later determined to be suffering from a gunshot wound. The male victim, who was in his late twenties, was taken to a hospital where he died. Officers then located Eisenheim, armed with a shotgun and a handgun inside of a vehicle. Eventually Eisenheim pointed a weapon in their direction. Officers shot and killed him.</t>
  </si>
  <si>
    <t>http://fox6now.com/2013/07/02/marinette-county-sheriffs-investigate-officer-involved-shooting/</t>
  </si>
  <si>
    <t>Johnny Taylor</t>
  </si>
  <si>
    <t>33</t>
  </si>
  <si>
    <t>5000 block Parkside Ave.</t>
  </si>
  <si>
    <t>Shot to death. Police said they killed Taylor after he fired at them outside his home.</t>
  </si>
  <si>
    <t>http://www.myfoxmemphis.com/story/22737396/mpd-investigate-officer-involved-shooting-on-parkside</t>
  </si>
  <si>
    <t>George Harvey</t>
  </si>
  <si>
    <t>http://media.graytvinc.com/images/George+Harvey.jpg</t>
  </si>
  <si>
    <t>1501 Gordon Highway</t>
  </si>
  <si>
    <t>Harvey asked for police assistance. After some altercation Harvey was tasered multiple times and died.</t>
  </si>
  <si>
    <t>http://www.wafb.com/story/22726842/man-dies-after-tased-by-deputies</t>
  </si>
  <si>
    <t>12700 block Van Nuys Boulevard</t>
  </si>
  <si>
    <t>Pacoima</t>
  </si>
  <si>
    <t>91331</t>
  </si>
  <si>
    <t>The suspect turned a gun towards deputies and the deputies fired killing the suspect.</t>
  </si>
  <si>
    <t>http://www.dailynews.com/general-news/20130702/suspect-shot-dead-by-police-in-pacoima-identified</t>
  </si>
  <si>
    <t>Lonnie Taylor</t>
  </si>
  <si>
    <t>http://usgunviolence.files.wordpress.com/2014/05/lonnie-taylor.jpg?w=625&amp;h=833</t>
  </si>
  <si>
    <t>Interstate 80 and Leisuretown Road</t>
  </si>
  <si>
    <t>95688</t>
  </si>
  <si>
    <t>Taylor was in a police pursuit after a traffic stop. I backed up into an officer. An officer fired, Taylor was was struck by the bullet and died later from his wound.</t>
  </si>
  <si>
    <t>http://www.ktvu.com/news/news/crime-law/sacramento-man-killed-vacaville-officer-involved-s/nYZT9/</t>
  </si>
  <si>
    <t>Paul M. Caruso</t>
  </si>
  <si>
    <t>163 Carlton Dr E</t>
  </si>
  <si>
    <t>Shirley</t>
  </si>
  <si>
    <t>11967</t>
  </si>
  <si>
    <t>Caruso fired 15 shots towards officers. Officers then fired at Caruso, killing him.</t>
  </si>
  <si>
    <t>http://abclocal.go.com/wabc/story?section=news%2Flocal%2Flong_island&amp;id=9156482</t>
  </si>
  <si>
    <t>Merlin Factor</t>
  </si>
  <si>
    <t>12900 block 2nd Street</t>
  </si>
  <si>
    <t>Yucaipa</t>
  </si>
  <si>
    <t>92399</t>
  </si>
  <si>
    <t>Yucaipa Sheriff's Department</t>
  </si>
  <si>
    <t>Factor fought with police and supposedly took out a gun. An officer fatally shot him.</t>
  </si>
  <si>
    <t>http://usgunviolence.wordpress.com/2013/06/29/killed-merlin-factor-yucaipa-ca/</t>
  </si>
  <si>
    <t>Christopher A. Fredette</t>
  </si>
  <si>
    <t>http://ak-cache.legacy.net/legacy/images/Cobrands/SanAntonio/Photos/2453076_245307620130704.jpg</t>
  </si>
  <si>
    <t>5100 block Galahad Drive</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</si>
  <si>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</si>
  <si>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</si>
  <si>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Ricky Don McCommas</t>
  </si>
  <si>
    <t>http://hcnews.com/pages/wp-content/uploads/2013/07/wpid-WP_IM_1372783398627__0.jpg</t>
  </si>
  <si>
    <t>116 W Bridge St.</t>
  </si>
  <si>
    <t>Granbury</t>
  </si>
  <si>
    <t>76048</t>
  </si>
  <si>
    <t>Hood</t>
  </si>
  <si>
    <t>Granbury Police Department</t>
  </si>
  <si>
    <t>McCommas ambushed a Hood County deputy and killed him. He drove into Granbury, shooting at the City Hall, wounding an officer before another shot and killed him.</t>
  </si>
  <si>
    <t>http://www.burlesonstar.net/news/ci_24823166</t>
  </si>
  <si>
    <t>Michael Goodman</t>
  </si>
  <si>
    <t>64</t>
  </si>
  <si>
    <t>http://katv.images.worldnow.com/images/22715090_BG6.jpg</t>
  </si>
  <si>
    <t>1709 Madden Road</t>
  </si>
  <si>
    <t>72076</t>
  </si>
  <si>
    <t>Police say Michael Goodman, 64, was in violation of a no contact order when he went to his wife's home this morning. When police tried to arrest him, he allegedly pulled a knife and rushed towards two officers. One of them shot and killed Goodman.</t>
  </si>
  <si>
    <t>http://www.fox16.com/news/local/story/Update-Jacksonville-Police-Identify-Man-Shot/d/story/OkWBE0m0f0CLjoGk9HjXUg</t>
  </si>
  <si>
    <t>Shawn Knight</t>
  </si>
  <si>
    <t>https://usgunviolence.files.wordpress.com/2014/05/shawn-knight.jpg?w=625</t>
  </si>
  <si>
    <t>52 Rose Blvd</t>
  </si>
  <si>
    <t>Uniontown</t>
  </si>
  <si>
    <t>15401</t>
  </si>
  <si>
    <t>Knight had a handgun in each hand. Knight did not comply with the officer's verbal commands. The officers then opened fire, killing Knight.</t>
  </si>
  <si>
    <t>https://usgunviolence.wordpress.com/category/shot-by-police/page/4/</t>
  </si>
  <si>
    <t>Deangelo Lopez</t>
  </si>
  <si>
    <t>22</t>
  </si>
  <si>
    <t>1100 block West Arbutus Street</t>
  </si>
  <si>
    <t>Deputies responded to a call reporting a burglary in progress and found Lopez attempting to escape a house. Lopez allegedly confronted deputies and pointed a revolver at them. He was shot and killed.</t>
  </si>
  <si>
    <t>http://homicide.latimes.com/post/lopez-deangelo/</t>
  </si>
  <si>
    <t>Christopher Calhoun</t>
  </si>
  <si>
    <t>Oak Street SW and Lee Street SW</t>
  </si>
  <si>
    <t>30310</t>
  </si>
  <si>
    <t>Calhoun was wanted on multiple vehicle theft and drug-related warrants from Jackson County, Miss. Atlanta police got a tip that Calhoun was parked in a Chevrolet Suburban at the mall. Police pulled in, yelled freeze, and then there were a lot of shots, witnesses said. Calhoun was killed.</t>
  </si>
  <si>
    <t>http://www.ajc.com/news/news/local/authorities-fugitive-shot-and-killed-by-atlanta-po/nQWrK/</t>
  </si>
  <si>
    <t>Eugene Mallory</t>
  </si>
  <si>
    <t>80</t>
  </si>
  <si>
    <t>http://i.dailymail.co.uk/i/pix/2013/10/11/article-2454911-18AE46C000000578-494_634x373.jpg</t>
  </si>
  <si>
    <t>36600 block 117th Street East</t>
  </si>
  <si>
    <t>Littlerock</t>
  </si>
  <si>
    <t>93543</t>
  </si>
  <si>
    <t>A sheriff's narcotics team was serving a narcotics-related search warrant. Deputies entered one of the residences on the property and approached a rear bedroom where they found Mallory armed with a semi-automatic handgun. He pointed the handgun at the deputies and a deputy shot and killed him.</t>
  </si>
  <si>
    <t>http://ktla.com/2013/10/10/widow-to-sue-over-fatal-shooting-of-husband-80-by-sheriffs-deputies/</t>
  </si>
  <si>
    <t>Helen Adams</t>
  </si>
  <si>
    <t>6300 block North Federal Highway</t>
  </si>
  <si>
    <t>33308</t>
  </si>
  <si>
    <t>Adams was killed about 3 a.m. by an off-duty sheriff's deputy as she crossed a major roadway as a pedestrian. No charges were pressed against the deputy.</t>
  </si>
  <si>
    <t>http://articles.sun-sentinel.com/2014-08-06/news/fl-deadly-deputy-vehicle-crash-folo-20140805_1_john-adams-jeffrey-bates-patrol-car</t>
  </si>
  <si>
    <t>Richard Dale Kohler</t>
  </si>
  <si>
    <t>Maysel Laurel Ridge Road</t>
  </si>
  <si>
    <t>Maysel</t>
  </si>
  <si>
    <t>25133</t>
  </si>
  <si>
    <t>West Virginia State Police special response team, Drug Enforcement Administration</t>
  </si>
  <si>
    <t>Troopers shot and killed Richard Dale Kohler, 66, in his Maysel home early Wednesday after he pointed a rifle at officers attempting to serve a federal search warrant stemming from an ongoing drug investigation.</t>
  </si>
  <si>
    <t>http://www.charlestondailymail.com/policebrfs/201306260234</t>
  </si>
  <si>
    <t>Miquell (Mike) David Deppa</t>
  </si>
  <si>
    <t>http://www.bemidjipioneer.com/sites/default/files/styles/vert_175/public/fieldimages/1/obits/0707/1738120-deppamc_0.jpg?itok=jt6_agmL</t>
  </si>
  <si>
    <t>9203 Spencer Rd. NW</t>
  </si>
  <si>
    <t>Liberty Township</t>
  </si>
  <si>
    <t>56601</t>
  </si>
  <si>
    <t>Beltrami</t>
  </si>
  <si>
    <t>Beltrami County Sheriff's Office</t>
  </si>
  <si>
    <t>Police said officers responded to a report of an armed man threatening to kill himself or police. When they arrived at the man's house, officers heard gunshots and saw a man with a rifle run inside. Two women then ran out of the house to safety. Officers' arrival prompted an hours-long standoff during which the man fired several shots in the direction of police, according to reports after the incident. The Star Tribune reported that a Beltrami County SWAT team sniper fired once, hitting Deppa.</t>
  </si>
  <si>
    <t>http://www.startribune.com/local/213518011.html</t>
  </si>
  <si>
    <t>William McCullough</t>
  </si>
  <si>
    <t>http://cbsla.files.wordpress.com/2013/06/hemet-suspect.jpg?w=420</t>
  </si>
  <si>
    <t>40300 block Mayberry Avenue</t>
  </si>
  <si>
    <t>Members of a sheriff’s gang task force, along with a probation officer, tried to stop the driver of a silver Toyota for a traffic violation. Deputies said McCullough took off. Four minutes later, McCullough stopped, got out of his car, and allegedly took out a weapon. Police shot and killed him.</t>
  </si>
  <si>
    <t>http://losangeles.cbslocal.com/2013/06/26/police-kill-suspect-after-short-pursuit-in-hemet/</t>
  </si>
  <si>
    <t>Anthony Thompson</t>
  </si>
  <si>
    <t>8000 block 45th Street</t>
  </si>
  <si>
    <t>Jurupa Valley</t>
  </si>
  <si>
    <t>92509</t>
  </si>
  <si>
    <t>Thompson was killed by police as he accelerated his car toward officers after shooting into an occupied home in Jurupa Valley.</t>
  </si>
  <si>
    <t>http://www.bakersfieldnow.com/news/local/Riverside-County-deputies-shoot-kill-man-213169891.html</t>
  </si>
  <si>
    <t>Kenneth John</t>
  </si>
  <si>
    <t>12th Avenue and Hyder Street</t>
  </si>
  <si>
    <t>Matanuska-Susitna Borough</t>
  </si>
  <si>
    <t>Traffic stop, When stopped, he reportedly got out of his Chevy Blazer and approached the officer with “two bladed weapons. Turns out he was friends with Detlef Wulf killed by police in April.</t>
  </si>
  <si>
    <t>http://www.alaskadispatch.com/article/20130625/two-cousins-western-alaska-shot-dead-same-neighborhood-police</t>
  </si>
  <si>
    <t>Mark Alan Chernin</t>
  </si>
  <si>
    <t>http://www.cape-coral-daily-breeze.com/photos/news/md/535433_1.jpg</t>
  </si>
  <si>
    <t>2200 block SE 15th Street</t>
  </si>
  <si>
    <t>33990</t>
  </si>
  <si>
    <t>Cape Coral Police Department</t>
  </si>
  <si>
    <t>Officers were dispatched after a caller reported an armed person walking in the 2200 block S.E. 15 Street. A second call advised that shots had been fired. Police made contact with the armed subject. Gunfire ensued, resulting in the death of the armed subject at the scene.</t>
  </si>
  <si>
    <t>http://www.winknews.com/Local-Florida/2013-11-13/Investigation-clears-Cape-officers-of-wrongdoing-in-shooting</t>
  </si>
  <si>
    <t>Cacedrick White</t>
  </si>
  <si>
    <t>http://i.dailymail.co.uk/i/pix/2013/06/24/article-2347136-1A79A735000005DC-523_634x707.jpg</t>
  </si>
  <si>
    <t>224 Church St.</t>
  </si>
  <si>
    <t>39095</t>
  </si>
  <si>
    <t>Holmes</t>
  </si>
  <si>
    <t>Lexington Police Department</t>
  </si>
  <si>
    <t>The congregation of the Asia Missionary Baptist Church was having a heated disagreement about the firing of their pastor. White, the son of one of the church deacons arrived at the scene carrying a shotgun. He fired it once in the parking lot. A Lexington police officer fired back three times, wounding White who died at a hospital.</t>
  </si>
  <si>
    <t>http://guardianlv.com/2013/06/son-of-church-deacon-shot-and-killed-by-police/</t>
  </si>
  <si>
    <t>Jessica Gonzalez</t>
  </si>
  <si>
    <t>http://tribktla.files.wordpress.com/2013/06/jessica-gonzalez.jpg?w=210&amp;h=240</t>
  </si>
  <si>
    <t>800 block South Townsend Street</t>
  </si>
  <si>
    <t>Police opened fire on Gonzalez after an officer encountered her in an alley and saw her with what appeared to be a gun. A replica firearm was found near Gonzalez’s body after the shooting. Gonzalez had been wanted by police in the city of Orange in connection with the murder of her longtime partner, Jennifer Solario, after shouting was heard inside their shared home.</t>
  </si>
  <si>
    <t>http://www.ocregister.com/articles/ayala-596381-gonzalez-officers.html</t>
  </si>
  <si>
    <t>Damon Earl Bacy Byrd</t>
  </si>
  <si>
    <t>245 Bridge Ave.</t>
  </si>
  <si>
    <t>Fort Worth Police were called when neighbors heard screaming and threats to throw a woman off a balcony. Officers responded and caught the man in the act of stabbing the woman. They shot and killed him to stop the stabbing.</t>
  </si>
  <si>
    <t>http://www.star-telegram.com/2013/06/24/4960416/father-fort-worth-police-didnt.html</t>
  </si>
  <si>
    <t>Noah Burford Silva</t>
  </si>
  <si>
    <t>http://image2.findagrave.com/photos250/photos/2013/176/112892944_137226836923.jpg</t>
  </si>
  <si>
    <t>11800 Astoria Blvd</t>
  </si>
  <si>
    <t>Pearland Police Department</t>
  </si>
  <si>
    <t>Silva evaded police while shoplifting at Home Depot, then was caught at Wal-Mart. He escaped momentarily at a hospital, swimming across a pond, but the officer pursuing him shot him as he aggressively climbed out.</t>
  </si>
  <si>
    <t>http://www.chron.com/news/houston-texas/houston/article/Police-Fleeing-suspect-killed-by-officer-had-4620739.php</t>
  </si>
  <si>
    <t>Sarah Harrington</t>
  </si>
  <si>
    <t>http://usgunviolence.files.wordpress.com/2014/04/sarah-harrington.jpg</t>
  </si>
  <si>
    <t>221 E. Main Street</t>
  </si>
  <si>
    <t>78664</t>
  </si>
  <si>
    <t>Police received a call regarding a woman spotted carrying a gun near Quinns Neighborhood Bar. Officers made contact with the woman, who was sitting on a bench and told the officers she had a gun. Officers attempted to retrieve the gun from her by using a Taser and a pepper ball gun, which were ineffective, and Harrington then pointed her gun at the officers. The officers shot and killed the woman.</t>
  </si>
  <si>
    <t>http://www.statesman.com/news/news/local/woman-dead-after-officer-involved-shooting/nYS55/</t>
  </si>
  <si>
    <t>Ceaser Joe Mendoza</t>
  </si>
  <si>
    <t>https://usgunviolence.files.wordpress.com/2014/04/cesar-mendoza.jpeg</t>
  </si>
  <si>
    <t>15613 Loukelton St.</t>
  </si>
  <si>
    <t>La Puente</t>
  </si>
  <si>
    <t>91744</t>
  </si>
  <si>
    <t>Mendoza was a passenger in a car that was stopped by deputies for running a stop sign, and Mendoza told his car-mate that he had to run because he had a gun on his person. Upon fleeing, he fell, and a deputy said that he saw the gun on Mendoza and that Mendoza grabbed for the weapon, and the deputy shot him. Mendoza began to flee again. The deputy shot 5 times and hit Mendoza 3 times, 2 of which were in Mendoza's back and the back of his arm respectively</t>
  </si>
  <si>
    <t>http://www.sgvtribune.com/general-news/20140627/loved-ones-mark-anniversary-of-fatal-la-puente-deputy-involved-shooting</t>
  </si>
  <si>
    <t>Gregory Allen Price</t>
  </si>
  <si>
    <t>1036 SE Douglas Ave</t>
  </si>
  <si>
    <t>Roseburg</t>
  </si>
  <si>
    <t>97470</t>
  </si>
  <si>
    <t>Two city officers apprehended Price for jumping on vehicles and causing other property damage in the area of the Douglas County Courthouse. They used pepper spray, then a Taser, to subdue him. Price then had an unspecified medical emergency and died.</t>
  </si>
  <si>
    <t>http://registerguard.com/rg/news/local/30069671-75/story.csp</t>
  </si>
  <si>
    <t>Gary Yarbrough</t>
  </si>
  <si>
    <t>State Highway 1804</t>
  </si>
  <si>
    <t>58801</t>
  </si>
  <si>
    <t>Williams</t>
  </si>
  <si>
    <t>North Dakota Highway Patrol</t>
  </si>
  <si>
    <t>Yarbrough was killed in a crash after law enforcement agents chased him from a construction site. Officers said he was harassing construction workers before running from Highway Patrol offices, ending the chase when he lost control and flipped his pickup truck. Yarbrough was pronounced dead on the scene.</t>
  </si>
  <si>
    <t>http://www.oregonlive.com/pacific-northwest-news/index.ssf/2013/06/roseburg_man_dies_in_north_dak.html</t>
  </si>
  <si>
    <t>Charles Warren Wickline</t>
  </si>
  <si>
    <t>http://woay.com/ShowImage.aspx?w=300&amp;dir=News&amp;img=CharlesWickline3698917.jpg</t>
  </si>
  <si>
    <t>Willabet Hollow Road</t>
  </si>
  <si>
    <t>Coal City</t>
  </si>
  <si>
    <t>25823</t>
  </si>
  <si>
    <t>Raleigh County Sheriff's Office</t>
  </si>
  <si>
    <t>Home confinement officers were checking up on Wickline at his home, a condition of a bond in connection with child neglect resulting in death, when he pulled a gun on them and fled on an ATV. When officers followed, he shot at them and was killed by return fire</t>
  </si>
  <si>
    <t>http://woay.com/News.aspx?nid=7126</t>
  </si>
  <si>
    <t>Jourdan Akili Wagner</t>
  </si>
  <si>
    <t>http://kpho.images.worldnow.com/images/22650419_BG6.jpg</t>
  </si>
  <si>
    <t>5100 block Morten Avenue</t>
  </si>
  <si>
    <t>85303</t>
  </si>
  <si>
    <t>Police were called to investigate a report of a subject trespassing in a local business complex and making threats. When the first officer arrived on scene, he asked Wagner to step outside. Once outside, Wagner fled on foot from the officer. Eventually, officers located Wagner under a trampoline in the backyard of a home. Wagner wounded an officer and mortally wounded a police dog before being shot and killed.</t>
  </si>
  <si>
    <t>http://arizona.newszap.com/westvalley/123446-114/update-glendale-officer-recovering-from-shooting-that-left-suspect-police-dog-dead</t>
  </si>
  <si>
    <t>Donnell Carter</t>
  </si>
  <si>
    <t>39</t>
  </si>
  <si>
    <t>http://localtvwiti.files.wordpress.com/2013/06/carter.jpg?w=185&amp;h=103&amp;crop=1</t>
  </si>
  <si>
    <t>W Burleigh St &amp; N Sherman Blvd Milwaukee</t>
  </si>
  <si>
    <t>53210</t>
  </si>
  <si>
    <t>Milwaukee Police were investigating a fight when they heard shots fired. They responded to where they heard the shots and were confronted by Carter. When police saw him with the gun, police told him to drop it. He did not, and they shot and killed him.</t>
  </si>
  <si>
    <t>http://www.jrn.com/tmj4/news/212287851.html</t>
  </si>
  <si>
    <t>Jordan R. Camp</t>
  </si>
  <si>
    <t>21</t>
  </si>
  <si>
    <t>https://usgunviolence.files.wordpress.com/2014/04/jordan-richard-camp1.jpg?w=625</t>
  </si>
  <si>
    <t>834 Canton Hollow Road</t>
  </si>
  <si>
    <t>37934</t>
  </si>
  <si>
    <t>Officers were attempting to arrest Camp for assault and probation violations. He held up in a friend's trailer, barricaded in a bedroom. He pointed his gun at officers and was shot and killed.</t>
  </si>
  <si>
    <t>http://www.policeone.com/Officer-Safety/articles/6291062-Tenn-officer-shot-suspect-killed-in-mobile-home-shootout/</t>
  </si>
  <si>
    <t>Kenneth Dewayne Cooper</t>
  </si>
  <si>
    <t>http://www.koco.com/image/view/-/20647748/medRes/1/-/maxh/460/maxw/620/-/o54qk7/-/Mug-Kenneth-Dewayne-Cooper-jpg.jpg</t>
  </si>
  <si>
    <t>2408 NE 26</t>
  </si>
  <si>
    <t>Cooper was shot and killed after officers responded to a possible disturbance call.</t>
  </si>
  <si>
    <t>http://www.koco.com/news/oklahomanews/okc/oklahoma-city-police-id-man-fatally-shot-by-officer/20647644</t>
  </si>
  <si>
    <t>Uriel Juarez</t>
  </si>
  <si>
    <t>44</t>
  </si>
  <si>
    <t>http://cbsdallas.files.wordpress.com/2013/06/uriel-juarez1.jpg?w=420&amp;h=315</t>
  </si>
  <si>
    <t>600 block Balleywood</t>
  </si>
  <si>
    <t>75060</t>
  </si>
  <si>
    <t>Police responded to a domestic disturbance where Juarez was armed with a rifle and threatened to kill a family member. Juarez fled the home and officers followed him, until he reached a home in the 600 block Balleywood. Juarez got out of his car and began shooting at the two officers, who returned fire. He died later in the hospital.</t>
  </si>
  <si>
    <t>http://dfw.cbslocal.com/2013/06/20/irving-police-shot-killed-suspect-in-shootout/</t>
  </si>
  <si>
    <t>Jose Muniz</t>
  </si>
  <si>
    <t>Jerome Ave. and E. 213th Street</t>
  </si>
  <si>
    <t>10467</t>
  </si>
  <si>
    <t>After being observed by NYPD taking part in a likely drug transaction, Muniz was chased and ducked into a nearby bodega. He was uncooperative when apprehended and pepper-sprayed. Muniz began choking and had trouble breathing. Police extracted a golf-ball-sized package of cocaine from his mouth that he'd swallowed to conceal. He died in the ambulance en route to the hospital.</t>
  </si>
  <si>
    <t>http://www.nydailynews.com/new-york/bronx/drug-suspect-dies-swallow-bag-cocaine-article-1.1377871</t>
  </si>
  <si>
    <t>Joseph Hanegan</t>
  </si>
  <si>
    <t>6800 block North Colony Drive</t>
  </si>
  <si>
    <t>71107</t>
  </si>
  <si>
    <t>Caddo County Sheriff's Office</t>
  </si>
  <si>
    <t>Police received a call that a man locked himself inside a vehicle and threatened to harm himself. The man kept screaming he had a gun and was unwilling to show his weapon. "The man jumped out of his vehicle, stood up and swung his arms over the opened door, and had an object in his hands. He pointed that object at the deputy and at that point the deputy fired."</t>
  </si>
  <si>
    <t>http://www.ksla.com/story/22639323/cpso-man-killed-in-blanchard-after-deputy-involved-shooting</t>
  </si>
  <si>
    <t>Matthew Scott Wiese</t>
  </si>
  <si>
    <t>15200 block Meadow Road</t>
  </si>
  <si>
    <t>Lynnwood</t>
  </si>
  <si>
    <t>98087</t>
  </si>
  <si>
    <t>Deputies were called when Wiese violated a protection order. First he fired a roman candle firework at them, then approached them with an imitation gun pellet gun before they shot and killed him.</t>
  </si>
  <si>
    <t>http://www.komonews.com/news/local/Lynnwood-man-shot-by-Snohomish-Co-deputies-died-of-multiple-wounds-212534111.html</t>
  </si>
  <si>
    <t>Jaquaz Walker</t>
  </si>
  <si>
    <t>17</t>
  </si>
  <si>
    <t>http://img.opposingviews.com/sites/default/files/imagecache/350x250/featured_image/JaquazWalker_0.png</t>
  </si>
  <si>
    <t>5100 Snow White Lane</t>
  </si>
  <si>
    <t>28213</t>
  </si>
  <si>
    <t>Police claim they were forced to shoot Walker when a drug sting set up by authorities at Hidden Valley Elementary School went wrong. Police set up a marijuana drug deal between an undercover police officer, an informant and two teen suspects. During the drug deal, Walker shot the informant in the shoulder after attempting to rob him. That's when the undercover officer shot Walker in the head and killed him.</t>
  </si>
  <si>
    <t>http://www.opposingviews.com/i/society/crime/police-shoot-jaquaz-walker-17-during-botched-drug-sting-school-video</t>
  </si>
  <si>
    <t>Marlon Jermaine Dixon</t>
  </si>
  <si>
    <t>http://www.killedbypolice.net/victims/130172.jpg</t>
  </si>
  <si>
    <t>300 block Grant Circle</t>
  </si>
  <si>
    <t>23669</t>
  </si>
  <si>
    <t>Hampton City</t>
  </si>
  <si>
    <t>Hampton Police Division</t>
  </si>
  <si>
    <t>http://www.13newsnow.com/story/news/local/mycity/hampton/2014/09/09/14817318/</t>
  </si>
  <si>
    <t>Thomas Robinson</t>
  </si>
  <si>
    <t>Dumont Ave &amp; Hinsdale St</t>
  </si>
  <si>
    <t>Police interrupted a mugging. The suspect shot at them, so they returned fire, shooting and killing him.</t>
  </si>
  <si>
    <t>http://www.newsday.com/news/nypd-suspect-dead-in-police-shooting-1.5519051</t>
  </si>
  <si>
    <t>Patrick O'Meara</t>
  </si>
  <si>
    <t>14900 block Washington Avenue Southwest</t>
  </si>
  <si>
    <t>98498</t>
  </si>
  <si>
    <t>Lakewood police were looking for O'Meara for an outstanding felony theft warrant. They found him at his mother's house. Officers knocked on his door and announced they were police. At the same time, other officers standing near the side of the house spotted O'Meara inside holding what appeared to be a handgun. Police say they repeatedly told O'Meara to drop the gun, but he refused. Two officers then opened fire, killing him. He had a cap gun.</t>
  </si>
  <si>
    <t>http://www.komonews.com/news/local/Man-killed-by-Lakewood-police-was-holding-toy-gun-212845751.html</t>
  </si>
  <si>
    <t>Cedric Howard</t>
  </si>
  <si>
    <t>http://ww3.hdnux.com/photos/22/25/65/4808058/7/622x350.jpg</t>
  </si>
  <si>
    <t>5200 block Gawain Drive</t>
  </si>
  <si>
    <t>Officers responded to a report of an argument between two men. Howard was apparently holding the other man against his will in a duplex apartment. After police arrived, Howard came out holding a weapon and refused to put it down. Officers shot and killed him.</t>
  </si>
  <si>
    <t>http://www.expressnews.com/news/local_news/article/Questions-linger-after-man-is-fatally-shot-by-4628815.php</t>
  </si>
  <si>
    <t>Wilfredo Ramos</t>
  </si>
  <si>
    <t>http://www.myhighplains.com/media/lib/192/1/6/2/1627a120-699d-445f-a1f0-6e026251f222/Story.jpg</t>
  </si>
  <si>
    <t>1900 block South J Street</t>
  </si>
  <si>
    <t>93304</t>
  </si>
  <si>
    <t>Kern County Sheriff’s Office</t>
  </si>
  <si>
    <t>While responding to an unrelated case, officers saw Ramos with what looked like a baggie of illegal drugs. He was pursued and taken into custody without the use of weapons. While in the patrol car, he appeared to have trouble breathing. An ambulance was called and CPR performed. Paramedics discovered baggies containing illegal drugs in his throat. Toxicology Reports found he died of Meth intoxication.</t>
  </si>
  <si>
    <t>http://www.kerngoldenempire.com/mostpopular/story/In-custody-death-ruled-accidental/d/story/vTAbqRFvOE-R1sSlLGCbBg</t>
  </si>
  <si>
    <t>Robert Bergeson</t>
  </si>
  <si>
    <t>59</t>
  </si>
  <si>
    <t>28 Witter Road</t>
  </si>
  <si>
    <t>06420</t>
  </si>
  <si>
    <t>Firefighters and police arrived at Bergeson's home, which was burning. The driveway was blocked with vehicles, and it appeared the fire was deliberately set. Bergeson was in the woods behind the house acting irrationally, and he charged police with either a gun or a club, so they shot and killed him.</t>
  </si>
  <si>
    <t>http://www.nbcconnecticut.com/news/local/Man-Killed-by-Police-in-Salem-Had-Troubled-Past-212215711.html</t>
  </si>
  <si>
    <t>Kevin L. Ellis</t>
  </si>
  <si>
    <t>5337 N Brighton Ave</t>
  </si>
  <si>
    <t>64119</t>
  </si>
  <si>
    <t>Police responded to a prowler call and was told by a woman that Ellis was "acting erratically" and that he had gotten into her car with her. They report that "maybe he was talking to himself " and that "he resisted a little bit" while removing him from the car. He was drive-stunned and handcuffed, at which time officers "noticed he was not breathing."</t>
  </si>
  <si>
    <t>http://www.kctv5.com/story/22610364/man-reportedly-acting-erratically-dies-after-officers-stun-him</t>
  </si>
  <si>
    <t>John Mark Stevens</t>
  </si>
  <si>
    <t>http://ktre.images.worldnow.com/images/22613862_BG1.jpg</t>
  </si>
  <si>
    <t>County Road 2051</t>
  </si>
  <si>
    <t>75965</t>
  </si>
  <si>
    <t>Deputies were dispatched to a disturbance at a residence around 1 a.m. and found John Mark Stevens, 41, with a pistol in his hand.Deputies negotiated with Stevens for nearly 45 minutes in his yard while Stevens held onto the gun and entered and exited an exterior shop next to his home. Stevens then started walking toward deputies who fired two bean bag rounds at Stevens to disarm him. He made it to cover and shot at them, at which point they shot and killed him.</t>
  </si>
  <si>
    <t>http://www.ktre.com/story/22613862/nacogdoches-man-killed-in</t>
  </si>
  <si>
    <t>Michael Westley</t>
  </si>
  <si>
    <t>http://cdn.abclocal.go.com/images/wls/cms_exf_2007/_video_wn_images/9142029_600x338.jpg</t>
  </si>
  <si>
    <t>6600 S Sangamon St</t>
  </si>
  <si>
    <t>According to a police statement, officers in Englewood were responding to a call about shots fired when they spotted Michael running down the street. They chased the teen through an alley and into the street. It was there, police said, that Michael pointed a handgun toward them, and they opened fire, killing him. Police later said they recovered two weapons at the scene.</t>
  </si>
  <si>
    <t>http://www.dnainfo.com/chicago/20130617/englewood/urban-prep-student-slain-by-police-honored-by-dozens-of-friends-relatives</t>
  </si>
  <si>
    <t>Antwon Johnson</t>
  </si>
  <si>
    <t>W 18th St &amp; S Springfield Ave</t>
  </si>
  <si>
    <t>60623</t>
  </si>
  <si>
    <t>Johnson ran from a car that had refused to stop for a routine traffic stop. He fell and pointed his gun at police, at which point they shot and killed him.</t>
  </si>
  <si>
    <t>http://www.chicagotribune.com/news/local/breaking/chi-authorities-police-shoot-kill-armed-man-in-lawndale-neighborhood-20130616,0,945462.story?track=rss</t>
  </si>
  <si>
    <t>Joe White III</t>
  </si>
  <si>
    <t>48</t>
  </si>
  <si>
    <t>http://usgunviolence.files.wordpress.com/2014/04/joe-white-iii.jpg?w=625&amp;h=350</t>
  </si>
  <si>
    <t>15015 Monroe St.</t>
  </si>
  <si>
    <t>A man killed by police had stabbed three relatives and confronted arriving police officers, Miami-Dade police said. Police said units were called to a home on a report that three woman had been stabbed. White had attacked his mother and two sisters. As the officers tried to question him, he tried to run. A confrontation ensued with an officer and White was shot and killed.</t>
  </si>
  <si>
    <t>http://www.miamiherald.com/2013/06/17/3456356/man-killed-by-miami-dade-police.html</t>
  </si>
  <si>
    <t>Sammie Lamont Wallace</t>
  </si>
  <si>
    <t>http://kwtv.images.worldnow.com/images/22625075_BG2.jpg</t>
  </si>
  <si>
    <t>7520 E Reno Ave.</t>
  </si>
  <si>
    <t>Midwest City</t>
  </si>
  <si>
    <t>73110</t>
  </si>
  <si>
    <t>A mentally ill man took a 2-year-old girl hostage, holding a knife to her throat. When he started a countdown to the girl's death, he was shot once and killed.</t>
  </si>
  <si>
    <t>http://www.news9.com/story/22620874/police-identify-suspect-killed-at-mwc-Wal-Mart</t>
  </si>
  <si>
    <t>Eliakim Tipan Shabazz</t>
  </si>
  <si>
    <t>http://www.wach.com/uploadedImages/wach/EdwardsMauriceMugShot.jpg?w=204&amp;h=153&amp;aspect=nostretch</t>
  </si>
  <si>
    <t>1190 Sunset Boulevard</t>
  </si>
  <si>
    <t>West Columbia</t>
  </si>
  <si>
    <t>29169</t>
  </si>
  <si>
    <t>West Columbia Police Department</t>
  </si>
  <si>
    <t>Officers were called to Kangaroo Express gas station about a man threatening a citizen with a handgun. Investigators say when two officers made contact with the suspect, he pulled a handgun from his waistband. One of the officers shot and killed him.</t>
  </si>
  <si>
    <t>http://www.wistv.com/story/22621819/west-columbia-officer-shoots-kills</t>
  </si>
  <si>
    <t>Jonathan Demarco</t>
  </si>
  <si>
    <t>23</t>
  </si>
  <si>
    <t>http://www.beckchapels.com/sitemaker/memsol_data/1038/1013961/1013961_profile_pic.jpg</t>
  </si>
  <si>
    <t>1900 block Nicole Circle</t>
  </si>
  <si>
    <t>Jonathan Demarco allegedly shot Sarai Alexis Valdez. Demarco then allegedly raised his handgun toward two officers and both officers fired back, killing Demarco,</t>
  </si>
  <si>
    <t>http://www.statesman.com/news/news/local/two-dead-in-nicole-circle-shootings/nYMf9/</t>
  </si>
  <si>
    <t>424 Ohlones St.</t>
  </si>
  <si>
    <t>94539</t>
  </si>
  <si>
    <t>Three officers responded to a call from the man's family that he was mentally ill, that "the effectiveness of the man's medication seemed to be wearing off" and that he was breaking furniture and attacking them with a knife. After removing the family from the home, the officers report that they found the man on his bed with several knives. They report that they commanded him to disarm, that he threatened them, and that he reached for a large knife. Two officers shot him and another tasered him. He died at the scene.</t>
  </si>
  <si>
    <t>http://www.mercurynews.com/breaking-news/ci_23473152/fremont-police-fatally-shoot-mentally-ill-man-armed</t>
  </si>
  <si>
    <t>James D. Jones</t>
  </si>
  <si>
    <t>60</t>
  </si>
  <si>
    <t>4739 U.S. 50</t>
  </si>
  <si>
    <t>47558</t>
  </si>
  <si>
    <t>An armed robbery was in progress when a state trooper arrived at the gun shop, and he exchanged gunfire with the robbery suspect identified as James D. Jones, 60. The trooper was hit multiple times, and survived, Jones died at the scene.</t>
  </si>
  <si>
    <t>http://www.courierpress.com/news/2013/jun/17/trooper-reportedly-shot-daviess-county/?partner=popular</t>
  </si>
  <si>
    <t>Caleb Wade Blackburn</t>
  </si>
  <si>
    <t>https://www.meaningfulfunerals.net/fh_live/14000/14072/images/obituaries/2095823.jpg</t>
  </si>
  <si>
    <t>100 block Woodrow Avenue</t>
  </si>
  <si>
    <t>Blackburn was a stabbing suspect. He was shot and killed by a sheriff's deputy.</t>
  </si>
  <si>
    <t>http://www.bakersfieldcalifornian.com/local/breaking-news/x1891154353/Man-shot-by-sheriffs-deputy-in-Oildale</t>
  </si>
  <si>
    <t>Eric Wayne Dunphy</t>
  </si>
  <si>
    <t>http://media.cmgdigital.com/shared/lt/lt_cache/thumbnail/400/img/photos/2013/06/17/7b/b7/Eric_Dunphy.jpg</t>
  </si>
  <si>
    <t>4400 block Edgewater Dr</t>
  </si>
  <si>
    <t>Deputy Ronald Barba responded to a domestic disturbance call at Dunphy's home. At the door, Dunphy reportedly put her in a headlock, held what looked like a tool to her head, and threatened to kill her. Barba reports that he repeatedly told Dunphy to let her go and when he did not, Barba shot and killed him.</t>
  </si>
  <si>
    <t>http://www.wesh.com/news/central-florida/orange-county/deputy-shoots-suspect-in-domestic-violence-incident/20591812</t>
  </si>
  <si>
    <t>Recardio Shormon Clark</t>
  </si>
  <si>
    <t>http://archive.firstcoastnews.com/images/640/360/2/assetpool/images/130616023531_clark.JPG</t>
  </si>
  <si>
    <t>6900 SW 21st Lane</t>
  </si>
  <si>
    <t>32607</t>
  </si>
  <si>
    <t>Alachua County Sheriff's Office</t>
  </si>
  <si>
    <t>Deputies responded to a call in the Tower Oaks Glenn apartment complex after receiving a complaint about an assault and battery. Upon arrival, the deputies made contact with Clark and sometime during the communication with the deputies, Clark shot one in the upper torso. The deputy returned fire striking Clark multiple times, killing him.</t>
  </si>
  <si>
    <t>http://www.gainesville.com/article/20130616/articles/130619708</t>
  </si>
  <si>
    <t>Jorge Abraham Zarazua-Rubio</t>
  </si>
  <si>
    <t>25</t>
  </si>
  <si>
    <t>F St &amp; Dahlman Ave</t>
  </si>
  <si>
    <t>68107</t>
  </si>
  <si>
    <t>Zarazua-Rubio targeted his first shooting victim, Aaron Anderson, before going on to shoot three other people he encountered that afternoon. Anderson and Angel Cabrera were critically wounded in the shootings, but Anthony Vazzano and Pascual Bautista-Raymundo were both killed. Officer Coral Walker then exchanged gunfire with the suspect, Zarazua-Rubio, killing him.</t>
  </si>
  <si>
    <t>http://journalstar.com/news/state-and-regional/nebraska/gunman-killed-by-omaha-police-last-weekend-named/article_a8f7ab25-c14d-5d4b-946c-672db0403bdb.html</t>
  </si>
  <si>
    <t>3201 NW 68th Street</t>
  </si>
  <si>
    <t>Officers responded to a call about a domestic dispute. Miami-Dade police said the man involved was wanted for a strong armed robbery. When officers tried to take him into custody, the man reportedly started to fight back, at which time the officers shot and killed him.</t>
  </si>
  <si>
    <t>http://miami.cbslocal.com/2013/06/15/man-dead-after-police-involved-shooting/</t>
  </si>
  <si>
    <t>Lewis Pollard</t>
  </si>
  <si>
    <t>61</t>
  </si>
  <si>
    <t>http://usgunviolence.files.wordpress.com/2014/04/lewis-pollard.jpg</t>
  </si>
  <si>
    <t>South Mesa Avenue and Holly Berry Way</t>
  </si>
  <si>
    <t>Fruita</t>
  </si>
  <si>
    <t>81521</t>
  </si>
  <si>
    <t>Fruita Police Department</t>
  </si>
  <si>
    <t>According to the Fruita Police Department, Pollard fled in his car after being pulled over during a routine traffic stop. Fruita Police Chief Mark Angelo says the chase ended near the 100 block Holly Berry Way when three officers shot and killed Pollard.</t>
  </si>
  <si>
    <t>http://splcenter.org/blog/2013/06/20/colorado-man-shot-dead-by-police-may-have-been-%E2%80%98sovereign%E2%80%99/</t>
  </si>
  <si>
    <t>Quincy Williams</t>
  </si>
  <si>
    <t>http://extras.mnginteractive.com/live/media/site571/2013/0618/20130618_013524_burger_VIEWER.jpg</t>
  </si>
  <si>
    <t>3714 Castro Valley Blvd.</t>
  </si>
  <si>
    <t>Castro Valley</t>
  </si>
  <si>
    <t>94546</t>
  </si>
  <si>
    <t>A robbery in progress at a burger restaurant was interrupted when sheriff’s deputies shot and killed the suspect.</t>
  </si>
  <si>
    <t>http://sanfrancisco.cbslocal.com/2013/06/15/police-kill-suspect-during-attempted-robbery-castro-valley-restaurant/</t>
  </si>
  <si>
    <t>Wilfredo Justiniano Jr.</t>
  </si>
  <si>
    <t>41</t>
  </si>
  <si>
    <t>http://usgunviolence.files.wordpress.com/2014/04/wilfredo-justiniano-jr.jpg</t>
  </si>
  <si>
    <t>695 Hillside St.</t>
  </si>
  <si>
    <t>Randolph</t>
  </si>
  <si>
    <t>02368</t>
  </si>
  <si>
    <t>State police were called to help a person who was having a medical emergency. The officer tried pepper spray before shooting and killing Justiniano. http://www.scribd.com/doc/209723246/Norfolk-County-District-Attorney-s-Report-on-the-Police-Shooting-of-Wilfredo-Justiniano</t>
  </si>
  <si>
    <t>http://www.bostonglobe.com/metro/2013/06/14/state-police-respond-report-officer-involved-shooting-near-route-and-interstate/0DvHg35D5JZWXt7UvloP5I/story.html</t>
  </si>
  <si>
    <t>N. Smith</t>
  </si>
  <si>
    <t>101 Sivley Road Southwest</t>
  </si>
  <si>
    <t>N. Smith was a minor set up by police in a drug sting. After N. Smith allegedly sold drugs to an informant, plainclothes police threw Smith down, pepper sprayed him, handcuffed him then jumped on his back hard enough to break two ribs. N. Smith began choking almost immediately, but police inserted a large object down his throat because they believed he had swallowed drugs. He died five days later without regaining consciousness. This information is based on a federal lawsuit linked in this entry.</t>
  </si>
  <si>
    <t>http://ftpcontent4.worldnow.com/waff/hpd-wrongful-death-suit.pdf</t>
  </si>
  <si>
    <t>William Sage Berger</t>
  </si>
  <si>
    <t>http://image2.findagrave.com/photos250/photos/2013/292/119026428_138229804549.jpg</t>
  </si>
  <si>
    <t>5501 S. Regal St</t>
  </si>
  <si>
    <t>99223</t>
  </si>
  <si>
    <t>When answering a call on Berger being disorderly in a gym, Deputy Steve Paynter approached him in the street and tasered him. Berger ran and resisted. Deputy Shawn Audie arrived and Berger was tasered 2-4 times. While the three struggled, Audie put him in two lateral vascular neck restraints (sleeper holds). "Berger stopped resisting, at which time deputies noticed that he had stopped breathing,” according to Washington State Patrol Trooper Jeff Sevigny. Although the cause of White's death was initially reported as taser, the autopsy report showed asphyxiation. In June 2014, White's father filed a claim for $100m and started www.willbfund.org.</t>
  </si>
  <si>
    <t>http://www.krem.com/news/Family-of-man-tased-near-Oz-Fitness-files-100-million-claim-262573481.html</t>
  </si>
  <si>
    <t>Jeremiah B. Krubert</t>
  </si>
  <si>
    <t>http://www.lakegenevanews.net/datedimages/2013/07/09/124CD3UPl2F973B9.med.jpg</t>
  </si>
  <si>
    <t>Millard Road and Pierce Road</t>
  </si>
  <si>
    <t>Elkhorn</t>
  </si>
  <si>
    <t>53121</t>
  </si>
  <si>
    <t>Walworth</t>
  </si>
  <si>
    <t>Walworth County Sheriff's Office</t>
  </si>
  <si>
    <t>A deputy responding to a report of a home invasion encountered Krubert, who was trying to leave the driveway in Boyd's truck. Krubert got out of the truck and “confronted the deputy with an edged weapon,” and the deputy shot multiple times during this encounter. Krubert then stole the deputy's squad car, and a pursuit ensued. Krubert is alleged to have exited the squad car with the squad shotgun. He walked towards the deputies and refused commands to drop the weapon, at which time, deputies shot and killed him.</t>
  </si>
  <si>
    <t>http://www.gazettextra.com/news/2013/jun/13/suspect-shot-dead-officer-involved-shooting-walwor/</t>
  </si>
  <si>
    <t>Joseph Thomas Brewer Jr.</t>
  </si>
  <si>
    <t>2100 block N Shaffer St</t>
  </si>
  <si>
    <t>92865</t>
  </si>
  <si>
    <t>Orange Police Department</t>
  </si>
  <si>
    <t>Officer Brian Chambers responded to a "man with knife" call from the woman who owned the home at which Brewer was staying. Chambers reports that Brewer was holding a box cutter in front of the home, and that he saw him "reach toward his pocket." Chambers ordered Brewer to put his hands up and reports that he instead confronted him, walked toward him and gave him an “intense stare". Chambers shot him three times in the chest.</t>
  </si>
  <si>
    <t>http://www.ocregister.com/articles/brewer-539880-chambers-officer.html</t>
  </si>
  <si>
    <t>Simon Buckles</t>
  </si>
  <si>
    <t>http://blogs.ocweekly.com/navelgazing/assets_c/2013/11/Simon-Halley-Buckles-thumb-200x203.jpg</t>
  </si>
  <si>
    <t>1400 block East Valencia Drive</t>
  </si>
  <si>
    <t>Fullerton</t>
  </si>
  <si>
    <t>92831</t>
  </si>
  <si>
    <t>Fullerton Police Department</t>
  </si>
  <si>
    <t>A caller notified the Fullerton Police Department that an employee was allegedly assaulting his boss. The suspect appeared to be gone when the officers arrived. When Buckles returned and raised a gun, the officer fired to protect himself and others present. The coroner later ruled the death a suicide.</t>
  </si>
  <si>
    <t>http://www.ocregister.com/articles/police-512720-officers-buckles.html</t>
  </si>
  <si>
    <t>Alexander L. Mandarino</t>
  </si>
  <si>
    <t>http://bloximages.chicago2.vip.townnews.com/dailyinterlake.com/content/tncms/assets/v3/editorial/a/1c/a1cd168c-d7aa-11e2-b96b-0019bb2963f4/51bfa421a7ded.preview-300.jpg</t>
  </si>
  <si>
    <t>I-90 Exit 0</t>
  </si>
  <si>
    <t>Mullan</t>
  </si>
  <si>
    <t>83846</t>
  </si>
  <si>
    <t>Shoshone</t>
  </si>
  <si>
    <t>Idaho State Police</t>
  </si>
  <si>
    <t>The Kootenai County Sheriff’s Office said the shooting occurred after Shoshone County dispatch received a call for a welfare check on an orange Scion parked peculiarly in an eastbound about a mile west of Lookout Pass. A Shoshone deputy arrived at the scene with the ISP officer as backup, and while talking Mandarino, the two officers discovered the driver was in possession of a handgun. A struggle to take the gun ensued, and the ISP officer shot and killed Mandarino.</t>
  </si>
  <si>
    <t>http://www.shoshonenewspress.com/news/article_d20bfa96-d52c-11e2-afaf-0019bb2963f4.html</t>
  </si>
  <si>
    <t>Darrius J. Lowery-Baptiste</t>
  </si>
  <si>
    <t>http://media.gazettextra.com/img/photos/2013/06/13/baptiste061313.jpg</t>
  </si>
  <si>
    <t>State St &amp; W Grand Ave</t>
  </si>
  <si>
    <t>Beloit</t>
  </si>
  <si>
    <t>53511</t>
  </si>
  <si>
    <t>Rock</t>
  </si>
  <si>
    <t>Beloit Police Department</t>
  </si>
  <si>
    <t>Beloit police had been watching Lowery-Baptiste leave a downtown residence because the state Department of Corrections had warrant for his arrest, police said. Beloit police wanted to question him about a series of shooting incidents.Two officers shot and killed Lowery-Baptiste when he rammed a police car after failing to cooperate during a traffic stop.</t>
  </si>
  <si>
    <t>http://www.gazettextra.com/weblogs/latest-news/2013/jun/13/man-killed-police-identified/</t>
  </si>
  <si>
    <t>Zachary Rodney Paul Premo</t>
  </si>
  <si>
    <t>https://usgunviolence.files.wordpress.com/2014/04/zachary-premo1.jpg?w=625</t>
  </si>
  <si>
    <t>319 Locust St.</t>
  </si>
  <si>
    <t>Duluth</t>
  </si>
  <si>
    <t>55811</t>
  </si>
  <si>
    <t>Duluth Police Department</t>
  </si>
  <si>
    <t>Police officers shot Zachary Premo following a confrontation that began while officers looked for a driver who had fled the scene of a one-vehicle crash.</t>
  </si>
  <si>
    <t>http://www.crookstontimes.com/article/20130906/NEWS/130909762?template=printart</t>
  </si>
  <si>
    <t>Joseph Paige</t>
  </si>
  <si>
    <t>https://usgunviolence.files.wordpress.com/2014/04/joseph-paige1.jpg?w=625</t>
  </si>
  <si>
    <t>I-4 and Colonial Drive</t>
  </si>
  <si>
    <t>According to Orlando police, the incident began with an apparent armed robbery on Amelia Street near Orange Blossom Trail. A witness spotted the suspected getaway vehicle on I-4 and officers conducted a traffic stop a short time later, police said. A short distance away, however, a gunman, later identified as a 24-year-old Joseph Paige, who was not involved in the traffic stop, was spotted in the middle of the highway, according to police. Officers started talking to Paige, but police said they were forced to fire at him, and he was pronounced dead at the scene.</t>
  </si>
  <si>
    <t>http://www.clickorlando.com/news/suspect-dead-after-officer-involved-shooting/20494590</t>
  </si>
  <si>
    <t>Gregory Bayne</t>
  </si>
  <si>
    <t>http://lipnews.com/site/wp-content/uploads/Gregory-Bayne11.jpg</t>
  </si>
  <si>
    <t>first block North Queen Street</t>
  </si>
  <si>
    <t>17603</t>
  </si>
  <si>
    <t>Two officers were responding to a report of a man urinating in public. An officer talked to the homeless Bayne, who was muttering and incoherent. As an officer checked the man's identification, Bayne pulled a folding knife from his pocket and charged the officer. An officer shot and missed, so they chased him a couple blocks, and when he wouldn’t put down his knife, shot and killed him.</t>
  </si>
  <si>
    <t>http://fox43.com/local-news/stories/man-dead-after-officer-involved-shooting-in-lancaster-city/#axzz3581IG38x</t>
  </si>
  <si>
    <t>D'Wayne Burke</t>
  </si>
  <si>
    <t>http://augustacrime.com/wp-content/uploads/2013/06/Dwayne-Burke.jpg</t>
  </si>
  <si>
    <t>909 Charles Perry Ave.</t>
  </si>
  <si>
    <t>Sardis</t>
  </si>
  <si>
    <t>30456</t>
  </si>
  <si>
    <t>Sardis Police Department</t>
  </si>
  <si>
    <t>Burke, a former cop, broke into the evidence room of his old station. He was armed with an ax when officers found, shot and killed him.</t>
  </si>
  <si>
    <t>http://www.wrdw.com/news/crimeteam12/headlines/Shooting-at-Sardis-Police-Station-210801611.html</t>
  </si>
  <si>
    <t>Noel Mendoza</t>
  </si>
  <si>
    <t>http://wfsb.images.worldnow.com/images/22556951_BG1.jpg</t>
  </si>
  <si>
    <t>50 W Main St</t>
  </si>
  <si>
    <t>Meriden</t>
  </si>
  <si>
    <t>06451</t>
  </si>
  <si>
    <t>Meriden Police Department</t>
  </si>
  <si>
    <t>Irrational and combative, Mendoza had driven himself to the parking lot of the local police station. When he began to be verbally abusive, police tasered him. He died in the hospital a short time later.</t>
  </si>
  <si>
    <t>http://articles.courant.com/2013-06-11/community/hc-meriden-use-of-force-0611-20130610_1_meriden-police-kendzior-taser</t>
  </si>
  <si>
    <t>Cameron Arrigoni</t>
  </si>
  <si>
    <t>http://ak-cache.legacy.com/legacy/images/Cobrands/BDNMaine/Photos/photo_002712_AP029856_1_42BAA4440eeb925CD3vrrt5EFF7F_20130612.jpg</t>
  </si>
  <si>
    <t>Main Road South</t>
  </si>
  <si>
    <t>04444</t>
  </si>
  <si>
    <t>Hampden Police Department</t>
  </si>
  <si>
    <t>Police were responding to a domestic dispute in which Arrigoni both threatened his girlfriend and to commit suicide. Officers broke into the house when the girlfriend reported he was trying to break down a bedroom door to get at her. He pointed his gun at officers so they shot and killed him.</t>
  </si>
  <si>
    <t>http://www.maine.gov/tools/whatsnew/index.php?topic=AGOffice_Press&amp;id=606217&amp;v=reportsarticle10</t>
  </si>
  <si>
    <t>Curtis Ray Fipps</t>
  </si>
  <si>
    <t>https://usgunviolence.files.wordpress.com/2014/03/curtis-fipps.jpg</t>
  </si>
  <si>
    <t>900 block Walnut St</t>
  </si>
  <si>
    <t>Paden</t>
  </si>
  <si>
    <t>74860</t>
  </si>
  <si>
    <t>Okfuskee</t>
  </si>
  <si>
    <t>Okfuskee County Sheriff's Office</t>
  </si>
  <si>
    <t>A deputy from Okfuskee County Sheriff's Department was responding to a domestic dispute call, when a man (Curtis Ray Fipps), not involved in the dispute, approached the deputy with a shotgun. The deputy repeatedly ordered Fipps to drop his weapon. Fipps was fatally shot by the deputy when he did not comply with the order. Oklahoma State Bureau of Investigation (OSBI) is investigating the justification of Fipps' death.</t>
  </si>
  <si>
    <t>http://www.newson6.com/story/22543076/okfuskee-county-deputy-shoots-kills-armed-paden-man</t>
  </si>
  <si>
    <t>Mark A. Koves</t>
  </si>
  <si>
    <t>200 block North Wolcott Street</t>
  </si>
  <si>
    <t>60476</t>
  </si>
  <si>
    <t>Thornton Police were alerted regarding a "naked man" at Hubbard Park Pavilion in Thornton, IL. When approached by the police the man, Mark A. Koves, 28, was reported as "very erratic and combative." The police tasered Koves who died shortly thereafter at St. James Hospital.</t>
  </si>
  <si>
    <t>http://www.nwitimes.com/news/local/illinois/thornton/crown-point-man-dies-after-taser-strike-by-thornton-police/article_8a4d76b9-70ae-5243-ba7b-7c8700bff855.html</t>
  </si>
  <si>
    <t>Garrett Chruma</t>
  </si>
  <si>
    <t>https://usgunviolence.files.wordpress.com/2014/03/garett-chruma.jpg?w=625</t>
  </si>
  <si>
    <t>Mason Ferry Road</t>
  </si>
  <si>
    <t>Wilmer</t>
  </si>
  <si>
    <t>36587</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</si>
  <si>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</si>
  <si>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</si>
  <si>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</si>
  <si>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Mohammed Naas</t>
  </si>
  <si>
    <t>57</t>
  </si>
  <si>
    <t>11 Tennessee St.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</si>
  <si>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</si>
  <si>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</si>
  <si>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Rustin Wilkerson</t>
  </si>
  <si>
    <t>92570</t>
  </si>
  <si>
    <t>Responding to shots fired, a deputy said Wilkerson pointed a shotgun at her, before four deputies shot and killed him.</t>
  </si>
  <si>
    <t>http://www.pe.com/articles/shot-679742-fired-heard.html</t>
  </si>
  <si>
    <t>Micah Anthony Key</t>
  </si>
  <si>
    <t>http://mediaassets.gosanangelo.com/photo/2014/06/09/6/66247_6080445_ver1.0_640_480.JPG</t>
  </si>
  <si>
    <t>4900 Ben Ficklin Road</t>
  </si>
  <si>
    <t>SAPD called on domestic disturbance. Attempted to arrested suspect, and when resisting hit with stun gun. Stun Gun had little effect so another officer used his stun gun as well leading to heart failure.</t>
  </si>
  <si>
    <t>http://www.gosanangelo.com/news/man-dies-in-custody-after-police-repeatedly-use</t>
  </si>
  <si>
    <t>Urbano Moreno Morales</t>
  </si>
  <si>
    <t>Windsor Town Green</t>
  </si>
  <si>
    <t>Windsor</t>
  </si>
  <si>
    <t>95492</t>
  </si>
  <si>
    <t>Sonoma County Sheriff’s Office</t>
  </si>
  <si>
    <t>Urbano Moreno Morales stabbed and seriously wounded the mother of his adult son with a knife outside a Starbucks store in Windsor's Town Green neighborhood. Morales walked away from the neighborhood, and started stabbing himself before police approached him. Morales then charged at the officers with the knife and was then shot to death.[100]</t>
  </si>
  <si>
    <t>http://usgunviolence.wordpress.com/2013/06/08/killed-urbano-moreno-morales-windsor-ca/</t>
  </si>
  <si>
    <t>Craig Devon Rodgers</t>
  </si>
  <si>
    <t>Manatee Avenue and 19th Street East</t>
  </si>
  <si>
    <t>Officers responded to a call involving a possible kidnapping. Rodgers appeared to have been beating his girlfriend, who was locked in a bedroom for a day and a half. Rodgerslet her go onto the porch to get fresh air, where she managed to send a text message to a family member in North Carolina, who then called police. Police arrived on scene, and Rodgers fled. The chase led to a back yard three blocks away, where he confronted a detective in a back yard with some type of long metal item. The officer shot and killed him.</t>
  </si>
  <si>
    <t>http://www.mysuncoast.com/news/local/more-details-in-bradenton-kidnapping-that-led-to-fatal-police/article_d0348e04-d397-11e2-a892-0019bb30f31a.html</t>
  </si>
  <si>
    <t>Gregory Allen Rosson Jr.</t>
  </si>
  <si>
    <t>http://bloximages.newyork1.vip.townnews.com/dailyprogress.com/content/tncms/assets/v3/editorial/6/a6/6a657fa6-0c5a-11e3-95ee-0019bb30f31a/521808fa1d9b3.image.jpg</t>
  </si>
  <si>
    <t>9000 block Rockfish Gap Turnpike</t>
  </si>
  <si>
    <t>Afton</t>
  </si>
  <si>
    <t>22920</t>
  </si>
  <si>
    <t>Nelson</t>
  </si>
  <si>
    <t>Albemarle County Police Department</t>
  </si>
  <si>
    <t>Officer arrived to find Rosson beating and choking his ex-girlfriend. He dropped the woman and rushed the officer, who shot and killed him.</t>
  </si>
  <si>
    <t>http://www.dailyprogress.com/news/crime/fatal-police-shooting-in-afton-deemed-justified/article_604da2bc-0c1b-11e3-a3e4-0019bb30f31a.html</t>
  </si>
  <si>
    <t>Joseph Harvey Jr.</t>
  </si>
  <si>
    <t>http://legalinsurrection.com/wp-content/uploads/2013/08/Joseph-Harvey-Jr.png</t>
  </si>
  <si>
    <t>Route 3 and Interstate 97</t>
  </si>
  <si>
    <t>Millersville</t>
  </si>
  <si>
    <t>21108</t>
  </si>
  <si>
    <t>Hudson County Prosecutor’s Office</t>
  </si>
  <si>
    <t>After road rage on the highway, the off-duty officer and Harvey pulled off the road. As Harvey approached Walker, Walker shot and killed him.</t>
  </si>
  <si>
    <t>Renee Witham</t>
  </si>
  <si>
    <t>http://www.fatalencounters.org/wp-content/uploads/2013/10/ReneeWitham.jpg</t>
  </si>
  <si>
    <t>2600 E Silver St</t>
  </si>
  <si>
    <t>Witham was suicidal and called 911 to report that she was going to kill herself. The police officers attended the scene and found her outside with a man. They reported she took a gun out of a holster, and the police officers told her to drop the weapon. After she refused police officers opened fire, killing her and injuring the man.</t>
  </si>
  <si>
    <t>http://www.jrn.com/kgun9/news/210692891.html</t>
  </si>
  <si>
    <t>John Zawahri</t>
  </si>
  <si>
    <t>http://msnbcmedia.msn.com/j/MSNBC/Components/Photo/_new/130610-zawahri-430a.380;380;7;70;0.jpg</t>
  </si>
  <si>
    <t>Pearl Street and 17th Street</t>
  </si>
  <si>
    <t>Santa Monica</t>
  </si>
  <si>
    <t>90405</t>
  </si>
  <si>
    <t>Santa Monica Police Department</t>
  </si>
  <si>
    <t>Zawahri rampaged through a mile-long stretch of Santa Monica, dressed head to toe in black and carrying an AR-15 assault rifle. He killed six people near a community college campus, before being fatally shot himself by police in the school’s library.</t>
  </si>
  <si>
    <t>http://usnews.nbcnews.com/_news/2013/06/09/18865467-santa-monica-shooting-spree-suspect-identified-as-death-toll-climbs?lite</t>
  </si>
  <si>
    <t>Seon Rose</t>
  </si>
  <si>
    <t>Upper Riverdale Road and Tara Boulevard</t>
  </si>
  <si>
    <t>30236</t>
  </si>
  <si>
    <t>An officer was sitting at a red light when a woman crashed into his patrol unit from behind. A young lady got out and approached the officer, advising him that her husband was trying to attack her. Shortly after that, another car struck the woman's van. Hughes said Seon Rose crashed into his estranged wife's car and then attacked her. When the officer broke them up, police said Rose pulled out a gun and shot him. Another officer then shot and killed Rose.</t>
  </si>
  <si>
    <t>http://www.cbs46.com/story/22536981/officer-involved-shooting-in-clayton-county</t>
  </si>
  <si>
    <t>Daniel Lee Lucha Jr.</t>
  </si>
  <si>
    <t>http://usgunviolence.files.wordpress.com/2014/02/daniel-lee-lucha-jr.jpg?w=625&amp;h=350</t>
  </si>
  <si>
    <t>Plumas Street and A Street</t>
  </si>
  <si>
    <t>California Highway Patrol, Yuba County Sheriff's Department, Yuba City Police Department and Wheatland Police Department</t>
  </si>
  <si>
    <t>Lucha Jr. was the suspect in two fast-food restaurant robberies. He was involved in a vehicle pursuit with law enforcement leading up to his death. Throughout the 30-minute pursuit, he stopped several times until he was shot inside his van. Fourteen officers shot and killed him. He was armed with a tire iron.</t>
  </si>
  <si>
    <t>http://richmedia.onset.freedom.com/marysville/ms9nyz-luchareport.doc</t>
  </si>
  <si>
    <t>Andrew Lambeth</t>
  </si>
  <si>
    <t>http://usgunviolence.files.wordpress.com/2014/03/andrew-lambeth.jpg?w=625</t>
  </si>
  <si>
    <t>3520 Dallas Acworth Hwy NW</t>
  </si>
  <si>
    <t>Acworth</t>
  </si>
  <si>
    <t>30101</t>
  </si>
  <si>
    <t>Cobb County Emergency Communications Center dispatched uniform officers in reference to a domestic dispute. Information was provided to the officers that the subject was armed with a handgun and possibly suicidal. As the officer arrived the individual in front of the residence was armed with a firearm. Lambeth shot his gun, and the officer shot and killed him.</t>
  </si>
  <si>
    <t>http://mdjonline.com/view/full_story/22846012/article-Cobb-man-shot-dead-by-police%E2%80%93Neighbor-describes-man-as%E2%80%93fine-fellow%E2%80%93who-just%E2%80%93popped-</t>
  </si>
  <si>
    <t>Richard Haston</t>
  </si>
  <si>
    <t>8913 Southeast Bridge Road</t>
  </si>
  <si>
    <t>Hobe Sound</t>
  </si>
  <si>
    <t>33455</t>
  </si>
  <si>
    <t>Martin</t>
  </si>
  <si>
    <t>Martin County sheriff's Office</t>
  </si>
  <si>
    <t>Sgt. James Warren Sr. had his pistol out and his hand on the front of Richard Haston's Jeep. Warren, a 29-year Martin County sheriff's veteran, had just been in an altercation with Haston, and told him to stop. Instead, Haston, 39, proceeded forward in the Jeep and struck Warren. Warren fired at least two shots from his .45 caliber handgun through the windshield, striking Haston in the upper torso.</t>
  </si>
  <si>
    <t>http://www.tcpalm.com/news/man-dead-in-hobe-sound-after-deputy-involved</t>
  </si>
  <si>
    <t>Layne Michael Campbell</t>
  </si>
  <si>
    <t>350 Scorpio Circle</t>
  </si>
  <si>
    <t>89521</t>
  </si>
  <si>
    <t>Washoe County Sheriff's Office</t>
  </si>
  <si>
    <t>Police say shortly after 4:30AM, Washoe County sheriff's deputies responded to reports of an intruder trying to get into a home on Scorpio Circle, near Geiger Grade in south Reno. When deputies got there, they found a man matching the description given by the witness. At least one deputy fired and the suspect was killed.</t>
  </si>
  <si>
    <t>http://www.kolotv.com/home/headlines/Shots-210565461.html</t>
  </si>
  <si>
    <t>John Settlemyer</t>
  </si>
  <si>
    <t>https://usgunviolence.files.wordpress.com/2014/03/john-settlemyer.jpg?w=625</t>
  </si>
  <si>
    <t>5490 Northwood Dr</t>
  </si>
  <si>
    <t>Caldwell County Sheriff’s Office</t>
  </si>
  <si>
    <t>When deputies arrived at the house, they found Settlemyre was barricaded inside.Officers heard loud noises coming from the basement and went around to the back of the house. Capt. B.J. Fore said officers heard shots being fired inside. Settlemyre came out of the house with guns and exchanged fire with officers. Settlemyre was pronounced dead at the scene.</t>
  </si>
  <si>
    <t>https://usgunviolence.wordpress.com/2013/06/06/killed-john-settlemyer-hickory-nc/</t>
  </si>
  <si>
    <t>Blake Compton</t>
  </si>
  <si>
    <t>http://www.coopersorrells.com/fh_live/11400/11454/images/obituaries/2112628.jpg</t>
  </si>
  <si>
    <t>1500 block N. Hwy 78</t>
  </si>
  <si>
    <t>Bonham</t>
  </si>
  <si>
    <t>75418</t>
  </si>
  <si>
    <t>Fannin</t>
  </si>
  <si>
    <t>Fannin Department of Public Safety</t>
  </si>
  <si>
    <t>A man was standing on his front porch with a gun, and when he did not cooperate with officers they shot and killed him.</t>
  </si>
  <si>
    <t>http://www.kxii.com/home/headlines/Fannin-County-man-dead-in-officer-involved-shooting-210663581.html</t>
  </si>
  <si>
    <t>St. Albans</t>
  </si>
  <si>
    <t>11412</t>
  </si>
  <si>
    <t>Sherlon Smikle, an off-duty NYPD officer fatally blasted his wife, Lana Morris, with a shotgun on their Queens street, then went inside and turned the weapon on himself.</t>
  </si>
  <si>
    <t>http://www.nydailynews.com/new-york/queens/queens-nypd-shoots-wife-death-kills-article-1.1364543</t>
  </si>
  <si>
    <t>Lana Morris</t>
  </si>
  <si>
    <t>http://usgunviolence.files.wordpress.com/2014/03/lana-morris.jpg?w=625</t>
  </si>
  <si>
    <t>Camden Avenue</t>
  </si>
  <si>
    <t>Arnett Myers</t>
  </si>
  <si>
    <t>11111 Pulaski Hwy</t>
  </si>
  <si>
    <t>Police said officers were responding to a report of an assault at the Colony Motel. A woman said a man on a motor scooter was causing a disturbance, and when she asked him to leave, he allegedly drove around her in circles and then attempted to strike her with his scooter. When officers went to the suspect's apartment a few blocks away, police said, the man struggled with one officer and tried to pull his gun from the holster. Another officer shot the man several times, killing him.</t>
  </si>
  <si>
    <t>http://articles.baltimoresun.com/2013-06-05/news/bs-md-co-police-involved-shooting-20130605_1_motor-scooter-police-involved-shooting-baltimore-county-police</t>
  </si>
  <si>
    <t>Hugo Raymond “Ray” Barragan</t>
  </si>
  <si>
    <t>Hillcrest Place and Hillcrest Lane</t>
  </si>
  <si>
    <t>Fallbrook</t>
  </si>
  <si>
    <t>92028</t>
  </si>
  <si>
    <t>Barragan refused to pull over. When he arrived at his grandmother's house he got out of his car and ran inside the house. Deputies followed and began punching and taser Barragan. When Barragan was taken outside he stopped breathing. Paramedics tried to revive him, but Barragan had died.</t>
  </si>
  <si>
    <t>http://www.utsandiego.com/news/2013/jun/07/family-says-man-beaten-during-fallbrook-arrest/</t>
  </si>
  <si>
    <t>David Erwin Hartman</t>
  </si>
  <si>
    <t>http://kten.images.worldnow.com/images/22516391_BG2.jpg</t>
  </si>
  <si>
    <t>3000 Mockingbird Lane</t>
  </si>
  <si>
    <t>75209</t>
  </si>
  <si>
    <t>According to Highland Park Police, officers responded to a 911 call from a driver saying a man on a motorcycle was following them. A motorcycle matching the description was found at a nearby shopping center. Hartman returned to the motorcycle, but police say when they tried to question him, he ran off. He was handcuffed after a brief chase and placed into the back of a patrol car. Hartman was able to escape the handcuffs where he was able to use a small firearm he still had on his person. The suspect fired one shot out of the patrol car. Both officers shot, killing Hartman.</t>
  </si>
  <si>
    <t>http://www.kten.com/story/22516391/texoma-man-shot-and-killed-by-police-in-dallas</t>
  </si>
  <si>
    <t>William “Danny” Mayes</t>
  </si>
  <si>
    <t>http://media.utsandiego.com/img/photos/2013/06/07/william_mayes_1_t730.jpg?b0f0cf804b45a2830ba759010b8a41b9b1684c1a</t>
  </si>
  <si>
    <t>Rancho Pkwy &amp; Del Lago Blvd</t>
  </si>
  <si>
    <t>92029</t>
  </si>
  <si>
    <t>Mayes had been identified as a suspect in an elder abuse case two weeks earlier and was being lured by police to a Park and Ride in Escondido. He made a violent attempt to avoid arrest, police said, pulling a homemade shotgun. His vehicle was filled with explosive devices.</t>
  </si>
  <si>
    <t>http://www.utsandiego.com/news/2013/Jun/07/mayes-san-diego-police-shot-bomb-escondido/</t>
  </si>
  <si>
    <t>Luiz Urdez</t>
  </si>
  <si>
    <t>North Scovell Avenue and South State Street</t>
  </si>
  <si>
    <t>San Jacinto</t>
  </si>
  <si>
    <t>92582</t>
  </si>
  <si>
    <t>Police said they received multiple reports of a disturbance. When responding officers arrived at the scene, they found the suspect assaulting a woman inside a trailer. One officer shot and killed the suspect.</t>
  </si>
  <si>
    <t>http://www.nbclosangeles.com/news/local/Riverside-police-officer-involved-shooting-Jurupa-Valley-shooting-214840561.html</t>
  </si>
  <si>
    <t>Byron "Big B" Kelley</t>
  </si>
  <si>
    <t>5744 Lancaster Drive</t>
  </si>
  <si>
    <t>Shot to death in Olive Branch, Miss., by Memphis police and DEA agents.</t>
  </si>
  <si>
    <t>http://www.commercialappeal.com/news/2013/jun/04/drug-suspect-killed-in-shootout-with-officers-in/</t>
  </si>
  <si>
    <t>Shirley Jean Peeler</t>
  </si>
  <si>
    <t>Highway 36 and Mad River Road</t>
  </si>
  <si>
    <t>Mad River</t>
  </si>
  <si>
    <t>95552</t>
  </si>
  <si>
    <t>Trinity</t>
  </si>
  <si>
    <t>Trinity County Sheriff's Office</t>
  </si>
  <si>
    <t>A realtor was showing a property to prospective buyers when they encountered Peeler, whose parents had once owned the property, armed with a rifle. Police say Peeler had been ordered off the property when it went on the market. Peeler allegedly fired a shot at the realtor who then called the police. Officers shot and killed Peeler after they say she threatened them and fired a shot.[106]</t>
  </si>
  <si>
    <t>http://www.redding.com/news/2013/jun/07/woman-armed-rifle-shot-killed-deputies/</t>
  </si>
  <si>
    <t>Timothy John Walker</t>
  </si>
  <si>
    <t>42 Harbor Way</t>
  </si>
  <si>
    <t>According to Vallejo police officials, the incident began when officers responded to reports of a loud fight on a boat. When they arrived, they contacted Walker and shot him when he pointed a flare gun, modified to look like a shotgun, at an officer, officials said.</t>
  </si>
  <si>
    <t>http://www.sfgate.com/crime/article/Vallejo-cops-shoot-kill-marina-man-4579515.php</t>
  </si>
  <si>
    <t>Tyler Wilkins</t>
  </si>
  <si>
    <t>16</t>
  </si>
  <si>
    <t>http://media2.kshb.com//photo/2013/06/04/imagejpeg952-(2)_20130604162443_640_480.PNG</t>
  </si>
  <si>
    <t>Smart Avenue and Wheeling Avenue</t>
  </si>
  <si>
    <t>64123</t>
  </si>
  <si>
    <t>Police were attempting to question the boy about another crime. He ran, they chased. They said he pointed a gun at him, and they shot and killed him.</t>
  </si>
  <si>
    <t>http://www.kctv5.com/story/22503000/blame-tears-after-16-year-old-fatally-shot-by-kc-police-officer</t>
  </si>
  <si>
    <t>Pedro Najar Murillo</t>
  </si>
  <si>
    <t>Cherry and Los Angeles streets</t>
  </si>
  <si>
    <t>Huron</t>
  </si>
  <si>
    <t>93234</t>
  </si>
  <si>
    <t>Huron Police Department</t>
  </si>
  <si>
    <t>An officer approached Murillo, who was on a bicycle, for an unknown reason. Murillo fled on the bike and then on foot. The officer shot and killed Murillo after he allegedly pointed a small handgun at the officer.</t>
  </si>
  <si>
    <t>http://www.crimevoice.com/huron-man-fatally-shot-by-officers/</t>
  </si>
  <si>
    <t>Stephen Dinnan</t>
  </si>
  <si>
    <t>http://www.kitv.com/image/view/-/21039820/medRes/3/-/maxh/460/maxw/620/-/13hbbo0z/-/Stephen-Dinnan.jpg</t>
  </si>
  <si>
    <t>Ala Koa Street</t>
  </si>
  <si>
    <t>Waimanalo</t>
  </si>
  <si>
    <t>96795</t>
  </si>
  <si>
    <t>Stephen Dinnan, 35, was running away from police when the man reporting an auto theft stopped him and put him in a chokehold, the report said. The auto theft complainant and the officer arrived at the Waimanalo home together. The man released the chokehold after the officer told him to, and Dinnan was still conscious. Dinnan became unresponsive after he was handcuffed while prone, according to the autopsy report. He was taken off life support after he was pronounced brain dead the next day.</t>
  </si>
  <si>
    <t>http://www.staradvertiser.com/news/breaking/20130724_ME_Man_who_arrived_with_police_choked_detainee.html?id=216859071</t>
  </si>
  <si>
    <t>Louis James Skelly</t>
  </si>
  <si>
    <t>https://cbsdenver.files.wordpress.com/2013/06/skellylouis-from-larimer-sheriff.jpg?w=620&amp;h=349&amp;crop=1</t>
  </si>
  <si>
    <t>10841 Creedmore Lakes Rd</t>
  </si>
  <si>
    <t>Red Feather Lakes</t>
  </si>
  <si>
    <t>80545</t>
  </si>
  <si>
    <t>Larimer County Sheriff’s Office</t>
  </si>
  <si>
    <t>Sheriff’s officials say that as two deputies approached his property, Skelly fired his semi-automatic rifle. One deputy returned fire with his department-issued AR15 rifle, striking Skelly. He died of multiple gunshot wounds from the AR15.</t>
  </si>
  <si>
    <t>https://usgunviolence.wordpress.com/2013/06/03/killed-louis-james-skelly-larimer-county-co/</t>
  </si>
  <si>
    <t>Dwight Moorer Jr.</t>
  </si>
  <si>
    <t>http://i.dailymail.co.uk/i/pix/2013/06/03/article-2335041-1A1F599B000005DC-132_306x406.jpg</t>
  </si>
  <si>
    <t>2400 block Springdale Street</t>
  </si>
  <si>
    <t>Selma police officers found their colleague, Officer Dwight Moorer shot to death inside a white car in a driveway next to his ex-girlfriend, also dead from gunshot wounds.</t>
  </si>
  <si>
    <t>http://www.wncftv.com/localnews/Selma-Police-Officer-Kills-Ex-Girlfriend-Her-Stepfather-then-Kills-Himself-209876421.html</t>
  </si>
  <si>
    <t>Keoshia L. Hill</t>
  </si>
  <si>
    <t>Selma PD says the officer, identified as Dwight Moorer, was off-duty when he shot and killed his ex-girlfriend, 28-year-old Keoshia L. Hill and her step-father, 59-year-old Bill Jackson.</t>
  </si>
  <si>
    <t>http://www.wsfa.com/story/22481859/selma-police-stunned-that-off-duty-officer-killed-two-then-self-over-the-weekend</t>
  </si>
  <si>
    <t>Bill Jackson</t>
  </si>
  <si>
    <t>300 block 10th Street</t>
  </si>
  <si>
    <t>Dwayne Thomas witnessed the first shooting on 10th Avenue. "The man tried to tell Moorer 'It doesn't have to be this way' and put up his hands to try to defend himself, but Moorer opened fire.. bam.. bam.. bam and shot him," said Thomas.</t>
  </si>
  <si>
    <t>Edward Mwaura</t>
  </si>
  <si>
    <t>http://ddq74coujkv1i.cloudfront.net/Mwaura-285x245.jpg</t>
  </si>
  <si>
    <t>4252 Irish Hills Drive</t>
  </si>
  <si>
    <t>South Bend</t>
  </si>
  <si>
    <t>46614</t>
  </si>
  <si>
    <t>South Bend Police Department</t>
  </si>
  <si>
    <t>Police arrived at the family's apartment. They forced themselves inside after hearing a girl screaming and found the man on top of his daughter, stabbing her repeatedly. The man, Mwaura, was shot and died at the scene.</t>
  </si>
  <si>
    <t>http://articles.southbendtribune.com/2013-06-03/news/39721723_1_apartment-building-6-year-old-girl-apartment-complex</t>
  </si>
  <si>
    <t>Ross Batista or Baptista</t>
  </si>
  <si>
    <t>https://usgunviolence.files.wordpress.com/2014/03/ross-batista1.jpg</t>
  </si>
  <si>
    <t>76 Willowwood Street</t>
  </si>
  <si>
    <t>Police responded to Willowwood Street in Dorchester, where there were reports a man had a gun and was shooting. When officers approached the man in his car, he fired at them, police said. Police returned fire and the man was shot and killed.</t>
  </si>
  <si>
    <t>http://www.bostonglobe.com/metro/2013/06/03/dorchester-man-identified-person-fatally-wounded-during-shootout-with-boston-police/QsrhLFKY1CvyDzmp2wI2fJ/story.html</t>
  </si>
  <si>
    <t>Ricardo Diaz-Zeferino</t>
  </si>
  <si>
    <t>1644 W. Redondo Beach Blvd.</t>
  </si>
  <si>
    <t>Gardena</t>
  </si>
  <si>
    <t>90247</t>
  </si>
  <si>
    <t>Gardena Police Department</t>
  </si>
  <si>
    <t>Police were responding to a robbery, and were told two Latino men were involved. As they approached the call, two Latino men on bicycles were coming toward them. They stopped them, and gave them orders in Spanish and English. Diaz-Zeferino showed up and apparently attempted to explain the situation, but police misinterpreted his motives and shot and killed him.</t>
  </si>
  <si>
    <t>http://www.dailybreeze.com/general-news/20130611/audio-recordings-shed-light-on-fatal-gardena-police-shooting</t>
  </si>
  <si>
    <t>Guy Guthrie</t>
  </si>
  <si>
    <t>30438 Sunset Trail</t>
  </si>
  <si>
    <t>80470</t>
  </si>
  <si>
    <t>Jefferson County deputies responded along with medical personnel to 30438 Sunset Trail in Conifer after it was reported that the man was under the influence of drugs, and making suicidal statements. Guthrie’s brother contacted police to report his sibling was walking around their property carrying a gun. At 6:49 a.m. deputies made contact with Guthrie and determined he was carrying a BB gun. A Taser was deployed after Guthrie refused deputy instructions to drop the weapon. He was then arrested and placed into custody without incident. While being escorted to the patrol car, Guthrie appeared to have difficulty breathing. On-hand medical personnel promptly began evaluating his condition, which took a bad turn when he stopped breathing. After unsuccessful attempts to administer life saving measures, Guthrie was pronounced dead at 7:57 a.m.</t>
  </si>
  <si>
    <t>http://kdvr.com/2013/06/03/man-who-died-in-taser-incident-idenitfied/</t>
  </si>
  <si>
    <t>Eliseo Mercado</t>
  </si>
  <si>
    <t>900 block Cottonwood Circle</t>
  </si>
  <si>
    <t>Corsicana</t>
  </si>
  <si>
    <t>75110</t>
  </si>
  <si>
    <t>Corsicana Police Department</t>
  </si>
  <si>
    <t>Police ordered him to drop the weapon, but he pointed it both at his own head and at officers before firing, according to police reports. The decisive wound was the one to the right side of his head from very close range, according to the autopsy report. The bullet went through the brainstem, cerebellum, and grazed his left temporal lobe before exiting the left side of his head, according to the pathologist’s report.</t>
  </si>
  <si>
    <t>http://www.corsicanadailysun.com/news/local_news/article_658160dd-ecfc-5355-b13a-40a781edcfbe.html</t>
  </si>
  <si>
    <t>Justin Tyler Riedisser</t>
  </si>
  <si>
    <t>71st Avenue and Indian School Road</t>
  </si>
  <si>
    <t>85033</t>
  </si>
  <si>
    <t>Several officers shot and killed Riedisser after he allegedly pointed a gun at them. Police were initially responding to a domestic violence incident at an apartment. They tracked Riedisser to another location less than a mile away before killing him.[112]</t>
  </si>
  <si>
    <t>http://www.abc15.com/news/region-phoenix-metro/central-phoenix/phoenix-police-investigating-shooting-area-expected-to-be-restricted-for-hours</t>
  </si>
  <si>
    <t>Giacomo James Cargnoni</t>
  </si>
  <si>
    <t>http://media.utsandiego.com/img/photos/2013/06/03/UTI1717709_t180.jpg?6ec45598a0efd272cf6d6631efc8bbae7a2ee918</t>
  </si>
  <si>
    <t>Sea World Drive and Sunset Cliffs Boulevard</t>
  </si>
  <si>
    <t>92109</t>
  </si>
  <si>
    <t>Police were called to an Ocean Beach apartment complex where a man with a gun was threatening to shoot another man. Cargnoni had left the apartment by the time officers arrived, but his silver Volkswagen sedan was spotted minutes later and pulled over on Sea World Drive. He got out of the car but ignored commands to put up his hands. Cargnoni instead walked to the passenger side of the car, reached between the seats and pulled out a brown and silver object. He then raised the object and pointed it at police. The officer who was closest to Cargnoni opened fire, killing him.</t>
  </si>
  <si>
    <t>http://www.utsandiego.com/news/2013/Jun/03/mna-killed-police-identified/</t>
  </si>
  <si>
    <t>Roy Jacobs Jr.</t>
  </si>
  <si>
    <t>http://www.inlander.com/imager/roy-jacobs-jr/b/original/2241345/7432/Jacobs1.jpg</t>
  </si>
  <si>
    <t>4100 block N. McDonald Road</t>
  </si>
  <si>
    <t>Spokane County Sheriff's Office</t>
  </si>
  <si>
    <t>Jacobs called law enforcement offering to turn himself in on an outstanding warrant. When deputies arrived to serve the arrest warrant, “a confrontation ensued,” according to the release. Police said an intoxicated Jacobs threatened them with a knife, so he was shot and killed.</t>
  </si>
  <si>
    <t>http://www.inlander.com/Bloglander/archives/2013/12/13/decision-memo-details-fatal-deputy-involved-shooting-from-june</t>
  </si>
  <si>
    <t>Deion Montell Thompson</t>
  </si>
  <si>
    <t>I-95 &amp; U.S. Route 421</t>
  </si>
  <si>
    <t>28334</t>
  </si>
  <si>
    <t>Harnett</t>
  </si>
  <si>
    <t>North Carolina State Highway Patrol</t>
  </si>
  <si>
    <t>Motorcyclist Thompson, one of two chased by police after being spotted going 95 MPH on the interstate, was killed in pursuit when his vehicle struck the guard rail at high speed.</t>
  </si>
  <si>
    <t>http://myfox8.com/2013/06/01/motorcyclist-killed-after-police-chase-in-harnett-county/</t>
  </si>
  <si>
    <t>Michael Neal Peters</t>
  </si>
  <si>
    <t>http://www.jdnews.com/polopoly_fs/1.152096.1370099123!/fileImage/httpImage/image.jpg_gen/derivatives/landscape_174/michael-neal-peters.jpg</t>
  </si>
  <si>
    <t>3100 block Highway 24</t>
  </si>
  <si>
    <t>Broad Creek</t>
  </si>
  <si>
    <t>28570</t>
  </si>
  <si>
    <t>Carteret County Sheriff's Office</t>
  </si>
  <si>
    <t>Officers responded to call that Peters had threatened to kill his estranged wife. While talking on the phone with deputies, he stated that he no longer wanted to live. When officers arrived, he first barricaded himself inside his apartment, then came out armed with three handguns and started firing at them. They returned fire, killing him.</t>
  </si>
  <si>
    <t>http://www.carolinacoastonline.com/news_times/article_758ccb48-cfa9-11e2-9e8d-001a4bcf887a.html</t>
  </si>
  <si>
    <t>Mhai Scott</t>
  </si>
  <si>
    <t>http://1.bp.blogspot.com/-vKwnZ4pg9Ik/UagfvMxzV3I/AAAAAAAABQ4/pLhgmp9aZRM/s72-c/053013_woman.jpg</t>
  </si>
  <si>
    <t>21398 Price Cascades Plaza</t>
  </si>
  <si>
    <t>Sterling</t>
  </si>
  <si>
    <t>20164</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</si>
  <si>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</si>
  <si>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</si>
  <si>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</si>
  <si>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Gerardo Diego Ayala</t>
  </si>
  <si>
    <t>1000 block Rosewood Court</t>
  </si>
  <si>
    <t>92707</t>
  </si>
  <si>
    <t>Gang detectives, who were looking for someone in the area, saw two vehicles stopped in the middle of the street, and a group of men inside and outside the cars. Officers got into an altercation with one man, who police had documented as a gang member. During the altercation, police shot Gerardo Diego Ayala, who died at a hospital several hours later.</t>
  </si>
  <si>
    <t>http://www.ocregister.com/articles/police-510785-bertagna-dodge.html</t>
  </si>
  <si>
    <t>Joseph Moreno</t>
  </si>
  <si>
    <t>http://kpho.images.worldnow.com/images/22492646_BG2.jpg</t>
  </si>
  <si>
    <t>S Country Club Dr &amp; Broadway Access Rd</t>
  </si>
  <si>
    <t>85210</t>
  </si>
  <si>
    <t>U.S. Marshals East Valley Fugitave Task Force</t>
  </si>
  <si>
    <t>Wanted for parole violation, for a failed drug test, Joseph Moreno was located and approached by US marshals fugitive task force. After feeling threatened by an unresponsive and “combative” suspect, an officer tasered Moreno. He was cleared by paramedics and spent 45 minutes in police custody when he started sweating and speaking incoherently. Moreno was pronounced dead at a local hospital. Mesa homicide detectives are investigating.</t>
  </si>
  <si>
    <t>http://www.kpho.com/story/22492646/mesa-family-questions-officers-deadly-use-of-taser</t>
  </si>
  <si>
    <t>Andrew Reisse</t>
  </si>
  <si>
    <t>http://blogs.ocweekly.com/navelgazing/assets_c/2013/05/andrew-scott-reisse_spd-thumb-150x130.jpg</t>
  </si>
  <si>
    <t>MacArthur Boulevard and Flower Street</t>
  </si>
  <si>
    <t>While pursued at high speeds by Santa Ana police, the suspect, Victor Sanchez, ran into Reisse, killing him.</t>
  </si>
  <si>
    <t>http://www.ocregister.com/articles/police-602479-reisse-death.html</t>
  </si>
  <si>
    <t>Nathaniel McRae</t>
  </si>
  <si>
    <t>https://usgunviolence.files.wordpress.com/2014/03/nathaniel-mcrae.jpg</t>
  </si>
  <si>
    <t>852 Barnaby St SE</t>
  </si>
  <si>
    <t>McRae carjacked a black Pontiac from a woman in the mid-afternoon. The victim flagged down a local police cruiser and her vehicle was quickly located in front of an apartment block. According to police, McRae exited the vehicle and turned toward police as if brandishing a weapon. Shot, fatally wounded, he collapsed on the steps of the apartment.</t>
  </si>
  <si>
    <t>http://www.washingtonpost.com/local/police-officer-grazed-in-head-by-gunman/2013/05/29/8758cba0-c88e-11e2-8da7-d274bc611a47_story.html</t>
  </si>
  <si>
    <t>Bernard Peters Jr.</t>
  </si>
  <si>
    <t>http://i.ytimg.com/vi/hXyqH-g2z7A/maxresdefault.jpg</t>
  </si>
  <si>
    <t>2400 block Ritchie Street</t>
  </si>
  <si>
    <t>94605</t>
  </si>
  <si>
    <t>Police received information that someone in a vehicle was armed with a gun. When they tried to pull the vehicle over, the driver sped away. After pursuit, the vehicle stopped and the three men inside fled in different directions. Peters was shot and killed. A handgun stolen from Georgia was discovered nearby.</t>
  </si>
  <si>
    <t>http://www.mercurynews.com/ci_23414977/oakland-police-identify-man-fatally-shot-by-officer</t>
  </si>
  <si>
    <t>Kyree Johnson</t>
  </si>
  <si>
    <t>Wayne Ave &amp; Roberts Ave</t>
  </si>
  <si>
    <t>19144</t>
  </si>
  <si>
    <t>According to police, an officer stopped in the city’s Germantown section to check on curfew violations. While the officer sat in his car two men got out of the Nissan and began running north up Wayne Avenue. The driver of the car got out and started shooting at the fleeing men. The startled officer responded by jumping out of his vehicle and ordering the suspect to drop the gun. Police say the suspect apparently didn’t know it was a police car that pulled in behind him, and continued to shoot at the men running from the car. The officer then opened fire on the gunman, killing him.</t>
  </si>
  <si>
    <t>http://6abc.com/archive/9123063/</t>
  </si>
  <si>
    <t>Douglas Francis Harper</t>
  </si>
  <si>
    <t>Moore Court</t>
  </si>
  <si>
    <t>Helena</t>
  </si>
  <si>
    <t>59602</t>
  </si>
  <si>
    <t>Lewis and Clark</t>
  </si>
  <si>
    <t>Lewis and Clark County Sheriff's Office</t>
  </si>
  <si>
    <t>A deputy arrived outside a residence to conduct a “welfare check” on Harper. Harper was sitting in his vehicle parked in the driveway and holding a handgun. He pointed it toward the deputy, so the deputy shot and killed him.</t>
  </si>
  <si>
    <t>http://www.krtv.com/news/identity-of-man-shot-by-deputy-east-of-helena-released/</t>
  </si>
  <si>
    <t>Donald T. Moskites</t>
  </si>
  <si>
    <t>Massachusetts Turnpike</t>
  </si>
  <si>
    <t>Brighton</t>
  </si>
  <si>
    <t>02135</t>
  </si>
  <si>
    <t>Massachusetts State Police Department</t>
  </si>
  <si>
    <t>Troopers ordered Moskites to come down from the exit ramp where he was walking. He became violent and bit one of the officers. He was pepper-sprayed, after which he went into apparent cardiac arrest and died.</t>
  </si>
  <si>
    <t>http://www.bostonglobe.com/metro/2013/05/30/connecticut-man-dead-following-struggle-with-massachusetts-state-police-troopers/uveTCnjjgUC4QpQQhsGmfL/story.html</t>
  </si>
  <si>
    <t>Angela Darlene Smith</t>
  </si>
  <si>
    <t>http://www.crossvillememorial.com/wp-content/uploads/2013/06/Angela.jpg</t>
  </si>
  <si>
    <t>693 Browntown Rd</t>
  </si>
  <si>
    <t>Crossville</t>
  </si>
  <si>
    <t>38572</t>
  </si>
  <si>
    <t>Officers received a call about a woman running from a carport and saw Smith running with a handgun. She broke into a home and demanded car keys at gunpoint. After a pursuit, she crashed the stolen vehicle. When officers approached, she drew her gun. Officers fired, killing her.</t>
  </si>
  <si>
    <t>http://www.usatoday.com/story/news/nation/2014/07/03/tennessee-police-officer-sued-again/12120873/</t>
  </si>
  <si>
    <t>Jerry Wayne Waller</t>
  </si>
  <si>
    <t>http://assets.nydailynews.com/polopoly_fs/1.1357948!/img/httpImage/image.jpg_gen/derivatives/article_970/grandpa30n-1-web.jpg</t>
  </si>
  <si>
    <t>404 Havenwood Lane</t>
  </si>
  <si>
    <t>Police responding to burglar alarm shoot armed neighbor in his property.</t>
  </si>
  <si>
    <t>http://www.star-telegram.com/2013/05/29/4888210/officer-involved-in-shooting-at.html</t>
  </si>
  <si>
    <t>William Dupree</t>
  </si>
  <si>
    <t>http://bloximages.newyork1.vip.townnews.com/stltoday.com/content/tncms/assets/v3/editorial/c/c5/cc509e70-d96e-5f39-a5d6-aa8d04cbfd28/51a4eca915105.preview-620.jpg</t>
  </si>
  <si>
    <t>2100 block Farrar Avenue</t>
  </si>
  <si>
    <t>Pagedale Police Department</t>
  </si>
  <si>
    <t>William Dupree was shot during an altercation in front of Dupree’s house. The shooting happened when off-duty Pagedale officer James Little came to the house to drop off a child he shares with Dupree’s fiancée. The two men got in an argument, police said, which turned physical. Little then shot Dupree multiple times in the head, according to police. Dupree died at the scene.</t>
  </si>
  <si>
    <t>Charged (Trial Underway)</t>
  </si>
  <si>
    <t>http://www.stltoday.com/news/local/crime-and-courts/police-say-pagedale-officer-kills-man-during-fight-in-north/article_6633e342-c797-5a38-b7f0-0e798ac625af.html</t>
  </si>
  <si>
    <t>Esteban J. Smith</t>
  </si>
  <si>
    <t>http://i.huffpost.com/gen/1161375/thumbs/o-ESTEBAN-SMITH-facebook.jpg</t>
  </si>
  <si>
    <t>U.S. 83 &amp; County Road 4110</t>
  </si>
  <si>
    <t>Eden</t>
  </si>
  <si>
    <t>76837</t>
  </si>
  <si>
    <t>Concho</t>
  </si>
  <si>
    <t>DPS Highway Patrol, Texas Parks and Wildlife</t>
  </si>
  <si>
    <t>A marine went on a killing spree, killing his wife in North Carolina and shooting six randomly in Concho County, Texas. He was eventually shot and killed outside of Eden, Texas.</t>
  </si>
  <si>
    <t>http://www.brownwoodnews.com/index.php?option=com_content&amp;view=article&amp;id=12128:suspect-killed-after-shootings-near-eden-and-brady&amp;catid=53:state-news&amp;Itemid=74</t>
  </si>
  <si>
    <t>Samuel Cruz</t>
  </si>
  <si>
    <t>http://cdn.newsday.com/polopoly_fs/1.5344874.1370634844!/httpImage/image.jpg_gen/derivatives/landscape_168/image.jpg</t>
  </si>
  <si>
    <t>18 Hickory Street</t>
  </si>
  <si>
    <t>New Rochelle</t>
  </si>
  <si>
    <t>10805</t>
  </si>
  <si>
    <t>New Rochelle Police Department</t>
  </si>
  <si>
    <t>Samuel Cruz, 48, was shot dead after his estranged wife called police May 26 because she was worried about the man. Police said he would not open the door and threatened officers with a knife when they broke in. They said stun guns failed to stop Cruz and when he lunged with the knife, a police officer shot and killed him.</t>
  </si>
  <si>
    <t>http://newyork.cbslocal.com/2013/12/10/grand-jury-clears-cop-who-fatally-shot-new-rochelle-man/</t>
  </si>
  <si>
    <t>Theodore Dennis Vanosdall</t>
  </si>
  <si>
    <t>1200 block H Street</t>
  </si>
  <si>
    <t>Salida</t>
  </si>
  <si>
    <t>81201</t>
  </si>
  <si>
    <t>Chaffee</t>
  </si>
  <si>
    <t>Salida Police Department</t>
  </si>
  <si>
    <t>Vanosdall, a parolee, was breaking into an acquaintance's house with a chainsaw. When officers arrived, he shot at them. They returned fire, killing him.</t>
  </si>
  <si>
    <t>http://salidacitizen.com/2013/05/sunday-shooter-was-multi-state-offender-and-parolee/</t>
  </si>
  <si>
    <t>Anthony Galla</t>
  </si>
  <si>
    <t>http://cbsphilly.files.wordpress.com/2013/05/galla_anthony-thumb.jpg</t>
  </si>
  <si>
    <t>351 E. Township Line Road</t>
  </si>
  <si>
    <t>Upper Darby</t>
  </si>
  <si>
    <t>19082</t>
  </si>
  <si>
    <t>Upper Darby Police Department</t>
  </si>
  <si>
    <t>The Upper Darby police department said Galla broke into the residence of a former girlfriend and fired seven rounds at a man, hitting him in the foot. A U.S. Marshals task force including state police troopers located him in the area of the Summit Inn in Upper Darby, where he was seen with another man and woman. Members of the task force chased the man who was with Galla to a second-floor room, where gunfire resulted in Galla’s death.</t>
  </si>
  <si>
    <t>http://www.thereporteronline.com/article/RO/20130529/NEWS03/130529466</t>
  </si>
  <si>
    <t>Ajani Mitchell</t>
  </si>
  <si>
    <t>http://media.thestate.com/smedia/2013/09/17/14/03/10fCaS.AuSt.74.jpg</t>
  </si>
  <si>
    <t>5805 Conveyor St.</t>
  </si>
  <si>
    <t>29203</t>
  </si>
  <si>
    <t>Investigators say officers were called to a home around by the man’s mother. It was the second time that day she called to report he had a weapon. Authorities say he refused to put down the gun and threatened the officers, who fired back, killing him.</t>
  </si>
  <si>
    <t>http://www.thestate.com/2013/09/18/2987510/jury-deliberates-in-columbia-inquest.html</t>
  </si>
  <si>
    <t>Gary Hatcher</t>
  </si>
  <si>
    <t>https://usgunviolence.files.wordpress.com/2014/03/gary-hatcher.jpg?w=625</t>
  </si>
  <si>
    <t>Ridgeway Avenue and Montrose Street</t>
  </si>
  <si>
    <t>Mt. Morris Township</t>
  </si>
  <si>
    <t>Hatcher was pulled over. After the trooper returned to his vehicle to check IDs, Hatcher allegedly fled. A brief foot chase ensued and Hatcher was apprehended by the trooper. Hatcher allegedly wrestled for the trooper's weapon. The trooper then shot and killed Hatcher.</t>
  </si>
  <si>
    <t>http://www.mlive.com/news/flint/index.ssf/2013/05/man_shot_killed_by_michigan_st.html</t>
  </si>
  <si>
    <t>6200 block Paramount Avenue</t>
  </si>
  <si>
    <t>90805</t>
  </si>
  <si>
    <t>Two security guards for a private industrial property noticed the subject entering employees' vehicles and contacted police. Upon LBPD arrival, officers discovered that two security guards had detained the subject after he attempted to take one of the security guard's vehicle and, when that failed, attempted to scale a nearby fence. After arresting the subject, he went into medical distress and died before he reached the hospital.</t>
  </si>
  <si>
    <t>http://www.lbpost.com/news/2000002368-man-arrested-on-private-property-dies-while-in-custody#.UaQmXaJL4tU</t>
  </si>
  <si>
    <t>Castor Ave &amp; Robbins St</t>
  </si>
  <si>
    <t>Officers responded to calls of a person with a knife, finding the suspect running along Robbins and Castor Avenues. One officer used his vehicle to knock the suspect to the ground, then ordered him to drop the knife. The suspect advanced towards the officers, leading them to fire at the suspect. He was later pronounced dead at a local hospital. A Use of Force board for the shooting was scheduled for July 2014.</t>
  </si>
  <si>
    <t>http://www.newsworks.org/index.php/local/the-latest/55208-police-knife-wielding-man-shot-killed-in-northeast-philly</t>
  </si>
  <si>
    <t>John N. Torretti</t>
  </si>
  <si>
    <t>http://www.fatalencounters.org/wp-content/uploads/2013/10/JohnN.Torretti.jpg</t>
  </si>
  <si>
    <t>8300 block Folsom Blvd</t>
  </si>
  <si>
    <t>95826</t>
  </si>
  <si>
    <t>Police were called when a man frightened a Metro PCS employee with "intelligible(sic) statements." A struggle ensued with the officers, and the man was pepper-sprayed, kicked, and repeatedly beaten with batons. Officers noticed he had stopped breathing once he was in police custody.</t>
  </si>
  <si>
    <t>http://www.news10.net/story/news/2014/01/22/4753069/</t>
  </si>
  <si>
    <t>Jeff Foote</t>
  </si>
  <si>
    <t>http://img.ksl.com/slc/2507/250761/25076161.jpeg</t>
  </si>
  <si>
    <t>110 W. 4600 South</t>
  </si>
  <si>
    <t>Washington Terrace</t>
  </si>
  <si>
    <t>84405</t>
  </si>
  <si>
    <t>Weber County Sheriff's Office</t>
  </si>
  <si>
    <t>Apparently distraught, Jeff Foote called police and told a dispatcher that he planned to shoot himself, the sheriff’s office said in a news release. Officers from multiple police agencies went to the home Foote shared with his to find him standing in the front yard, brandishing a small handgun. One deputy tried to calm Foote. As they spoke, however, Foote apparently discharged his gun and an officer returned fire killing Foote.</t>
  </si>
  <si>
    <t>http://www.sltrib.com/sltrib/news/56364776-78/foote-deputy-county-weber.html.csp</t>
  </si>
  <si>
    <t>Adolfo Vargas Tovar</t>
  </si>
  <si>
    <t>7400 block Woodridge Way</t>
  </si>
  <si>
    <t>92114</t>
  </si>
  <si>
    <t>Tovar was fatally shot by officers after he drove a car in reverse towards them. He had allegedly robbed a nearby gas station.</t>
  </si>
  <si>
    <t>http://www.cbs8.com/story/22427599/suspect-killed-in-officer-involved-shooting-identified</t>
  </si>
  <si>
    <t>Jerry Robert Bennett</t>
  </si>
  <si>
    <t>212th Street Southwest and 44th Avenue West</t>
  </si>
  <si>
    <t>Mountlake Terrace</t>
  </si>
  <si>
    <t>98043</t>
  </si>
  <si>
    <t>Lynnwood Police Department</t>
  </si>
  <si>
    <t>Bennett was killed when his van was struck by another van in a high-speed chase with local police. One of at least four fatal high-speed police chases in this county in 2013.</t>
  </si>
  <si>
    <t>http://mltnews.com/victim-of-van-crash-identified-as-jerry-robert-bennett-of-lynnwood/</t>
  </si>
  <si>
    <t>Thomas Hilger</t>
  </si>
  <si>
    <t>2430 Main St</t>
  </si>
  <si>
    <t>Worden</t>
  </si>
  <si>
    <t>59088</t>
  </si>
  <si>
    <t>Hilger was killed by sheriff's deputies Martin Stuart and Tony Watson behind the bar he owned. Police were responding to a report of suspicious activity and questioned Hilger, who allegedly pulled out a gun. Investigators later found Hilger's girlfriend's body in a vehicle.</t>
  </si>
  <si>
    <t>http://billingsgazette.com/news/local/worden-on-edge-after-homicide-officer-involved-shooting/article_09591438-af43-538a-ab68-70f88974bad1.html</t>
  </si>
  <si>
    <t>Leonard Thomas</t>
  </si>
  <si>
    <t>200 block 55th Avenue East</t>
  </si>
  <si>
    <t>98105</t>
  </si>
  <si>
    <t>Pierce County Metro SWAT</t>
  </si>
  <si>
    <t>Despondent over a friend's recent death, family members called police to protect Thomas' child. Police shot him when he tried to pull the child back into the house.</t>
  </si>
  <si>
    <t>http://seattletimes.com/html/localnews/2021053308_fifeshootingxml.html</t>
  </si>
  <si>
    <t>John Valluzzo</t>
  </si>
  <si>
    <t>75</t>
  </si>
  <si>
    <t>http://ww1.hdnux.com/photos/21/70/51/4688468/3/628x471.jpg</t>
  </si>
  <si>
    <t>423 Ridgebury Road</t>
  </si>
  <si>
    <t>06877</t>
  </si>
  <si>
    <t>Ridgefield Police Department</t>
  </si>
  <si>
    <t>Ridgefield police, responding to a call of a domestic dispute, saw Valluzzo with a handgun. Officers ordered him to put down his weapon, but Valluzzo refused to comply, raised the gun toward the officers and was shot and killed.</t>
  </si>
  <si>
    <t>http://www.newstimes.com/policereports/article/State-s-attorney-gets-state-police-report-on-5365364.php</t>
  </si>
  <si>
    <t>John Nat Torretti</t>
  </si>
  <si>
    <t>http://www.gannett-cdn.com/-mm-/314c2d22da7f4e7ae723393a42231f3caae60371/c=0-0-680-510&amp;r=x404&amp;c=534x401/http/archive.news10.net/images/680/510/2/assetpool/images/130528123744_john-torretti-640.jpg</t>
  </si>
  <si>
    <t>8300 block Folsom Boulevard</t>
  </si>
  <si>
    <t>http://sacramento.cbslocal.com/2013/05/27/man-who-died-in-sacramento-police-custody-identified/</t>
  </si>
  <si>
    <t>Rayshawn Marquis Brown</t>
  </si>
  <si>
    <t>1602 E. Palmer St.</t>
  </si>
  <si>
    <t>Deputies responded to calls of shots fired and followed a vehicle speeding away. Upon reaching a dead end, Brown exited the vehicle and pointed a weapon at the deputies. They opened fire, killing Brown.</t>
  </si>
  <si>
    <t>http://abc7.com/archive/9115106/</t>
  </si>
  <si>
    <t>Thomas Bean</t>
  </si>
  <si>
    <t>http://www.ourtownsylvania.com/image/2013/05/23/800x_b1_cCM_z_p101_cT/Thomas-Bean-mug.jpg</t>
  </si>
  <si>
    <t>1029 Page St.</t>
  </si>
  <si>
    <t>43608</t>
  </si>
  <si>
    <t>Bean was apparently attacking a woman in front of his home. When officers arrived, he pointed an empty shotgun at them. One officer fired, killing Bean.</t>
  </si>
  <si>
    <t>http://www.toledoblade.com/Police-Fire/2013/05/23/Officers-shoot-kill-threatening-gunman.html</t>
  </si>
  <si>
    <t>Richard Allen Moore</t>
  </si>
  <si>
    <t>Emerson Avenue and 42nd Street</t>
  </si>
  <si>
    <t>46226</t>
  </si>
  <si>
    <t>Police vehicle was traveling through an intersection with green light when Moore stepped from curb in front of it and was struck and killed.</t>
  </si>
  <si>
    <t>http://fox59.com/2013/05/24/police-identify-man-struck-killed-by-impd-officer/</t>
  </si>
  <si>
    <t>Jackson Alexandre</t>
  </si>
  <si>
    <t>541 Court St</t>
  </si>
  <si>
    <t>11231</t>
  </si>
  <si>
    <t>A "crazed" Alexandre stabbed his roommate while they were watching a Knicks game, then cursed at and lunged towards responding officers with the same bloodstained knife. Police fired nine shots. Eight of them fatally struck him.</t>
  </si>
  <si>
    <t>Julian Dawkins</t>
  </si>
  <si>
    <t>http://images.wjla.com/communities/juian_dawkins_296.jpg</t>
  </si>
  <si>
    <t>22305</t>
  </si>
  <si>
    <t>Alexandria City</t>
  </si>
  <si>
    <t>Arlington County Sheriff's Office</t>
  </si>
  <si>
    <t>Dawkins and an off-duty deputy, Craig Patterson, argued. Patterson got his badge and his gun and attempted to arrest Dawkins, instead, shooting and killing him. Patterson was sentenced to 6 years.</t>
  </si>
  <si>
    <t>Sentenced to 6 years</t>
  </si>
  <si>
    <t>http://www.wusa9.com/story/news/local/2014/02/06/patterson-dawkins-sentencing/5252259/</t>
  </si>
  <si>
    <t>Belton "Amir" Lomax</t>
  </si>
  <si>
    <t>Locust Avenue and Devon Street</t>
  </si>
  <si>
    <t>19138</t>
  </si>
  <si>
    <t>Police say Lomax ran from officers who were responding to calls about a man with a gun before aiming his gun at them.</t>
  </si>
  <si>
    <t>http://www.nbcphiladelphia.com/news/local/Alleged-Gunman-Shot-Killed-by-Police-208581581.html</t>
  </si>
  <si>
    <t>19131</t>
  </si>
  <si>
    <t>Police were called to the 5600 block Wyalusing Avenue after receiving a report of a man armed with a gun. When they arrived, police say they found a gunman as well as another suspect who was with him. The responding officers began to chase after the suspects, according to investigators. The suspect allegedly ran into an SUV and then pointed his gun at the officers. Officials say the officers opened fire, striking the suspect in the chest.</t>
  </si>
  <si>
    <t>Ibragim Todashev</t>
  </si>
  <si>
    <t>http://michellemalkin.com/wp-content/uploads/2013/05/todashev-ibragim-clean-jpg.jpg</t>
  </si>
  <si>
    <t>6022 Peregrine Avenue</t>
  </si>
  <si>
    <t>32819</t>
  </si>
  <si>
    <t>Todashev allegedly attacked an FBI agent during an interview about the Boston Marathon bombings and a triple homicide that took place in Waltham, Massachusetts on September 11, 2011.</t>
  </si>
  <si>
    <t>https://www.documentcloud.org/documents/1096820-todashev-final-report-03-17-14-ocr-redacted.html</t>
  </si>
  <si>
    <t>William Alexander Mejia</t>
  </si>
  <si>
    <t>314 S. Gless St.</t>
  </si>
  <si>
    <t>Officers spotted a known gang member carrying a revolver, according to a Los Angeles Police Department official. Mejia was riding a bicycle, and pointed the gun at police. Officers fired multiple shots. Mejia died at the scene.</t>
  </si>
  <si>
    <t>http://homicide.latimes.com/post/william-alexander-mejia/</t>
  </si>
  <si>
    <t>Anthony Michael Bland</t>
  </si>
  <si>
    <t>http://ak-cache.legacy.net/legacy/images/Cobrands/DailyPress/Photos/photo_1490542_0_Photo1_cropped_20130528.jpg</t>
  </si>
  <si>
    <t>8679 Pocahontas Trail</t>
  </si>
  <si>
    <t>23185</t>
  </si>
  <si>
    <t>James City</t>
  </si>
  <si>
    <t>James City County Police Department</t>
  </si>
  <si>
    <t>Bland had assaulted a staff member at a senior center. He then got in his car. When the officer got out of his vehicle, he was hit and pinned by Bland's vehicle. The officer shot and killed Bland.</t>
  </si>
  <si>
    <t>http://hamptonroads.com/2013/05/police-id-man-killed-officer-james-city-county</t>
  </si>
  <si>
    <t>Joshua "Omar" Johnson</t>
  </si>
  <si>
    <t>http://media.hamptonroads.com/cache/files/images/1095981.jpg</t>
  </si>
  <si>
    <t>21st Street and Colonial Avenue</t>
  </si>
  <si>
    <t>23517</t>
  </si>
  <si>
    <t>Norfolk City</t>
  </si>
  <si>
    <t>Officers were called to a bank for a report of someone trying to pass a bad check, a Norfolk police spokesperson said. Two officers approached a car in the parking lot. The driver put the car in reverse and struck one of them. The second officer shot and killed the driver.</t>
  </si>
  <si>
    <t>http://hamptonroads.com/2013/05/norfolk-police-release-details-fatal-ghent-shooting</t>
  </si>
  <si>
    <t>Jose SiFuentes</t>
  </si>
  <si>
    <t>http://bloximages.chicago2.vip.townnews.com/news-journal.com/content/tncms/assets/v3/editorial/e/63/e6326e18-c223-11e2-ad1c-0019bb2963f4/519b86aa716a1.image.jpg</t>
  </si>
  <si>
    <t>Highway 80 and U.S. 259</t>
  </si>
  <si>
    <t>Longview police responded to reports of a small, blue four-door vehicle attempting to hit cars and run them off the road. SiFuentes fled. Officers set up spikes on Highway 80. SiFuentes hit the spikes then turned around, driving directly at officers. An officer on the scene shot at the vehicle. The officer was hit by the vehicle, sustaining non-life threatening and non-incapacitating injuries.</t>
  </si>
  <si>
    <t>http://www.kltv.com/story/22309969/suspect-in-longview-police-chase-shooting-has-died</t>
  </si>
  <si>
    <t>Terrence Dawson</t>
  </si>
  <si>
    <t>http://localtvwreg.files.wordpress.com/2013/05/promo193202183.jpg?w=185&amp;h=103&amp;crop=1</t>
  </si>
  <si>
    <t>400 block South 1st Street</t>
  </si>
  <si>
    <t>Blytheville</t>
  </si>
  <si>
    <t>72315</t>
  </si>
  <si>
    <t>Blytheville Police Department</t>
  </si>
  <si>
    <t>Dawson fought with his girlfriend, took her hostage with a knife to her throat. Police tried to physically take the knife, shooting and killing Dawson during the fight.</t>
  </si>
  <si>
    <t>http://www.kait8.com/story/22289908/prosecutor-officer-justified-in-blytheville-shooting</t>
  </si>
  <si>
    <t>Charles Curl</t>
  </si>
  <si>
    <t>1 W Manchester Blvd</t>
  </si>
  <si>
    <t>90301</t>
  </si>
  <si>
    <t>Charles Curl smashed the windows of eight Inglewood Police squad cars with a machete. As an officer attempted to contact the suspect, Curl charged the officer, and the officer shot and killed Curl.</t>
  </si>
  <si>
    <t>http://www.nydailynews.com/news/national/video-machete-wielding-vandal-shot-dead-article-1.1351563</t>
  </si>
  <si>
    <t>Terry Laffitte</t>
  </si>
  <si>
    <t>http://www.fatalencounters.org/wp-content/uploads/2013/10/terry-laffitte.jpg</t>
  </si>
  <si>
    <t>6100 block Miramonte Boulevard</t>
  </si>
  <si>
    <t>90001</t>
  </si>
  <si>
    <t>Police say officers saw Laffitte riding a bicycle while intoxicated and holding a handgun. They confronted him, and a struggle ensued in a driveway. Officers shot and killed Laffitte when he allegedly pulled a gun from his waistband. Multiple witnesses say that Laffitte was unarmed. Police say they recovered a revolver at the scene.</t>
  </si>
  <si>
    <t>http://abclocal.go.com/kabc/story?id=9107846</t>
  </si>
  <si>
    <t>John Walker</t>
  </si>
  <si>
    <t>Holly Circle and Airways Boulevard</t>
  </si>
  <si>
    <t>Died when an off-duty police officer hit the motorcycle Walker was riding while working as a traffic escort for a funeral.</t>
  </si>
  <si>
    <t>Naim Keith Labaki</t>
  </si>
  <si>
    <t>http://www.jenningsdailynews.net/wp-content/uploads/2013/05/tues-labaki.jpg</t>
  </si>
  <si>
    <t>Highway 150 and I-80</t>
  </si>
  <si>
    <t>82930</t>
  </si>
  <si>
    <t>Uinta</t>
  </si>
  <si>
    <t>Evanston Police Department, Uinta County Sheriff’s Office</t>
  </si>
  <si>
    <t>Labaki fired a shot into a sporting goods store. After a pursuit, officers ran him off the road and when he pointed his rifle at officers, they shot him.</t>
  </si>
  <si>
    <t>http://fox13now.com/2013/05/19/man-shot-killed-by-police-in-wyoming/</t>
  </si>
  <si>
    <t>Tony Khan Nim</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</si>
  <si>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</si>
  <si>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</si>
  <si>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</si>
  <si>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</si>
  <si>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</si>
  <si>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</si>
  <si>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Dalton Smith</t>
  </si>
  <si>
    <t>http://heavyeditorial.files.wordpress.com/2013/05/dalton-smith-2.jpg?quality=65&amp;strip=all&amp;w=780</t>
  </si>
  <si>
    <t>213 California Avenue</t>
  </si>
  <si>
    <t>Uniondale</t>
  </si>
  <si>
    <t>11553</t>
  </si>
  <si>
    <t>Nassau Police Department</t>
  </si>
  <si>
    <t>Dalton Smith entered a home, occupied by four college students to commit a robbery. One of the students placed a 911 call to report the robbery. Numerous members of the Nassau County Police Department responded to the location. Police Officer Nikolas Budimlic was one of the first officers to arrive on the scene. As he approached the residence, Andrea Rebello’s sister ran out of the front door and indicated that an intruder was upstairs and armed with a gun. Inside the residence, Officer Budimlic was confronted by the intruder. Smith was armed with a gun and was physically restraining Andrea Rebello. Smith ignored numerous commands to drop his weapon. During the confrontation, Officer Budimlic fired eight shots at Smith, killing him. One of the bullets struck Andrea Rebello in the head, killing her.</t>
  </si>
  <si>
    <t>http://heavy.com/news/2013/05/andrea-rebello-kiled-by-police-dalton-smith/</t>
  </si>
  <si>
    <t>Guillermo Pablo Cedano</t>
  </si>
  <si>
    <t>http://ak-cache.legacy.net/legacy/Images/Cobrands/DignityMemorial/Photos/21e8857f-18ed-459c-bf54-76bc1c67ad82.jpg</t>
  </si>
  <si>
    <t>1000 block Carob Way</t>
  </si>
  <si>
    <t>Montebello</t>
  </si>
  <si>
    <t>90640</t>
  </si>
  <si>
    <t>Montebello Police Department</t>
  </si>
  <si>
    <t>http://www.insidesocal.com/sgvcrime/2013/10/03/cause-of-montebello-mans-death-in-police-custody-still-unclear-after-coroners-investigation/</t>
  </si>
  <si>
    <t>Andrea Rebello</t>
  </si>
  <si>
    <t>http://www.gannett-cdn.com/-mm-/3883693bee0a175bdd402061b447e7f2dd11d67d/c=0-106-1673-1366&amp;r=x404&amp;c=534x401/local/-/media/Westchester/Westchester/2014/04/02//1396466419000-tjndc5-6avogl2quwg5veqtkkh-original.jpg</t>
  </si>
  <si>
    <t>Rebello was killed by the police officer who was rescuing her from a home invasion/hostage situation. The officer was cleared of wrongdoing.</t>
  </si>
  <si>
    <t>http://www.newsday.com/long-island/nassau/andrea-rebello-s-family-files-suit-after-hofstra-student-fatally-shot-by-police-1.8047752</t>
  </si>
  <si>
    <t>Brent E. Brozek</t>
  </si>
  <si>
    <t>http://usgunviolence.files.wordpress.com/2014/03/brent-e-brozek.jpg?w=625</t>
  </si>
  <si>
    <t>947 Rockefeller Lane</t>
  </si>
  <si>
    <t>Brozek was shot and killed by Officers Ryan Finnegan, Ryan Orvis, and Scott Templeton after allegedly charging at them with a sword. Police say bean bag rounds were fired first. The shooting concluded a day-long standoff that began when sheriff's deputies tried to evict Brozek from his condo.</t>
  </si>
  <si>
    <t>http://host.madison.com/news/local/crime_and_courts/official-review-clears-madison-officers-involved-in-fatal-shooting-of/article_4adf4961-58df-58d3-92ac-3a5844f3e3d1.html</t>
  </si>
  <si>
    <t>Misty Michelle Mullins</t>
  </si>
  <si>
    <t>http://wwwcache.wral.com/asset/news/local/2013/05/17/12459834/Misty_Mullins-640x480.jpg</t>
  </si>
  <si>
    <t>6232 Melbourne Road</t>
  </si>
  <si>
    <t>27603</t>
  </si>
  <si>
    <t>Wake County Sheriff's Office</t>
  </si>
  <si>
    <t>Deputies responded to a trespassing call at Mullins' old home. They say they tried to persuade her to come out and when she wouldn't, they entered. They report that witnesses say that Mullins charged then with a machete or knife. They tasered her three times, and state that when this failed to subdue her, Deputy Gabriel Romero shot her.</t>
  </si>
  <si>
    <t>http://www.wral.com/wake-deputy-kills-woman-who-charged-at-him-with-knife/12459148/</t>
  </si>
  <si>
    <t>Jermaine Darden</t>
  </si>
  <si>
    <t>http://cbsdallas.files.wordpress.com/2013/05/377.jpg?w=420&amp;h=315</t>
  </si>
  <si>
    <t>3200 block Thannisch Avenue</t>
  </si>
  <si>
    <t>76105</t>
  </si>
  <si>
    <t>Officers were executing a search warrant on Darden for narcotics, Darden resisted, was tasered, and began having health issues from which he died.</t>
  </si>
  <si>
    <t>http://dfw.cbslocal.com/2013/05/17/man-dies-after-being-tased-by-fort-worth-police/</t>
  </si>
  <si>
    <t>Christian Leonard Eaddy</t>
  </si>
  <si>
    <t>13000 block Corcoran Street</t>
  </si>
  <si>
    <t>Eaddy, had a knife, acting suicidal, was shot but police. He died in the hospital.</t>
  </si>
  <si>
    <t>http://www.dailynews.com/general-news/20130517/pacoima-fatal-police-shooting-of-apparently-suicidal-man-probed</t>
  </si>
  <si>
    <t>Freddy Batt Sosa</t>
  </si>
  <si>
    <t>101 W. Irvington Road</t>
  </si>
  <si>
    <t>85714</t>
  </si>
  <si>
    <t>Sosa was physically fighting with his sister, at times, holding a gun to her head. When officers arrived, he began walking toward them, pulling the gun out of his pants. They shot and killed him.</t>
  </si>
  <si>
    <t>http://azstarnet.com/news/local/crime/man-armed-with-bb-gun-killed-by-tpd-officers/article_e8666266-c0d9-11e2-9b48-0019bb2963f4.html</t>
  </si>
  <si>
    <t>Justin Cairns</t>
  </si>
  <si>
    <t>http://usgunviolence.files.wordpress.com/2014/03/justin-cairns1.jpg</t>
  </si>
  <si>
    <t>22000 block West Charles Road</t>
  </si>
  <si>
    <t>Nine Mile Falls</t>
  </si>
  <si>
    <t>99026</t>
  </si>
  <si>
    <t>Police tracked Justin Cairns, who was accused of killing Cyrus Jones, to a home in Nine Mile Falls. They contacted the Cairns outside of the house. Police Chief Frank Straub said Cairns came outside and shut off the lights. Police said the man failed to follow commands when he was confronted by the officers and took off running. Police shot and killed him.</t>
  </si>
  <si>
    <t>http://www.krem.com/news/local/Prosecutors-find-Nine-Mile-Falls-officer-invovled-shooting-justified-254985611.html</t>
  </si>
  <si>
    <t>James Genda</t>
  </si>
  <si>
    <t>http://media2.newsnet5.com//photo/2013/05/16/my_dad_20130516202626_640_480.JPG</t>
  </si>
  <si>
    <t>Wolf Ledges Pkwy &amp; E Thornton Street</t>
  </si>
  <si>
    <t>44311</t>
  </si>
  <si>
    <t>University of Akron Police Department</t>
  </si>
  <si>
    <t>UAPD officer had pulled the car over on a routine stop because of an improper registration. As he approached the vehicle, the driver produced a handgun, causing the officer to fire, police said.</t>
  </si>
  <si>
    <t>http://www.cleveland.com/metro/index.ssf/2013/05/university_of_akron_police_off.html</t>
  </si>
  <si>
    <t>Kourtney Hahn</t>
  </si>
  <si>
    <t>http://wcmh.images.worldnow.com/images/22254746_BG3.jpg</t>
  </si>
  <si>
    <t>N. High Street</t>
  </si>
  <si>
    <t>Clintonville</t>
  </si>
  <si>
    <t>43214</t>
  </si>
  <si>
    <t>Kourtney Hahn and her boyfriend, Emmanuel Gatewood, who shot dead by Columbus police in Clintonville knew that police were looking for Gatewood in connection with an April 5 homicide.</t>
  </si>
  <si>
    <t>http://www.dispatch.com/content/stories/local/2013/05/16/shootout-officers-identified.html</t>
  </si>
  <si>
    <t>Emmanuel Gatewood</t>
  </si>
  <si>
    <t>http://wcmh.images.worldnow.com/images/22254746_BG5.jpg</t>
  </si>
  <si>
    <t>Gatewood and his girlfriend, Kourtney Hahn, who shot dead by Columbus police in Clintonville knew that police were looking for Gatewood in connection with an April 5 homicide.</t>
  </si>
  <si>
    <t>Louis M. Squires</t>
  </si>
  <si>
    <t>http://media.masslive.com/breakingnews/photo/2013/05/12751976-large.jpg</t>
  </si>
  <si>
    <t>18 Braddock St.</t>
  </si>
  <si>
    <t>01109</t>
  </si>
  <si>
    <t>What began as a relationship dispute, escalated when property was destroyed and Squires fired a gun. Police intervened, shooting and killing Squires.</t>
  </si>
  <si>
    <t>http://www.masslive.com/news/index.ssf/2013/05/springfield_police_records_lou.html</t>
  </si>
  <si>
    <t>Jesus Espinosa</t>
  </si>
  <si>
    <t>24 Heath Street</t>
  </si>
  <si>
    <t>06106</t>
  </si>
  <si>
    <t>Hartford police responded to the report of a disturbance at 24 Heath Street. Officers arrived to find a trail of blood leading to the building and a suspect wielding a box cutter. He threatened police, and one of the officers shot him.</t>
  </si>
  <si>
    <t>http://www.ct.gov/despp/cwp/view.asp?Q=530106</t>
  </si>
  <si>
    <t>Ignacio Ochoa</t>
  </si>
  <si>
    <t>7238 Richfield St.</t>
  </si>
  <si>
    <t>Witnesses reported that Ochoa was riding his bike home after buying something to drink. He had his headphones on and couldn't hear a deputy's orders. A resident reported that the deputy handcuffed Ochoa, and shot him in the back of the head.</t>
  </si>
  <si>
    <t>http://therebelpress.com/articles/show?id=69</t>
  </si>
  <si>
    <t>Christopher Dubois</t>
  </si>
  <si>
    <t>http://usgunviolence.files.wordpress.com/2014/03/christopher-dubois.jpg?w=625</t>
  </si>
  <si>
    <t>2600 block South Federal Boulevard</t>
  </si>
  <si>
    <t>80219</t>
  </si>
  <si>
    <t>Officers tried to talk down the man with the gun, who was standing in the middle of Federal with a Chihuahua following at his heels. Several times, the man put the gun to his head and officers fired a less-lethal round bean-bag projectile. The gunman turned and ran toward a neighbor's house as police pursued him and eventually shot and killed him.</t>
  </si>
  <si>
    <t>http://www.denverpost.com/ci_23267097/coroner-identifies-man-shot-killed-by-denver-police</t>
  </si>
  <si>
    <t>Bobby Earl Driggers</t>
  </si>
  <si>
    <t>http://www.tampabay.com/resources/images/dti/rendered/2013/05/b2s_driggers051513_10774256_8col.jpg</t>
  </si>
  <si>
    <t>904 W. Wheeler Road</t>
  </si>
  <si>
    <t>33510</t>
  </si>
  <si>
    <t>According to the sheriff, the shooting happened while Driggers was struggling with a detective over that detective's gun. He was being arrested to be questioned on charges of grand theft auto and fraudulent use of a credit card.</t>
  </si>
  <si>
    <t>http://www.wfla.com/story/22249588/hillsborough-sheriff-says-deputy-shooting-involved-career-criminal</t>
  </si>
  <si>
    <t>Rodney Oneil Pike</t>
  </si>
  <si>
    <t>https://usgunviolence.files.wordpress.com/2014/02/rodney-pike.jpg?w=625</t>
  </si>
  <si>
    <t>5307 Pass Court</t>
  </si>
  <si>
    <t>Police were dispatched to the home after a caller reported Pike was in the area and had active warrants out of Forsyth County. He tried to flee, striking one officer with his car before police killed him. It was his mother who called, trying to get her druggie son some help.</t>
  </si>
  <si>
    <t>http://www.ajc.com/news/news/1-dead-in-officer-involved-shooting/nXqHk/</t>
  </si>
  <si>
    <t>Gerald "Skip" Tyrone Murphy</t>
  </si>
  <si>
    <t>http://binaryapi.ap.org/7f44409a56664c5a97185e0a1f2138fc/460x.jpg</t>
  </si>
  <si>
    <t>200 block Grand Street</t>
  </si>
  <si>
    <t>08611</t>
  </si>
  <si>
    <t>Trenton Police Department SWAT</t>
  </si>
  <si>
    <t>After a murder/hostage standoff involving at least three children, officers stormed the home, shooting and killing Murphy.</t>
  </si>
  <si>
    <t>http://www.nytimes.com/2013/05/13/nyregion/trenton-hostage-standoff.html?_r=0</t>
  </si>
  <si>
    <t>Rachael Kamin</t>
  </si>
  <si>
    <t>Rucker Avenue and Pacific Avenue</t>
  </si>
  <si>
    <t>Everett</t>
  </si>
  <si>
    <t>98201</t>
  </si>
  <si>
    <t>Bothell Police Department</t>
  </si>
  <si>
    <t>Nurse Kamin's car was hit so hard by a stolen pickup, in an extended high-speed chase with police, that it was catapulted into the air then slid on its side for a half a block. She died of injuries sustained in the collision. One of at least four fatal high-speed police chases in this county in 2013.</t>
  </si>
  <si>
    <t>http://www.heraldnet.com/article/20130516/NEWS01/705169867/0/SEARCH</t>
  </si>
  <si>
    <t>Andrew P. Bush</t>
  </si>
  <si>
    <t>4400 block El Paulo Ct.</t>
  </si>
  <si>
    <t>Oakville</t>
  </si>
  <si>
    <t>63129</t>
  </si>
  <si>
    <t>Two police officers arrived at Bush' apartment to check on a reported fight. He opened the door and pointed an assault rifle at them. They shot and killed him.</t>
  </si>
  <si>
    <t>http://blogs.riverfronttimes.com/dailyrft/2013/05/andrew_bush_assault_rifle_car_theft.php</t>
  </si>
  <si>
    <t>Jenny Lynn Borelis</t>
  </si>
  <si>
    <t>https://a2-images.myspacecdn.com/images03/35/76eafc179bae4f79aeb44e146212a181/300x300.jpg</t>
  </si>
  <si>
    <t>Long Ave</t>
  </si>
  <si>
    <t>Kelso</t>
  </si>
  <si>
    <t>98626</t>
  </si>
  <si>
    <t>Kelso Police Department</t>
  </si>
  <si>
    <t>Sgt. Khembar Yund chased and tasered Borelis for an unknown reason. She fell on her head. Several days later in jail, she collapsed, was examined in her cell, and left unattended until she stopped breathing. She was hospitalized for a head injury, and died the next day.</t>
  </si>
  <si>
    <t>http://tdn.com/news/local/woman-who-died-after-stay-at-county-jail-was-on/article_6509b6a8-fbde-11e2-b326-0019bb2963f4.html</t>
  </si>
  <si>
    <t>Rigoberto Arceo</t>
  </si>
  <si>
    <t>http://www.guerragutierrez.com/sitemaker/memsol_data/1722/987052/987052_profile_pic.jpg</t>
  </si>
  <si>
    <t>4105 block Walnut St</t>
  </si>
  <si>
    <t>Cudahy</t>
  </si>
  <si>
    <t>90201</t>
  </si>
  <si>
    <t>Rigoberto Arceo was killed by a Sheriff deputy in the city of Cudahy, on May 11, 2013, Mothers Day. The engaged 34 year old young father was returning home from a party, celebrating Mother's Day, when a Los Angeles County Sheriff’s Deputy, L Mendoza, ordered Rigo to the ground. Rigo with his hands raised in the air, was telling Deputy Mendoza that he did not have to do anything, when the deputy shot him once in the chest. In order to try and justify the shooting Deputy Mendoza is claiming that Rigo was trying to grab his gun. However, independent percipient witnesses who saw the shooting, describe Rigo as having his hands raised over his head when he was shot and that he was approximately 10 feet away from the deputy when the deputy shot and killed him.</t>
  </si>
  <si>
    <t>http://ktla.com/2013/05/13/family-of-man-killed-in-deputy-involved-cudahy-shooting-disputes-sheriffs-account-of-incident/</t>
  </si>
  <si>
    <t>Nathan D. Brokaw</t>
  </si>
  <si>
    <t>http://bloximages.chicago2.vip.townnews.com/journalstar.com/content/tncms/assets/v3/editorial/e/05/e059ac1a-70ad-5dc0-997b-a82e83e8d4c4/53efbdcb24861.preview-620.jpg</t>
  </si>
  <si>
    <t>300 7th st</t>
  </si>
  <si>
    <t>Stromsburg</t>
  </si>
  <si>
    <t>68666</t>
  </si>
  <si>
    <t>Nebraska State Patrol</t>
  </si>
  <si>
    <t>State Patrol was conducting surveillance on Brokaw and another man. State Patrol approched the men leading to a high speed chase. Brokaw's vehicle was rammed, ending the pursued. Brokaw fired his gun, State patrol rataliated gunfire, killing Borkaw</t>
  </si>
  <si>
    <t>http://journalstar.com/news/local/crime-and-courts/troopers-kill-man-after-pursuit-ends-in-exchange-of-shots/article_b9b3ddf0-15a9-54df-9555-3d712d00fbfe.html</t>
  </si>
  <si>
    <t>Terrance Terrell Franklin</t>
  </si>
  <si>
    <t>http://blogs.citypages.com/blotter/terrencefranklinrect.jpg</t>
  </si>
  <si>
    <t>2717 Bryant Avenue South</t>
  </si>
  <si>
    <t>55408</t>
  </si>
  <si>
    <t>Minneapolis Police Department</t>
  </si>
  <si>
    <t>After police chased Franklin, having identified him as a burglary suspect, he broke into a home. Police sent a dog in, and police followed. Two police were shot, although it was unclear who shot them. Franklin was shot and killed.</t>
  </si>
  <si>
    <t>http://blogs.citypages.com/blotter/2013/05/terrence_franklin_shot_multiple_times_by_mpd_but_its_unclear_whether_he_fired_a_shot_himself.php</t>
  </si>
  <si>
    <t>Ivan Romero Olivares</t>
  </si>
  <si>
    <t>http://extras.mnginteractive.com/live/media/site569/2013/0512/20130512__IvanRomero_motorcycle_200.JPG</t>
  </si>
  <si>
    <t>West 26th Street and Blaisdell Avenue</t>
  </si>
  <si>
    <t>55404</t>
  </si>
  <si>
    <t>Romero's motorcycle collided with a police SUV shortly after a police crisis in which two officers were shot and a suspect was killed. Romero reportedly had a green light and was proceeding through the intersection when he collided with the SUV. Police say the SUV had its sirens and lights activated at the time.</t>
  </si>
  <si>
    <t>No Charges</t>
  </si>
  <si>
    <t>http://www.myfoxphilly.com/story/23967768/minneapolis-police-update-ivan-romero-olivares-motorcycle-crash</t>
  </si>
  <si>
    <t>Jose Garcia</t>
  </si>
  <si>
    <t>Williams road and Augustine Road</t>
  </si>
  <si>
    <t>63025</t>
  </si>
  <si>
    <t>Police said Garcia had fled from Illinois State Police after multiple traffic violations earlier and fled again when a Missouri Highway Patrol trooper spotted him southeast of St. Clair on Interstate 44. Authorities used tire spikes to try to stop his car. Officers shot and killed him after Garcia accelerated his car and pointed a gun at them, the highway patrol said.</t>
  </si>
  <si>
    <t>http://www.stltoday.com/news/local/crime-and-courts/man-identified-in-fatal-shooting-by-police-in-eureka/article_356fc7c8-9577-5e30-a624-e742bbe747b4.html</t>
  </si>
  <si>
    <t>William McKnight</t>
  </si>
  <si>
    <t>Springcrest Street and Almond Drive</t>
  </si>
  <si>
    <t>William McKnight and two accomplices robbed a bank, but the FBI Safe Streets Task Force were nearby. They caught up with them in a nearby neighborhood and shot it out, killing McKnight.</t>
  </si>
  <si>
    <t>http://fox59.com/2013/05/13/investigators-release-names-of-bank-robbery-suspects/#axzz34MbRgjQi</t>
  </si>
  <si>
    <t>Tony Starnes</t>
  </si>
  <si>
    <t>10910 North Main Street</t>
  </si>
  <si>
    <t>60071</t>
  </si>
  <si>
    <t>McHenry</t>
  </si>
  <si>
    <t>Starnes was shot and killed by agents as they interrupted a bank robbery. Agents observed two suspects drive north from Chicago across the Wisconsin border, join with Starnes in a stolen Honda Civic with stolen plates, then return across the state line to the parking lot of a branch bank in Richmond, Illinois. While being apprehended Starnes reportedly rammed police vehicles in an escape attempt and was fatally shot.</t>
  </si>
  <si>
    <t>http://www.fbi.gov/chicago/press-releases/2013/charges-filed-in-connection-with-fbi-shooting-incident</t>
  </si>
  <si>
    <t>Charles Burns</t>
  </si>
  <si>
    <t>http://extras.mnginteractive.com/live/media/site571/2013/0530/20130530__ecct05xxburns~1_GALLERY.JPG</t>
  </si>
  <si>
    <t>Barcelona Circle and Buchanan Road</t>
  </si>
  <si>
    <t>Concord police were conducting surveillance of a suspect's home. Detectives had obtained a warrant for Burns for alleged drug sales, authorities said. During the stakeout, Burns came out of his home and got into a truck driven by another man. As detectives tried to contact Burns, the driver of the truck rammed an occupied police vehicle. Burns then ran from the truck. Two officers shot and killed him.</t>
  </si>
  <si>
    <t>http://martinez.patch.com/groups/police-and-fire/p/investigators-recount-details-of-officerinvolved-shooting-of-unarmed-man</t>
  </si>
  <si>
    <t>Candace Jackson</t>
  </si>
  <si>
    <t>http://bloximages.chicago2.vip.townnews.com/news-journal.com/content/tncms/assets/v3/editorial/1/2f/12f273d0-b97d-11e2-b761-001a4bcf887a/518d034691378.image.jpg</t>
  </si>
  <si>
    <t>2000 block Eden Drive</t>
  </si>
  <si>
    <t>Police authorities in Longview, Texas were embroiled in a standoff with an armed suspect for several hours yesterday. Late in the day, police —according to police reports— fired on and killed Candace Jackson, 38, as she exited the house and fired upon officers nearby.</t>
  </si>
  <si>
    <t>http://www.news-journal.com/news/police/longview-police-shoot-kill-suspect-after-being-fired-on-during/article_539cdedd-2830-5ae2-83c4-29c6bae1eca7.html</t>
  </si>
  <si>
    <t>Marlon Brown</t>
  </si>
  <si>
    <t>http://www.news-journalonline.com/apps/pbcsi.dll/bilde?Site=DN&amp;Date=20130508&amp;Category=NEWS&amp;ArtNo=130509801&amp;Ref=EP&amp;Profile=1025&amp;NewTbl=1&amp;item=1&amp;MaxW=728&amp;logo=/images/watermark.gif&amp;logoxpos=0&amp;logoypos=0</t>
  </si>
  <si>
    <t>901 S. Delaware Ave.</t>
  </si>
  <si>
    <t>Deland</t>
  </si>
  <si>
    <t>32720</t>
  </si>
  <si>
    <t>DeLand Police Department</t>
  </si>
  <si>
    <t>Marlon Brown fled from an attempted traffic stop, first in the vehicle he was driving, and then on foot. A minute later, as Brown ran through a field, two DeLand police officers who heard the call over the radio followed in their patrol cars. One of the police cars ended up knocking down a fence at the end of the field, and Brown ended up dead under the car.</t>
  </si>
  <si>
    <t>http://www.news-journalonline.com/article/20130508/NEWS/130509801?Title=Man-fleeing-police-run-over-by-DeLand-patrol-car</t>
  </si>
  <si>
    <t>Alberto F. Valdes</t>
  </si>
  <si>
    <t>611 NW Bronco Terrace</t>
  </si>
  <si>
    <t>Columbia County Multi-Jurisdictional Task Force</t>
  </si>
  <si>
    <t>Police attempted to make contact with persons residing in the home as part of a narcotics investigation. Valdes exited the house armed with a shotgun. The deputies ordered him to drop the weapon several times, but Valdes ignored the commands and fired at the deputies. Police returned fire, killing Valdes.</t>
  </si>
  <si>
    <t>http://www.firstcoastnews.com/news/article/312682/3/Police-involved-shooting-in-Columbia-County</t>
  </si>
  <si>
    <t>Bryan Snyder Valle</t>
  </si>
  <si>
    <t>Carnegie Drive and Hospitality Lane</t>
  </si>
  <si>
    <t>California Highway Patrol, San Bernardino Sheriff's Office</t>
  </si>
  <si>
    <t>After a carjacking that resulted in the death of Obette Lacap, a high speed pursuit, Bryan Snyder Valle and his accomplice crashed, came out shooting and was killed.</t>
  </si>
  <si>
    <t>http://205.234.241.62/balitangamerica/family-mourns-fil-am-killed-in-attempted-car-jacking/</t>
  </si>
  <si>
    <t>Southwest Philadelphia</t>
  </si>
  <si>
    <t>19142</t>
  </si>
  <si>
    <t>Police killed a man when he allegedly pulled out a gun while they were pursuing him for an unspecified reason.</t>
  </si>
  <si>
    <t>http://www.metro.us/local/police-shoot-kill-man-in-southwest-philadelphia/tmWmej---3fnjMDUtul2Y/</t>
  </si>
  <si>
    <t>Jacqueline Reynolds</t>
  </si>
  <si>
    <t>http://hwchicago.s3.amazonaws.com/cache/photos/2013/05/11/imgres/225x300/bb9f3fd918cca0f35bd23e66d1f54dea.jpg</t>
  </si>
  <si>
    <t>East 76th St, and South Yates Boulevard</t>
  </si>
  <si>
    <t>Reynolds died after her vehicle was struck by a SUV driven by officers chasing suspects in a home invasion.</t>
  </si>
  <si>
    <t>Prosecutors charged Timothy Jones with the murder of Reynolds. Police was chasing Jones when the car crash occured.</t>
  </si>
  <si>
    <t>http://www.nbcchicago.com/news/local/chicago-police-crash-76-south-yates-206642881.html</t>
  </si>
  <si>
    <t>N.W. 59 Street &amp; N.W. 35 Avenue</t>
  </si>
  <si>
    <t>Routine patrol in a warehouse district revealed a car that police found suspicious, and its driver who reportedly would not cooperate during a traffic stop and who made an "abrupt movement". The officer shot him to death. The car turned up stolen. Police reports did not disclose the victim's name or make it clear whether he was armed.</t>
  </si>
  <si>
    <t>http://www.miamidade.gov/police/releases/PD130508168842_Police_Involved_Shooting.asp</t>
  </si>
  <si>
    <t>Thomas Edward Pulst</t>
  </si>
  <si>
    <t>http://usgunviolence.files.wordpress.com/2014/02/thomas-edward-pulst.jpg?w=625</t>
  </si>
  <si>
    <t>2700 block Carmel Drive</t>
  </si>
  <si>
    <t>Great Falls</t>
  </si>
  <si>
    <t>59404</t>
  </si>
  <si>
    <t>Cascade County Sheriff’s Office</t>
  </si>
  <si>
    <t>Federal, state and local officers were attempting to serve a felony warrant on Thomas Edward Pulst. Pulst fired toward officers from a room through a closed door, agency spokesman John Barnes said. He then fled the room with two handguns and ran out a back door, where two officers were waiting. Pulst fired at the officers, who returned fire, hitting and killing him, the agency statement said.</t>
  </si>
  <si>
    <t>http://www.krtv.com/news/inquest-determines-officers-were-justified-in-great-falls-shooting-death/</t>
  </si>
  <si>
    <t>David Sal Silva</t>
  </si>
  <si>
    <t>http://i.dailymail.co.uk/i/pix/2013/05/14/article-2324402-19C65605000005DC-653_306x423.jpg</t>
  </si>
  <si>
    <t>Flower Street and Palm Drive</t>
  </si>
  <si>
    <t>A father was beaten to death, the sheriff, of whom's men beat the man to death, which also happens to be the coroner, ruled the cause of death an accident.</t>
  </si>
  <si>
    <t>http://www.dailymail.co.uk/news/article-2324402/David-Silva-death-Shocking-video-shows-moment-father-beaten-death-COPS-witnesses-accuse-police-cover-up.html#comments</t>
  </si>
  <si>
    <t>Kendra Diggs</t>
  </si>
  <si>
    <t>http://www.wyliefh.com/ObituaryPhoto.php?id=1874</t>
  </si>
  <si>
    <t>1100 block N. Parrish St.</t>
  </si>
  <si>
    <t>Dibbs was killed by her fiance, an Baltimore City police officer. He later committed suicide in jail.</t>
  </si>
  <si>
    <t>http://articles.baltimoresun.com/2013-05-08/news/bs-md-officer-charged-20130508_1_james-smith-west-baltimore-officers</t>
  </si>
  <si>
    <t>Carlos Domingo Oquendo</t>
  </si>
  <si>
    <t>http://bloximages.newyork1.vip.townnews.com/dailycommercial.com/content/tncms/assets/v3/editorial/c/bf/cbfacc21-577c-52a9-a0ef-a52fa59b04b7/5238cf4204bc1.preview-300.jpg</t>
  </si>
  <si>
    <t>Lucerne Circle and Euclid Avenue</t>
  </si>
  <si>
    <t>Police said the officers gave repeated commands to Oquendo to exit his vehicle and show his hands, but he refused to comply. Oquendo then put the car in reverse and accelerated toward the officers, striking a tree and the marked patrol vehicle, Leesburg police said. Dunagan fired at Oquendo during the incident, striking and killing him.</t>
  </si>
  <si>
    <t>http://www.dailycommercial.com/news/article_f35898c5-3f26-5ec7-bf3a-9a8935815123.html</t>
  </si>
  <si>
    <t>Danny Valdes</t>
  </si>
  <si>
    <t>Northwest 59th Street and 35th Avenue</t>
  </si>
  <si>
    <t>Police believed Danny Valdes was driving a stolen Nissan in Liberty City when patrol officers tried pulling him over. He led them on a short chase. When he stopped, he was reaching under the seat when they shot and killed him.</t>
  </si>
  <si>
    <t>http://www.miamiherald.com/2013/05/10/3391600/motorist-killed-by-miami-dade.html</t>
  </si>
  <si>
    <t>Saan Pao Saeteurn</t>
  </si>
  <si>
    <t>http://crimevoice.com/wp-content/uploads/2013/05/Saan-Pao-Saeteurn-32.jpg</t>
  </si>
  <si>
    <t>Kellogg St and Walnut streets</t>
  </si>
  <si>
    <t>Saan Pao Saeteurn was shot and killed by police after brandishing a pellet gun at them. The pellet gun was designed to look like an authentic rifle.</t>
  </si>
  <si>
    <t>http://www.ktvu.com/news/news/crime-law/police-say-man-gun-shot-boat-launch-thursday-was-i/nXjM2/</t>
  </si>
  <si>
    <t>Tywon Jones</t>
  </si>
  <si>
    <t>http://usgunviolence.files.wordpress.com/2014/02/tywon-jones1.jpg?w=625</t>
  </si>
  <si>
    <t>1300 block South Independence Boulevard</t>
  </si>
  <si>
    <t>A 16-year-old boy was riding his bike and shooting at people. Police shot and killed him.</t>
  </si>
  <si>
    <t>http://articles.chicagotribune.com/2013-05-05/news/chi-police-on-scene-of-lawndale-disturbance-20130505_1_squad-car-police-officers-offender</t>
  </si>
  <si>
    <t>Deion Fludd</t>
  </si>
  <si>
    <t>http://i.dailymail.co.uk/i/pix/2014/04/11/article-2602790-1D09777F00000578-127_634x524.jpg</t>
  </si>
  <si>
    <t>Rockaway Avenue and Fulton Street</t>
  </si>
  <si>
    <t>11233</t>
  </si>
  <si>
    <t>Fludd was chased and arrested for jumping a subway turnstile. As a result of the incident he was paralyzed and died two months later. The police describe him as being hit by a train while fleeing. From his deathbed Fludd said he was beaten with police flashlights and hauled onto the tracks.</t>
  </si>
  <si>
    <t>http://www.dailymail.co.uk/news/article-2602790/Heartbroken-mother-sues-NYPD-using-excessive-force-causing-sons-death.html</t>
  </si>
  <si>
    <t>Marquis James Spencer</t>
  </si>
  <si>
    <t>http://www.mynews13.com/content/dam/news/images/2013/05/Marquis-Spencer-0504.jpg</t>
  </si>
  <si>
    <t>Kirkman Road and Raleigh Street</t>
  </si>
  <si>
    <t>32835</t>
  </si>
  <si>
    <t>Officers initiated a traffic stop on a vehicle that had rammed a police vehicle multiple times and fled. Orlando Police Department spokesman said the suspects' vehicle crashed at Raleigh Street and Resource Avenue. A passenger exchanged gunfire with police officers as he fled from the vehicle. As shots were fired, the driver, Marquis James Spencer, 21, was killed.</t>
  </si>
  <si>
    <t>http://www.wesh.com/news/central-florida/orange-county/opd-looks-for-armed-man-after-officerinvolved-shooting/20012110#!WM7X6</t>
  </si>
  <si>
    <t>Pedro Martinez Campos</t>
  </si>
  <si>
    <t>Washington Avenue and North Citrus Avenue</t>
  </si>
  <si>
    <t>92027</t>
  </si>
  <si>
    <t>Escondido Police Department</t>
  </si>
  <si>
    <t>Campos threatened to cut his own stomach, then walked toward the officers, who backed away hundreds of feet down nearby Trovita Court. He refused to drop the knife, and officers used a Taser, but he continued forward. They shot Campos after he came within 10 feet and charged one of them.</t>
  </si>
  <si>
    <t>http://www.utsandiego.com/news/2013/May/08/Escondido-police-identify-man-Campos/</t>
  </si>
  <si>
    <t>Northwest 114th Street and 27th Avenue</t>
  </si>
  <si>
    <t>33167</t>
  </si>
  <si>
    <t>Passengers on bus called police to report armed man brandishing a gun. Police arrived and exchanged gunfire, wounding man. Man was also holding novelty grenade. Shooting occurred near college campus.</t>
  </si>
  <si>
    <t>http://www.nbcmiami.com/news/local/Miami-Dade-Police-Investigating-Shooting-By-Miami-Dade-College-North-Campus-206117031.html</t>
  </si>
  <si>
    <t>Linwood R. Lambert Jr.</t>
  </si>
  <si>
    <t>1040 Bill Tuck Highway</t>
  </si>
  <si>
    <t>South Boston</t>
  </si>
  <si>
    <t>24592</t>
  </si>
  <si>
    <t>South Boston Police</t>
  </si>
  <si>
    <t>Police were called to Motel 8 where Lambert was causing a disturbance. Police took Lambert to hospital for evaluation. At the hospital, Lambert suffered a "medical emergency" and died. Virginia State Police investigated the case. Results unknown at this time.</t>
  </si>
  <si>
    <t>http://www.sovanow.com/index.php?/news/article/state_police_probe_death_of_man_in_south_boston_police_custody</t>
  </si>
  <si>
    <t>Josiah M. Fischer</t>
  </si>
  <si>
    <t>Stone Road and Hazen Road</t>
  </si>
  <si>
    <t>97053</t>
  </si>
  <si>
    <t>After a high-speed chase, Fischer crashed and an officer shot him after seeing a gun.</t>
  </si>
  <si>
    <t>http://www.katu.com/news/local/Police-shoot-kill-woman-after-pursuit-near-St-Helens-206067741.html</t>
  </si>
  <si>
    <t>Carnell Moore</t>
  </si>
  <si>
    <t>http://www.ourtribune.com/article_images/15185.1.jpg</t>
  </si>
  <si>
    <t>Terminal B at Bush Intercontinental Airport</t>
  </si>
  <si>
    <t>77032</t>
  </si>
  <si>
    <t>Department of Homeland Security</t>
  </si>
  <si>
    <t>Moore fired shots into ceiling at Terminal B at Bush Intercontinental Airport. A Department of Homeland Security officer shot him, before Moore shot himself in the head.</t>
  </si>
  <si>
    <t>http://www.chron.com/news/houston-texas/houston/article/Houston-police-say-airport-shooter-kidnapped-4486592.php?cmpid=hpfsln</t>
  </si>
  <si>
    <t>Ryan Koontz</t>
  </si>
  <si>
    <t>http://lintvwane.files.wordpress.com/2014/01/ryan-koontz1.jpg?w=307</t>
  </si>
  <si>
    <t>7700-block Weymouth Court</t>
  </si>
  <si>
    <t>46825</t>
  </si>
  <si>
    <t>Officers went to the house because of a disturbance. Koontz was on drugs and suicidal, and started shoot at police before they got in the house. He made a break for it in a car, chasing an officer across a neighbor's lawn in the car. He got out of the car and was shot and killed.</t>
  </si>
  <si>
    <t>http://wane.com/2013/05/03/gunman-idd-in-fatal-police-shooting/</t>
  </si>
  <si>
    <t>Clifton Armstrong</t>
  </si>
  <si>
    <t>http://cdn2.newsok.biz/cache/r960-n_d467220cba02b26e8ab6a8e0d3cce6aa.jpg</t>
  </si>
  <si>
    <t>1421 NW 99 St</t>
  </si>
  <si>
    <t>Officers responded to a call about a possible suicide attempt. Armstrong's sister said her brother called police on himself. He was talked into a squad car before changing his mind and going back toward the house. When officers tried to get him back into the car, the physical confrontation ensued. At some point, he stripped off his clothes. Officers placed Armstrong in handcuffs and used belts to restrain his leg movement. When Armstrong became unresponsive, Paramedics performed CPR. He was pronounced dead after 40 minutes. Family members said they saw grass up his nose.</t>
  </si>
  <si>
    <t>http://newsok.com/man-dies-after-oklahoma-city-police-family-try-to-subdue-him/article/3805618</t>
  </si>
  <si>
    <t>Julio Colon</t>
  </si>
  <si>
    <t>3290 Balltown Road</t>
  </si>
  <si>
    <t>Schenectady</t>
  </si>
  <si>
    <t>12304</t>
  </si>
  <si>
    <t>Schenectady Police Department</t>
  </si>
  <si>
    <t>The man shot held a knife to the chest of a man, whom he'd already stabbed.</t>
  </si>
  <si>
    <t>http://www.news10.com/story/22141329/police-involved-shooting-on-balltown-road</t>
  </si>
  <si>
    <t>Jamie Coyle</t>
  </si>
  <si>
    <t>http://www.pawtuckettimes.com/sites/default/files/JAMIE%20COYLE%20MONDAY%20OBIT%20PIC.jpg</t>
  </si>
  <si>
    <t>Sherman Street</t>
  </si>
  <si>
    <t>Pawtucket</t>
  </si>
  <si>
    <t>02860</t>
  </si>
  <si>
    <t>Pawtucket Police Department</t>
  </si>
  <si>
    <t>Coyle was shot by two police officers who say they feared for their lives when Coyle got out of his car and pulled a gun on them.</t>
  </si>
  <si>
    <t>http://masscops.com/threads/pawtucket-ri-police-shoot-man-in-car-stop.107499/</t>
  </si>
  <si>
    <t>Jordan West-Morson</t>
  </si>
  <si>
    <t>http://michigancitizen.com/mc/wp-content/uploads/2013/06/3-VICTIM.gif</t>
  </si>
  <si>
    <t>Eight Mile &amp; Gratiot</t>
  </si>
  <si>
    <t>48205</t>
  </si>
  <si>
    <t>Detroit Transportation Corporation</t>
  </si>
  <si>
    <t>A scuffle apparently broke out at a gas station where the musician was selling CDs. The off-duty officer shot and killed him, claiming he went for his gun.</t>
  </si>
  <si>
    <t>http://www.clickondetroit.com/news/detroit-transit-officer-charged-in-fatal-shooting/21997824</t>
  </si>
  <si>
    <t>Lawrence Edward Graham III</t>
  </si>
  <si>
    <t>http://wwwcache.wral.com/asset/news/local/2013/05/01/12402093/graham-300x225.jpg</t>
  </si>
  <si>
    <t>Lakecrest Drive and Sourwood Drive</t>
  </si>
  <si>
    <t>28301</t>
  </si>
  <si>
    <t>During a traffic stop for a window-tint violation, Graham, who was a passenger in the vehicle, exited, pursued by officer. Graham turned, displaying a handgun, and officer shot him. Graham was paralyzed, and died July 2 from a blot-clot related to injuries.</t>
  </si>
  <si>
    <t>http://www.fayobserver.com/news/local/cumberland-county-da-says-no-charges-for-fayetteville-police-officer/article_ed8e655f-c2a0-5549-9ef4-f9f979efd901.html</t>
  </si>
  <si>
    <t>Kenneth Bernard Williams</t>
  </si>
  <si>
    <t>263 E 5th St</t>
  </si>
  <si>
    <t>As reported to the Los Angeles Times, Kenneth Bernard Williams, 55, died after being shot in Downtown, according to Los Angeles County coroner's records.</t>
  </si>
  <si>
    <t>http://homicide.latimes.com/post/kenneth-bernard-williams/</t>
  </si>
  <si>
    <t>Homeless person known as "Kenny"</t>
  </si>
  <si>
    <t>E 5th St &amp; Wall St</t>
  </si>
  <si>
    <t>An undercover detective saw what he thought was an armed robbery at a store. The suspect had a gun. He ran and was shot by the detective. Universal Network News posted a video on YouTube, reporting the homeless man was called "Kenny." https://www.youtube.com/watch?v=g7hD8g34qNw</t>
  </si>
  <si>
    <t>http://www.nbclosangeles.com/news/local/Police-Shoot-Kill-Suspect-in-Skid-Row-Prompting-Angry-Crowd-to-Gather-205646861.html</t>
  </si>
  <si>
    <t>Christopher Lane Nash</t>
  </si>
  <si>
    <t>Church Street</t>
  </si>
  <si>
    <t>75460</t>
  </si>
  <si>
    <t>Paris Police Department, Lamar County Sheriff’s Office</t>
  </si>
  <si>
    <t>A Paris police officer shot Nash after he rammed a police vehicle with his truck as officers moved in to arrest him during a joint investigation by the Paris Police Department and Lamar County Sheriff’s Office into a large amount of illicit drugs being delivered to the Paris area.</t>
  </si>
  <si>
    <t>http://www.eparisextra.com/911/scene-of-the-crime/2013/05/03/police-release-name-of-drug-suspect-killed-by-officer-in-wednesday-night-shooting-in-paris/65612</t>
  </si>
  <si>
    <t>Eddie Callaway</t>
  </si>
  <si>
    <t>http://o.aolcdn.com/dims-shared/dims3/PATCH/format/jpg/quality/82/resize/433x295/http://hss-prod.hss.aol.com/hss/storage/patch/b3059ecb92f85fa6109a83053da65c95</t>
  </si>
  <si>
    <t>B-Line trail</t>
  </si>
  <si>
    <t>47403</t>
  </si>
  <si>
    <t>Indian State Police, Bloomington Police Department</t>
  </si>
  <si>
    <t>An eight-day, two-state manhunt for a man accused of killing his girlfriend in Waukesha ended Tuesday night on a bicycle path in Indiana with a single, self-inflicted gunshot.</t>
  </si>
  <si>
    <t>http://www.wisn.com/news/south-east-wisconsin/waukesha/indiana-police-shooting-victim-is-eddie-callaway/19967686#!WGq7m</t>
  </si>
  <si>
    <t>Edward Ramirez</t>
  </si>
  <si>
    <t>500 block Fairview Avenue</t>
  </si>
  <si>
    <t>Ramirez carjacked a vehicle. About five hours later, police caught up with him. He went into an apartment building and took hostages, before being shot by SWAT.</t>
  </si>
  <si>
    <t>http://egpnews.com/2013/05/suspect-in-boyle-heights-fatal-standoff-identified/</t>
  </si>
  <si>
    <t>Gary Dean Carty</t>
  </si>
  <si>
    <t>100 block Paul Stanley Road</t>
  </si>
  <si>
    <t>Coeburn</t>
  </si>
  <si>
    <t>24230</t>
  </si>
  <si>
    <t>Dickenson</t>
  </si>
  <si>
    <t>Dickenson County Sheriff's Office</t>
  </si>
  <si>
    <t>State police say 60-year-old Gary Dean Carty of Clintwood died after being shot by a Dickenson County deputy. Police say the deputy was responding to a report of an assault early Tuesday morning when Carty pulled out a knife and charged at him. The deputy fired at the man, who died after being flown to a Bristol hospital.</t>
  </si>
  <si>
    <t>http://www.timesnews.net/article/9061112/vsp-probes-two-police-shootings-dickenson-co-man-dead</t>
  </si>
  <si>
    <t>Old Mescalero Road and First Street</t>
  </si>
  <si>
    <t>Tularosa</t>
  </si>
  <si>
    <t>88352</t>
  </si>
  <si>
    <t>Tularosa Police Department</t>
  </si>
  <si>
    <t>Tularosa police were patrolling neighborhoods during a blackout caused by a fire. A Tularosa police officer recognized Vigil while he was checking on the elementary school, believing Vigil had a warrant for his arrest, he attempted to stop him. According to police, Vigil kept walking when the officer ordered him to stop. Vigil eventually stopped, but kept digging in his pockets after the officer told him to show his hands. The report indicates the Tularosa officer first pulled his Taser gun, but when the officer saw Vigil pull out the .22 caliber Crickett, the officer drew his gun. Gunfire was exchanged, Virgil was killed.</t>
  </si>
  <si>
    <t>http://www.alamogordonews.com/ci_23931097/grand-jury-finds-no-wrongdoing-tularosa-police-shooting</t>
  </si>
  <si>
    <t>Jayson Leon Carmickle</t>
  </si>
  <si>
    <t>http://img.ksl.com/slc/2506/250697/25069795.jpg?filter=ksl/pgallery</t>
  </si>
  <si>
    <t>54 W Main St</t>
  </si>
  <si>
    <t>Vernal</t>
  </si>
  <si>
    <t>84078</t>
  </si>
  <si>
    <t>Uintah</t>
  </si>
  <si>
    <t>Vernal Police Department</t>
  </si>
  <si>
    <t>Officers responding to calls of a man attempting to break into a pickup truck found Carmickle, and used a taser to subdue him after he rebuked attempts to physically restrain him. Carmickle was arrested and placed in a holding cell, but police discovered him unresponsive and moved him to a hospital, where he died several days later.</t>
  </si>
  <si>
    <t>http://www.deseretnews.com/article/865579530/Vernal-man-dies-3-days-after-officer-deployed-a-Taser.html</t>
  </si>
  <si>
    <t>Alexis Diaz</t>
  </si>
  <si>
    <t>Orange Blossom Trail and Holden Avenue</t>
  </si>
  <si>
    <t>32839</t>
  </si>
  <si>
    <t>With a considerable small-time criminal record, Diaz was acting erratically and aggressively near a motel in the early evening. Responding county deputies shot him to death although Diaz was armed only with a pellet gun.</t>
  </si>
  <si>
    <t>http://articles.orlandosentinel.com/2013-05-01/news/os-alexis-diaz-shooting-killed-20130501_1_deputies-jane-watrel-brian-tracy</t>
  </si>
  <si>
    <t>Todd Jones</t>
  </si>
  <si>
    <t>9900 block Beach Boulevard</t>
  </si>
  <si>
    <t>32246</t>
  </si>
  <si>
    <t>Three officers shot and killed Jones after police said he stabbed his stepfather, then later charged an officer while holding a pellet gun following a nearly two-hour standoff.</t>
  </si>
  <si>
    <t>http://www.news4jax.com/news/3-officers-shoot-kill-man-in-suicide-by-cop/19968562</t>
  </si>
  <si>
    <t>Ross Darkis</t>
  </si>
  <si>
    <t>42</t>
  </si>
  <si>
    <t>215 Wilbur Street</t>
  </si>
  <si>
    <t>Vincennes</t>
  </si>
  <si>
    <t>47591</t>
  </si>
  <si>
    <t>Officers trying to subdue a man with a gun fatally shot him Monday night on his front porch. Police say Ross Darkis, 42, threatened them with the gun and was shot multiple times. He later died at the hospital.</t>
  </si>
  <si>
    <t>https://local.nixle.com/alert/4994687/</t>
  </si>
  <si>
    <t>300 block West Courtland Street</t>
  </si>
  <si>
    <t>19140</t>
  </si>
  <si>
    <t>Uniformed officers in a marked patrol vehicle responded to a radio call for a “Person Screaming, Person with a Weapon.” Upon arrival, the officers observed a male straddling a female with a knife at her neck. The offender stood-up and came toward the officers with the knife in his hand. The officers ordered the offender to drop the knife, but he did not. One officer discharged his weapon, striking the offender. The offender was pronounced dead at the scene. Unbelievably, Philadelphia police do not identify people they kill or the officers who kill them.</t>
  </si>
  <si>
    <t>http://www.phillypolice.com/news/police-officer-involved-shootings/</t>
  </si>
  <si>
    <t>Jesse Delgadillo</t>
  </si>
  <si>
    <t>Artesia Boulevard and Butler Avenue</t>
  </si>
  <si>
    <t>The Long Beach Police Department responded to reports of a man with a gun. After locating the a suspect matching the description, a foot pursuit began. During the chase, police said, the suspect produced a handgun, at which time police shot the man.</t>
  </si>
  <si>
    <t>http://www.presstelegram.com/general-news/20130501/man-shot-by-long-beach-police-on-sunday-identified</t>
  </si>
  <si>
    <t>Pamela Dale Kirk</t>
  </si>
  <si>
    <t>53</t>
  </si>
  <si>
    <t>http://www.baynews9.com/content/dam/news/images/2013/04/Pamela-Kirk.JPG</t>
  </si>
  <si>
    <t>2630 13th Ave. N</t>
  </si>
  <si>
    <t>Two officers - a field training officer and a trainee - were dispatched after a person called to say she was concerned about a neighbor. After knocking on the front door and getting no response, the uniformed police officer went to the rear of the home and knocked on the back door. According to the report, a woman standing inside the home near the back door raised a curtain on a large adjacent window and pointed a silver Smith &amp; Wesson .38 Special revolver at the officer. The officer then fired three times through the window, killing her.</t>
  </si>
  <si>
    <t>http://tbo.com/pinellas-county/st-pete-police-id-mentally-ill-woman-officer-shot-and-killed-b82484836z1</t>
  </si>
  <si>
    <t>Tavontae Jamar Haney</t>
  </si>
  <si>
    <t>http://lintvwane.files.wordpress.com/2014/01/tavontae-jamar-haney-19-fort-wayne.jpg?w=261</t>
  </si>
  <si>
    <t>4300 block Spatz Avenue</t>
  </si>
  <si>
    <t>46806</t>
  </si>
  <si>
    <t>Haney ran from a traffic stop, carrying a gun, police said. They chased him down an alley, shooting and killing him.</t>
  </si>
  <si>
    <t>http://wane.com/2013/04/27/man-fatally-shot-by-police-on-spatz-avenue-identified/</t>
  </si>
  <si>
    <t>Gabriel Winzer</t>
  </si>
  <si>
    <t>http://2.bp.blogspot.com/-M_ZwJK3qi98/UX1qNPiJuZI/AAAAAAAAADc/xoa2oiMA_ik/s1600/Gabriel+Winzer+Kaufman+County+Tx.jpg</t>
  </si>
  <si>
    <t>County Road 316A</t>
  </si>
  <si>
    <t>Frog</t>
  </si>
  <si>
    <t>75161</t>
  </si>
  <si>
    <t>Kaufman</t>
  </si>
  <si>
    <t>Kaufman County Sheriff’s Office</t>
  </si>
  <si>
    <t>Deputies responded to a report of a man with a gun, firing the weapon and threatening citizens on County Road 316. After a chase, they shot and killed him.</t>
  </si>
  <si>
    <t>http://www.nbcdfw.com/news/local/Deadly-Shootout-in-Kaufman-County-Leaves-One-Dead-205033091.html</t>
  </si>
  <si>
    <t>Jean N. Printemps</t>
  </si>
  <si>
    <t>Southwest 100th Terrace and 21st Street</t>
  </si>
  <si>
    <t>Miramar</t>
  </si>
  <si>
    <t>Printemps allegedly carjacked a car. Later, Miramar PD caught up with him. A gunbattle ensued, and Printemps was killed.</t>
  </si>
  <si>
    <t>http://articles.sun-sentinel.com/2013-05-01/news/fl-miramar-police-involved-20130501_1_miramar-police-tania-rues-armed-carjacking-suspect</t>
  </si>
  <si>
    <t>Maria Zarco</t>
  </si>
  <si>
    <t>6800 block Quebec Court</t>
  </si>
  <si>
    <t>92139</t>
  </si>
  <si>
    <t>Officials identified the woman shot and killed Saturday by a San Diego police officer after she allegedly stabbed her boyfriend and 9-year-old son and raised the knife at the officer. According to witnesses, she was screaming religious words about judgement day.</t>
  </si>
  <si>
    <t>http://www.nbcsandiego.com/news/local/Officer-Involved-Shooting-Suspect-Identified-Maria-Zarco-205403401.html</t>
  </si>
  <si>
    <t>http://www.trbimg.com/img-517d23c2/turbine/bs-md-aa-officer-killed-crash-20130427-001/599/338x599</t>
  </si>
  <si>
    <t>Catherine Avenue near Route 100</t>
  </si>
  <si>
    <t>Pasadena</t>
  </si>
  <si>
    <t>21122</t>
  </si>
  <si>
    <t>Bladensburg Police Department</t>
  </si>
  <si>
    <t>An off-duty police officer who died following a car crash in Pasadena on Saturday morning had shot himself first, according to the Anne Arundel County Police Department. Bladensburg Police Officer Brian Johnson, 38, was driving a marked police car on eastbound Route 100 near Catherine Avenue when it veered across the median and struck an oncoming vehicle, police said.</t>
  </si>
  <si>
    <t>http://www.huffingtonpost.com/2013/04/30/maryland-officer-shot-himself-before-car-crash_n_3179277.html</t>
  </si>
  <si>
    <t>Dennis Lawrence</t>
  </si>
  <si>
    <t>http://usgunviolence.files.wordpress.com/2014/02/dennis-lawrence.jpg?w=625</t>
  </si>
  <si>
    <t>2626 Tanner Holler Road</t>
  </si>
  <si>
    <t>72556</t>
  </si>
  <si>
    <t>Izard</t>
  </si>
  <si>
    <t>Izard County Sheriff's Department</t>
  </si>
  <si>
    <t>Accused of shooting his wife, Lawrence was killed by officers during the investigation into the incident.</t>
  </si>
  <si>
    <t>http://www.areawidenews.com/story/1964948.html</t>
  </si>
  <si>
    <t>Chris G. Nowicki</t>
  </si>
  <si>
    <t>http://ak-cache.legacy.net/legacy/images/cobrands/jsonline/photos/0004209341-01-1_231256.jpgx?w=130&amp;h=180&amp;option=1&amp;v=0x000000002aa24899</t>
  </si>
  <si>
    <t>2600 block S. 71st St.</t>
  </si>
  <si>
    <t>53219</t>
  </si>
  <si>
    <t>Police say officers found Nowicki standing outside holding two butcher knives. They say he ignored commands to drop the knives and began advancing on the officers, one of whom opened fire.</t>
  </si>
  <si>
    <t>http://www.jsonline.com/news/milwaukee/milwaukee-police-identify-man-shot-by-officers-after-threats-rs9onnl-205281201.html</t>
  </si>
  <si>
    <t>Cody Point</t>
  </si>
  <si>
    <t>http://ak-cache.legacy.net/legacy/images/Cobrands/HoustonChronicle/Photos/W0080357-1_20130502.jpg</t>
  </si>
  <si>
    <t>7044 FM 1960 East</t>
  </si>
  <si>
    <t>Atascocita</t>
  </si>
  <si>
    <t>77346</t>
  </si>
  <si>
    <t>Authorities said three men allegedly assaulted bank employees during a robbery and managed to pocket an undisclosed amount of cash. Their getaway was interrupted when a Houston Police officer entered the bank during his lunch break. The officer, officials said, walked straight into the barrel of a shotgun as he entered the bank building. The officer struggled with one or more of the suspects then the second officer intervened. After the robbers got into an SUV, one pointed a shotgun at the second officer, who shot and killed a man in the SUV.</t>
  </si>
  <si>
    <t>http://www.yourhoustonnews.com/humble/news/names-of-alleged-bank-robbers-dead-and-alive-released/article_53a2a534-b262-11e2-8901-0019bb2963f4.html</t>
  </si>
  <si>
    <t>Brice Quintin Jefferson</t>
  </si>
  <si>
    <t>11413 S Vermont Ave</t>
  </si>
  <si>
    <t>Jefferson and his girlfriend had a fight, that he kidnapped her two daughters and dropped them off at a store nearby, and returned to the store his girlfriend was at. Deputies were already there, and say that Jefferson hit one police vehicle and pinned down one deputy with his car after knocking a deputy to the ground. Then, a deputy shot him to death. The deputy who'd been hurt was taken to local hospital and treated.</t>
  </si>
  <si>
    <t>http://homicide.latimes.com/post/brice-quintin-jefferson/</t>
  </si>
  <si>
    <t>Kenzell Hobbs</t>
  </si>
  <si>
    <t>http://www.fox16.com/media/lib/9/7/f/a/7fa5217b-d134-4450-82f3-1dd2fb961fcc/Story.jpg</t>
  </si>
  <si>
    <t>400 N. Pierce Street</t>
  </si>
  <si>
    <t>Kenzell Hobbs, 18, of North Little Rock, died of his injuries following a string of car burglaries and a manhunt that took place along University Avenue.</t>
  </si>
  <si>
    <t>http://www.thv11.com/news/article/262003/2/Suspect-shot-by-police-after-manhunt</t>
  </si>
  <si>
    <t>Felipe Corrales</t>
  </si>
  <si>
    <t>800 block Truman Street</t>
  </si>
  <si>
    <t>San Fernando Police Department</t>
  </si>
  <si>
    <t>Officers from the San Fernando Police Department were responding to a call regarding a possible battery assault call for service. Police say Corrales attacked at least one of them with a tree branch, instead hitting the officer’s patrol vehicle. The officer attempted to use a Taser but it had no effect due to the layers of clothing the suspect was wearing. The man again approached the police officer, who shot and killed him.</t>
  </si>
  <si>
    <t>http://homicide.latimes.com/post/felipe-corrales/</t>
  </si>
  <si>
    <t>James Coleman</t>
  </si>
  <si>
    <t>http://localtvwiti.files.wordpress.com/2013/04/coleman.jpg?w=185&amp;h=103&amp;crop=1</t>
  </si>
  <si>
    <t>7200 block W. Mill Road</t>
  </si>
  <si>
    <t>Officers were called by a person who said a relative was threatening to kill them. Coleman was also suicidal.</t>
  </si>
  <si>
    <t>http://fox6now.com/2013/05/16/mpd-changes-response-to-incidents-involving-mentally-ill/</t>
  </si>
  <si>
    <t>Cary Ball</t>
  </si>
  <si>
    <t>http://thinkprogress.org/wp-content/uploads/2013/05/caryball.png</t>
  </si>
  <si>
    <t>N 9th St &amp; Carr St</t>
  </si>
  <si>
    <t>63101</t>
  </si>
  <si>
    <t>Police say, officers were conducting hot-spot policing downtown when they noticed two suspects inside a car. The suspects then drove away from the scene. Police said they saw the same car near the intersection of 9th and Carr. Authorities said the suspects attempted to drive away from the scene, but hit a parked car. Police said the 25-year-old passenger then jumped out of the car and ran. He turned around and pointed a .45 automatic weapon with an extended clip at them and at that point, the officers fired shots, killing him.</t>
  </si>
  <si>
    <t>http://newsone.com/2511226/cary-ball-jr-st-louis/</t>
  </si>
  <si>
    <t>Brandon Smith</t>
  </si>
  <si>
    <t>6400 block Brentwood Stair Road</t>
  </si>
  <si>
    <t>Officer responded to a holdup at a Whataburger.The officer chased the fleeing gunman into a nearby residential neighborhood, where they exchanged fire. The officer was shot in the leg, and the suspect was shot multiple times. Both were hospitalized, and Smith died.</t>
  </si>
  <si>
    <t>http://www.star-telegram.com/2013/04/24/4799142/fort-worth-police-officer-shot.html?rh=1</t>
  </si>
  <si>
    <t>Amjustine Hunter</t>
  </si>
  <si>
    <t>Jackson Avenue and Lyndale Avenue</t>
  </si>
  <si>
    <t>Police said officers fatally shot Hunter when he accelerated and hit two officers who had been checking his vehicle for “suspicious” activity.</t>
  </si>
  <si>
    <t>http://www.commercialappeal.com/news/2013/apr/23/memphis-police-kill-man-who-hit-two-officers-car/</t>
  </si>
  <si>
    <t>Robert Lopez</t>
  </si>
  <si>
    <t>http://usgunviolence.files.wordpress.com/2014/01/robert-lopez.jpg?w=625</t>
  </si>
  <si>
    <t>5300 block East Ferry Drive</t>
  </si>
  <si>
    <t>Police found Lopez crouching in a doghouse in the backyard of a home. A woman who lives in the home had called police to report suspicious activity. He was shot multiple times by two police officers after he failed to comply with commands to drop his weapon and instead raised it toward the officers, police said.</t>
  </si>
  <si>
    <t>http://www.wtoc.com/story/22075722/tpd-investigation-on-deadly-shooting-continues-this-morning</t>
  </si>
  <si>
    <t>Herbert Babelay</t>
  </si>
  <si>
    <t>54</t>
  </si>
  <si>
    <t>http://media.cmgdigital.com/shared/lt/lt_cache/thumbnail/908/img/photos/2013/04/24/e2/6c/Herbert-Babelay-OBIT.jpg</t>
  </si>
  <si>
    <t>700 block Valdez Street</t>
  </si>
  <si>
    <t>Officers were dispatched to Herbert Babelay’s home after receiving a report of a suicidal man. Babelay appeared on the street on a motorcycle after they arrived, and retreated to the shed at the rear of the house. When he emerged from the shed armed, he told police to get off his property. They told him to put his weapon down Babelay said they’d have to shoot him so they did.</t>
  </si>
  <si>
    <t>http://www.statesman.com/news/news/acevedo-man-killed-by-officers-had-been-off-medica/nXXDB/</t>
  </si>
  <si>
    <t>Rick Odell Smith</t>
  </si>
  <si>
    <t>http://bloximages.newyork1.vip.townnews.com/stltoday.com/content/tncms/assets/v3/editorial/d/56/d564a341-99dd-525e-8157-53078a701838/51848b4b3c2c9.preview-620.jpg</t>
  </si>
  <si>
    <t>East Street</t>
  </si>
  <si>
    <t>62663</t>
  </si>
  <si>
    <t>Winchester Police Department, Illinois State Police</t>
  </si>
  <si>
    <t>Smith allegedly broke into a home, killing five people within. Police caught up with him, and after a gunfight, Smith died of his injuries in a hospital.</t>
  </si>
  <si>
    <t>http://stlouis.cbslocal.com/2013/05/03/illinois-state-police-release-report-on-manchester-mass-shooting/</t>
  </si>
  <si>
    <t>Larry Hooker</t>
  </si>
  <si>
    <t>2700 block Edmondson Avenue</t>
  </si>
  <si>
    <t>Two officers on foot patrol heard and saw shots coming from a car with several people inside. People inside the car were firing in a direction away from the officers. The officers then "engaged" the suspects and shot three of them. Hooker died.</t>
  </si>
  <si>
    <t>http://citypaper.com/news/murder-ink-1.1481789</t>
  </si>
  <si>
    <t>Michael Everett Morgan</t>
  </si>
  <si>
    <t>1170 W. State Road 434</t>
  </si>
  <si>
    <t>Longwood</t>
  </si>
  <si>
    <t>32750</t>
  </si>
  <si>
    <t>Seminole County Sheriff's Office</t>
  </si>
  <si>
    <t>A standoff at the SureSave USA self-storage facility in Longwood, Fla., ended when SWAT officers shot and killed a man who was armed with a shotgun. Michael Morgan got into a fight with his wife earlier in the morning, and then took a shotgun to the storage facility, according to Longwood Police, who described Morgan's behavior as suicidal in nature.</t>
  </si>
  <si>
    <t>http://www.wesh.com/news/central-florida/seminole-county/Seminole-deputies-shoot-kill-armed-man-at-storage-facility/19843816#!UBPgo</t>
  </si>
  <si>
    <t>Victor Johnson</t>
  </si>
  <si>
    <t>400 block Freeland Avenue</t>
  </si>
  <si>
    <t>Calumet City</t>
  </si>
  <si>
    <t>60409</t>
  </si>
  <si>
    <t>Calumet City Police Department</t>
  </si>
  <si>
    <t>Johnson was suspected of shooting a Hammond man. He was shot to death by police after allegedly pulling a gun on officers who were trying to apprehend him.</t>
  </si>
  <si>
    <t>http://www.nwitimes.com/news/local/illinois/calumet-city/man-shot-killed-by-calumet-city-police/article_bb27f414-2926-508b-ad37-4cd3a0b23ef1.html</t>
  </si>
  <si>
    <t>Eric Andrews</t>
  </si>
  <si>
    <t>301 Tree Trail Pkwy</t>
  </si>
  <si>
    <t>Norcross</t>
  </si>
  <si>
    <t>30093</t>
  </si>
  <si>
    <t>Eric Andrews allegedly broke into a Norcross apartment early Monday morning was armed with a tire iron and within feet of a police officer when he was shot in the chest.</t>
  </si>
  <si>
    <t>http://www.gwinnettdailypost.com/news/2013/apr/22/robbery-suspect-killed-officer-related-shooting/</t>
  </si>
  <si>
    <t>William Emanuel Poplos</t>
  </si>
  <si>
    <t>https://usgunviolence.files.wordpress.com/2014/01/william-emanuel-poplos.jpg?w=625</t>
  </si>
  <si>
    <t>490 Belair Ave.</t>
  </si>
  <si>
    <t>Merritt Island</t>
  </si>
  <si>
    <t>32953</t>
  </si>
  <si>
    <t>A late-afternoon domestic dispute in which Poplos threatened his 82-year-old fiance with a gun, firing shot into the wall beside her, developed into a standoff with police. Poplos refused to surrender the weapon, and county deputies shot him to death.</t>
  </si>
  <si>
    <t>http://www.wftv.com/news/news/local/merritt-island-man-allegedly-shot-girlfriend-deput/nXTLP/</t>
  </si>
  <si>
    <t>Alexis Perez</t>
  </si>
  <si>
    <t>http://wmgm.images.worldnow.com/images/22057979_BG1.jpg</t>
  </si>
  <si>
    <t>800 block West Park Avenue</t>
  </si>
  <si>
    <t>Pleasantville</t>
  </si>
  <si>
    <t>08232</t>
  </si>
  <si>
    <t>Pleasantville Police Department</t>
  </si>
  <si>
    <t>Police were called to a home where they say they found Perez, who lived at the house. Police say he was standing outside the home with a knife in his hand making threats. Investigators say three Pleasantville officers shot Perez several times. He was pronounced dead at the scene.</t>
  </si>
  <si>
    <t>http://www.shorenewstoday.com/snt/news/index.php/pleasantville/pleasantville-general-news/44482-grand-jury-pleasantville-police-officers-use-of-deadly-force-justified-lawful.html</t>
  </si>
  <si>
    <t>Fred Bradford Jr.</t>
  </si>
  <si>
    <t>http://cityhallblog.dallasnews.com/files/2013/11/FredBradfordJr.jpeg</t>
  </si>
  <si>
    <t>3100 Julius Schepps Fwy</t>
  </si>
  <si>
    <t>Burgess and partner Michael Puckett said they “observed suspicious activity” involving the 51-year-old Bradford. They claimed Bradford, who was riding a bike without a helmet, was in the alley and reaching into a car “occupied by unknown individuals.” When they went to confront him, Burgess took off on his bicycle. Puckett gave chase on foot; Burgess, in his squad car. Eventually, that case took them to the 3100 block the Julius Schepps Freeway, where Burgess and Puckett insisted Bradford turned into the squad car. But that was not the case. Investigators eventually determined that Burgess ran over Bradford — then failed to call for an ambulance for several minutes, doing so only when Bradford began complaining about his injuries. Police also determined that the officers moved the squad car, Bradford and his bike, and told paramedics that someone else had hit the 51-year-old. Fred Bradford died from his injuries on May 13</t>
  </si>
  <si>
    <t>http://cityhallblog.dallasnews.com/2013/11/city-to-settl.html/</t>
  </si>
  <si>
    <t>Dennis Clark III</t>
  </si>
  <si>
    <t>http://media.cmgdigital.com/shared/lt/lt_cache/thumbnail/615/img/photos/2013/04/23/23/fe/Dennis_Clark.jpg</t>
  </si>
  <si>
    <t>South 333rd Street and Pacific Highway South</t>
  </si>
  <si>
    <t>Federal Way</t>
  </si>
  <si>
    <t>98003</t>
  </si>
  <si>
    <t>Federal Way Police Department</t>
  </si>
  <si>
    <t>Dennis Clark III, 27, fatally shot his girlfriend in the head on Sunday night, then killed three more people at the Pinewood Village Apartments. Federal Way police encountered and shot Clark in a stairwell. Clark retreated on foot, and according to police, had ignored commands to stop reaching for a handgun on the ground. That's when eight officers opened fire and shot Clark dead.</t>
  </si>
  <si>
    <t>http://www.federalwaymirror.com/news/204381321.html#</t>
  </si>
  <si>
    <t>Craig Demps</t>
  </si>
  <si>
    <t>http://florida.arrests.org/mugs/Palmbeach/2011/2011005933.jpg</t>
  </si>
  <si>
    <t>1001 Okeechobee Blvd</t>
  </si>
  <si>
    <t>Jonathan Pimentel</t>
  </si>
  <si>
    <t>http://ksaz.images.worldnow.com/images/22032057_BG3.jpg</t>
  </si>
  <si>
    <t>79th Avenue and Indian School Road</t>
  </si>
  <si>
    <t>Jonathan Pimentel, who was suspected of shooting his girlfriend earlier in the week, was fatally shot by Phoenix police after pointing a gun at officers who were following up on a suspicious persons report.</t>
  </si>
  <si>
    <t>http://www.abc15.com/news/region-phoenix-metro/central-phoenix/phoenix-police-man-killed-in-officer-involved-shooting-in-phoenix</t>
  </si>
  <si>
    <t>Xavier Barba</t>
  </si>
  <si>
    <t>http://usgunviolence.files.wordpress.com/2014/01/xavier-barba.jpg?w=625</t>
  </si>
  <si>
    <t>Cherry Avenue and Bollinger Street</t>
  </si>
  <si>
    <t>Police received calls that a man was driving erratically in a black SUV firing a gun. When police arrived, neighbors told them that the man had gone into an apartment. Officers on the other side of the apartment building saw him leave through the back door and out a gate to a carport in only his boxers. This time, Barba responded to commands to put his hands in the air, but refused to drop the gun he was holding. He began to lower it in the direction of the officers. It was at that point that the officers shot and killed Barba.</t>
  </si>
  <si>
    <t>http://abc30.com/archive/9074053/</t>
  </si>
  <si>
    <t>Travis Trisoliere</t>
  </si>
  <si>
    <t>http://ksaz.images.worldnow.com/images/22032841_BG3.jpg</t>
  </si>
  <si>
    <t>Broadway Ave. and South Meridian Road</t>
  </si>
  <si>
    <t>Apache Junction</t>
  </si>
  <si>
    <t>85120</t>
  </si>
  <si>
    <t>A team of Mesa police officers and U.S. Marshals located 33-year-old Travis Trisoliere in Mesa and attempted to make a traffic stop to serve felony arrest warrants. Trisoliere allegedly went for a gun and was shot by officers.</t>
  </si>
  <si>
    <t>http://www.abc15.com/news/region-southeast-valley/apache-junction/authorities-shoot-kill-man-with-arrest-warrants-in-apache-junction</t>
  </si>
  <si>
    <t>Justin Tyler Harrigill</t>
  </si>
  <si>
    <t>http://www.natchezdemocrat.com/wp-content/uploads/2013/04/Harrigill_Justin_Tyler.jpg</t>
  </si>
  <si>
    <t>Interstate 55 South one mile south of Crystal Springs</t>
  </si>
  <si>
    <t>Crystal Springs</t>
  </si>
  <si>
    <t>39059</t>
  </si>
  <si>
    <t>Copiah</t>
  </si>
  <si>
    <t>Mississippi Highway Patrol</t>
  </si>
  <si>
    <t>Harrigill apparently lost control of his vehicle and when officers investigated, first fought them, then pulled a pistol and shot at them.</t>
  </si>
  <si>
    <t>http://www.natchezdemocrat.com/2013/04/21/natchez-man-shot-killed-by-police-in-copiah-county/</t>
  </si>
  <si>
    <t>Zachariah Pithan</t>
  </si>
  <si>
    <t>https://usgunviolence.files.wordpress.com/2014/01/zachariah-pithan1.jpg?w=625</t>
  </si>
  <si>
    <t>Glendale Avenue and 19th Avenue</t>
  </si>
  <si>
    <t>85021</t>
  </si>
  <si>
    <t>Police was called because Pithan was acting crazy and making threats. He attacked officers, eventually brandishing a table leg before one of the injured officers shot and killed him.</t>
  </si>
  <si>
    <t>http://www.abc15.com/news/region-phoenix-metro/central-phoenix/phoenix-officer-involved-shooting-22-year-old-killed-by-police</t>
  </si>
  <si>
    <t>Julie Serna Gonzales</t>
  </si>
  <si>
    <t>http://extras.mnginteractive.com/live/media/site557/2013/0425/20130425_034007_Julie%20Serna%20Gonzales_GALLERY.jpg</t>
  </si>
  <si>
    <t>59 Alderwood Drive</t>
  </si>
  <si>
    <t>Stafford</t>
  </si>
  <si>
    <t>22556</t>
  </si>
  <si>
    <t>An FBI instructor claimed his estranged wife Julie would have killed him with a knife if he had not shot and killed her. Charged with second-degree murder and using a firearm in the commission of a felony. First trial ended in a mistrial.</t>
  </si>
  <si>
    <t>http://news.fredericksburg.com/newsdesk/2014/03/11/fbi-agents-case-goes-to-jurors-today/</t>
  </si>
  <si>
    <t>Anthony Howard</t>
  </si>
  <si>
    <t>8800 block Cross Country Place</t>
  </si>
  <si>
    <t>County police were called on Howard for his erratic behavior, standing in the bed of a pickup, throwing rocks, yelling obscenities, taunting officers, spinning, swaying. Officers tasered him twice. He experienced some sort of medical emergency and stopped breathing.</t>
  </si>
  <si>
    <t>http://www.gazette.net/article/20130420/NEWS/130429997/1022/gaithersburg-man-dies-after-police-shoot-him-with-tasers&amp;template=gazette</t>
  </si>
  <si>
    <t>William Boyd Plant</t>
  </si>
  <si>
    <t>4400 block West Olive Avenue</t>
  </si>
  <si>
    <t>Detectives identified themselves and tried to serve Plant with three felony warrants in a business complex parking lot, police said. Plant “turned on them quickly, in an aggressive manner, and produced and pointed an object at them. Fearing for their lives, all three Phoenix police detectives fired their duty weapons at the suspect. Plant was pronounced dead at the scene. It was determined the object he carried was not a firearm.</t>
  </si>
  <si>
    <t>http://www.azcentral.com/community/phoenix/articles/20130419phoenix-officers-fatally-shoot-man-abrk.html</t>
  </si>
  <si>
    <t>Barry Mead Sr.</t>
  </si>
  <si>
    <t>51</t>
  </si>
  <si>
    <t>100 block West Main Street</t>
  </si>
  <si>
    <t>Westfield Boro</t>
  </si>
  <si>
    <t>16950</t>
  </si>
  <si>
    <t>Tioga</t>
  </si>
  <si>
    <t>Westfield Police Department</t>
  </si>
  <si>
    <t>An officer heard the shot as he went inside. The officer then saw Mead fire another round and ordered him to drop the weapon several times. Mead didn't comply, and the officer shot him. Both Mead and Copp were pronounced dead at the scene just after midnight.</t>
  </si>
  <si>
    <t>http://centralny.twcnews.com/content/news/658099/woman-killed--suspect-shot-and-killed-by-police/</t>
  </si>
  <si>
    <t>Wilson A. Lutz</t>
  </si>
  <si>
    <t>Scottsdale Apartments, Calumet Street just west of Oneida Street, Menasha</t>
  </si>
  <si>
    <t>Menasha</t>
  </si>
  <si>
    <t>54915</t>
  </si>
  <si>
    <t>Town of Menasha Police Department</t>
  </si>
  <si>
    <t>Town of Menasha police were called just after 5 p.m. to deal with Wilson A. Lutz, 66, who was threatening to harm himself because he was upset about a relationship.</t>
  </si>
  <si>
    <t>http://www.postcrescent.com/article/20130419/APC0101/304190386/Town-Menasha-police-officer-shoots-kills-armed-man-update-video-photos-?nclick_check=1</t>
  </si>
  <si>
    <t>John R. Monroe</t>
  </si>
  <si>
    <t>3400-block Foster Avenue</t>
  </si>
  <si>
    <t>21224</t>
  </si>
  <si>
    <t>Police say 42-year-old John Monroe was killed as he engaged police in a "running gun battle" outside a home in the 3400-block Foster Avenue. Police had responded to a domestic dispute at the home at around midnight Thursday, where officers found two women who had been shot.</t>
  </si>
  <si>
    <t>http://www.wbal.com/article/99214/2/template-story/Man-Shot-Killed-By-Police-Identified</t>
  </si>
  <si>
    <t>Kenneth Philipp</t>
  </si>
  <si>
    <t>http://www.fatalencounters.org/wp-content/uploads/2013/10/KennethPhilip.jpg</t>
  </si>
  <si>
    <t>Buck Road</t>
  </si>
  <si>
    <t>Holland</t>
  </si>
  <si>
    <t>18966</t>
  </si>
  <si>
    <t>Bucks</t>
  </si>
  <si>
    <t>Northampton Police Department</t>
  </si>
  <si>
    <t>Kenneth Philipp killed his ex-wife with a shotgun, driving away until stopped by police. He fired on police before he was shot and killed.</t>
  </si>
  <si>
    <t>http://www.phillyburbs.com/news/crime/northampton-cop-cleared-for-fatally-shooting-man-who-killed-ex/article_7fa81d30-2663-538f-a8cf-6c7b876931a0.html?mode=jqm</t>
  </si>
  <si>
    <t>Tamerlan Tsarnaev</t>
  </si>
  <si>
    <t>http://msnbcmedia.msn.com/j/MSNBC/Components/Photo/_new/130506-tamerlan-tsarnaev-mug-1230p.380;380;7;70;0.jpg</t>
  </si>
  <si>
    <t>66 Laurel Ave.</t>
  </si>
  <si>
    <t>Watertown</t>
  </si>
  <si>
    <t>02472</t>
  </si>
  <si>
    <t>Watertown Police Department</t>
  </si>
  <si>
    <t>One of the bombing suspects from the Boston Marathon, 2013. He and his brother, Dzhokhar Tsarnaev, 19, are alleged to have killed a Massachusetts Institute of Technology campus police officer.</t>
  </si>
  <si>
    <t>http://media3.s-nbcnews.com/i/newscms/2014_13/275841/140324-boston-bombing-tamerlan-tsarnaev_b041bd87b42c8d8228fc782d2b529c8c.jpg</t>
  </si>
  <si>
    <t>Lisa Renee Miller</t>
  </si>
  <si>
    <t>1501 Coal City Road</t>
  </si>
  <si>
    <t>West Virginia State Police Department</t>
  </si>
  <si>
    <t>Miller was threatening to commit suicide. She became agitated at some point, threw a phone down and spun around with a rifle pointed at officers. She was shot once and killed by an officer.</t>
  </si>
  <si>
    <t>http://bdtonline.com/breakingnews/x1915237936/Coal-City-woman-shot-killed-by-State-Police</t>
  </si>
  <si>
    <t>Thomas G. Manuel III</t>
  </si>
  <si>
    <t>http://usgunviolence.files.wordpress.com/2014/01/thomas-g-manuel.jpg?w=625</t>
  </si>
  <si>
    <t>Dort Highway and Carpenter Road</t>
  </si>
  <si>
    <t>Genesee Township</t>
  </si>
  <si>
    <t>Mt. Morris Township Police</t>
  </si>
  <si>
    <t>Police officers located a man in a vehicle that had been carjacked last night in Grand Blanc Township. A car chase ensued to the intersection of Dort Highway and Carpenter Road where police said Thomas G. Manuel III emerged from the vehicle and started firing at officers. Officers chased Manuel inside a nearby junkyard, where police said he was killed during an exchange of gunfire with officers.</t>
  </si>
  <si>
    <t>http://usgunviolence.wordpress.com/2013/04/17/killed-thomas-g-manuel-genesee-mi/</t>
  </si>
  <si>
    <t>Margarito Martinez Gallegos</t>
  </si>
  <si>
    <t>1500 block Hackberry Street</t>
  </si>
  <si>
    <t>Three Rivers</t>
  </si>
  <si>
    <t>78071</t>
  </si>
  <si>
    <t>Three Rivers Police Department</t>
  </si>
  <si>
    <t>Officers stopped a car for failure to use a turn signal. The man, who they believed to be in the country illegally, ran, they chased him into a home, tasered him, and then shot him to death.</t>
  </si>
  <si>
    <t>http://www.mysanantonio.com/news/local_news/article/Three-Rivers-police-kill-man-during-scuffle-4445847.php</t>
  </si>
  <si>
    <t>Dale Wilkerson</t>
  </si>
  <si>
    <t>900 block De Haro Street</t>
  </si>
  <si>
    <t>Wilkerson allegedly charged at police with a hammer after a stabbing was reported in the area.</t>
  </si>
  <si>
    <t>http://www.sfexaminer.com/blogs/law-and-disorder/2013/04/san-francisco-police-shoot-hammer-wielding-man-dead</t>
  </si>
  <si>
    <t>Dylan Samuel-Peters</t>
  </si>
  <si>
    <t>East 56th Street in the East Flatbush</t>
  </si>
  <si>
    <t>Off duty police kills 1-year-old child, boyfriend and self.</t>
  </si>
  <si>
    <t>http://newyork.cbslocal.com/2013/04/15/police-3-dead-in-brooklyn-shooting/</t>
  </si>
  <si>
    <t>Dason Peters</t>
  </si>
  <si>
    <t>Jesus Antonio Torres</t>
  </si>
  <si>
    <t>83rd Avenue and Buckeye Road</t>
  </si>
  <si>
    <t>85353</t>
  </si>
  <si>
    <t>Phoenix police were called to a domestic violence situation in a neighborhood near 83rd Avenue and Buckeye Road when 29-year-old Jesus Antonio Torres began firing gunshots from inside the home.</t>
  </si>
  <si>
    <t>http://www.abc15.com/dpp/news/region_phoenix_metro/central_phoenix/phoenix-officer-shooting-phoenix-police-kill-suspect-firing-shots-into-the-air</t>
  </si>
  <si>
    <t>Michael D. Findley</t>
  </si>
  <si>
    <t>3031 S Range Line Road</t>
  </si>
  <si>
    <t>Joplin</t>
  </si>
  <si>
    <t>64804</t>
  </si>
  <si>
    <t>Greene County Sheriff’s Office</t>
  </si>
  <si>
    <t>Findley was want for questioning about a murder and also because he had warrants for theft. Officers said they attempted to take Findley into custody, shots were fired, and Findley was killed.</t>
  </si>
  <si>
    <t>http://www.news-leader.com/article/20130430/NEWS01/304300115/michael-findley-shooting-justified?odyssey=nav%7Chead</t>
  </si>
  <si>
    <t>Curtis Hicks</t>
  </si>
  <si>
    <t>52</t>
  </si>
  <si>
    <t>http://www.gannett-cdn.com/-mm-/4f2b7b3f299ece0cda74988399fdfeed6f67e86d/c=0-0-680-510&amp;r=x404&amp;c=534x401/http/archive.11alive.com/images/680/510/2/assetpool/images/130415091727_Alpharetta%20Shooter.jpg</t>
  </si>
  <si>
    <t>356 S. Main St.</t>
  </si>
  <si>
    <t>Alpharetta</t>
  </si>
  <si>
    <t>30009</t>
  </si>
  <si>
    <t>Roswell officer and Alpharetta Police Departments</t>
  </si>
  <si>
    <t>After shooting an officer and the ensuing a high speed chase, Hicks was shot to death.</t>
  </si>
  <si>
    <t>http://www.northfulton.com/Articles-TOP-STORIES-c-2013-04-16-198337.114126-sub-Suspect-dead-after-chase-shooting.html</t>
  </si>
  <si>
    <t>Nicholas Peterson</t>
  </si>
  <si>
    <t>2800 block 99th Avenue NE</t>
  </si>
  <si>
    <t>Lake Stevens</t>
  </si>
  <si>
    <t>98258</t>
  </si>
  <si>
    <t>Lake Stevens Police Department</t>
  </si>
  <si>
    <t>Peterson was a passenger in his friend's Honda Civic, driving on a suspended license. The meth-fueled driver fled from a traffic stop, reached 70 MPH in a residential 25 MPH with police in hot pursuit, lost control and smashed into a house. Peterson was killed. One of at least four fatal high-speed police chases in this county in 2013.</t>
  </si>
  <si>
    <t>http://www.heraldnet.com/article/20131030/NEWS01/710309831</t>
  </si>
  <si>
    <t>Adam James Stevens</t>
  </si>
  <si>
    <t>http://www.fatalencounters.org/wp-content/uploads/2013/10/AdamJamesStevens.jpg</t>
  </si>
  <si>
    <t>800 block Kimball Road</t>
  </si>
  <si>
    <t>Red Bluff</t>
  </si>
  <si>
    <t>96080</t>
  </si>
  <si>
    <t>Red Bluff Police Department</t>
  </si>
  <si>
    <t>Officers were responding to a man breaking into an apartment.</t>
  </si>
  <si>
    <t>http://www.redbluffdailynews.com/ci_23052803/red-bluff-police-officers-cleared-shooting</t>
  </si>
  <si>
    <t>Lauren Brown</t>
  </si>
  <si>
    <t>http://wgcl.images.worldnow.com/images/21943888_BG1.jpg</t>
  </si>
  <si>
    <t>2440 Walnut Grove Way</t>
  </si>
  <si>
    <t>Suwanee</t>
  </si>
  <si>
    <t>30024</t>
  </si>
  <si>
    <t>Suwanee Police Department SWAT</t>
  </si>
  <si>
    <t>Lured firefighters into house, held them, was killed by SWAT.</t>
  </si>
  <si>
    <t>http://www.cbs46.com/story/21943888/police-identify-man-killed-after-taking-gwinnett-county-firefighters-hostage</t>
  </si>
  <si>
    <t>Daniel Brock</t>
  </si>
  <si>
    <t>http://wmctv.images.worldnow.com/images/21949420_BG1.jpg</t>
  </si>
  <si>
    <t>Sycamore View Rd &amp; Interstate 40</t>
  </si>
  <si>
    <t>Shot to death. Police claim that when they stopped Brock for an alleged incident of “road rage,” they shot him because they thought he had a gun as he was approaching them. Brock’s son said his father had a mental illness and was taking medication for it.</t>
  </si>
  <si>
    <t>http://www.wmcactionnews5.com/story/21949420/identity-revealed-of-man-killed-by-police-wednesday-night?t=2013-04-11T22%3A39%3A46Z</t>
  </si>
  <si>
    <t>Thomas Jeffery Sadler</t>
  </si>
  <si>
    <t>http://cdn.abclocal.go.com/images/wtvd/cms_exf_2007/_video_wn_images/9060662_600x338.jpg</t>
  </si>
  <si>
    <t>Wiggs St. and Mial St.</t>
  </si>
  <si>
    <t>27608</t>
  </si>
  <si>
    <t>Raleigh Police Department</t>
  </si>
  <si>
    <t>After becoming "physically aggressive in his dealings with officers" after they responded to Sadler's blood-curdling screams and his appearance naked in a church parking lot at 3:45 a.m., police tasered him. He collapsed and died shortly afterward.</t>
  </si>
  <si>
    <t>http://www.wral.com/man-dies-after-raleigh-police-use-stun-gun-on-him/12324803/</t>
  </si>
  <si>
    <t>Edgar Villareal</t>
  </si>
  <si>
    <t>4049 Agnes Ave</t>
  </si>
  <si>
    <t>As reported to the Los Angeles Times, Edgar Villareal, 25, died after being shot in Lynwood, according to Los Angeles County coroner's records.</t>
  </si>
  <si>
    <t>http://homicide.latimes.com/post/edgar-villareal/</t>
  </si>
  <si>
    <t>Stacy Stout</t>
  </si>
  <si>
    <t>http://kwtv.images.worldnow.com/images/21936844_BG2.jpg</t>
  </si>
  <si>
    <t>S.E. 44th and I-36</t>
  </si>
  <si>
    <t>73129</t>
  </si>
  <si>
    <t>Stout was shot and killed by OKCPD officers after attempting to flee the scene where a warrant was being served by US Marshals.</t>
  </si>
  <si>
    <t>http://www.newson6.com/story/21936844/suspects-officers-identified-in-se-okc-officer-involved-shooting</t>
  </si>
  <si>
    <t>Christopher Lee Stout</t>
  </si>
  <si>
    <t>http://kwtv.images.worldnow.com/images/21936844_BG1.jpg</t>
  </si>
  <si>
    <t>S.E. 44th and I-35</t>
  </si>
  <si>
    <t>Alexander Wilson</t>
  </si>
  <si>
    <t>http://media.phoenixnewtimes.com/a-teen-s-shooting-death-was-avoidable-even-if-the-cops-call-it-justified.8730666.40.jpg</t>
  </si>
  <si>
    <t>A DPS officer ran the license of a tan Chevrolet Tahoe and the plates came back stolen. The officer followed Wilson and his passenger. The officer tailed the car into a Chevron, parking about five feet behind the SUV. The officer claimed Alexander attempted to run him down, so he shot, killing him.</t>
  </si>
  <si>
    <t>http://blogs.phoenixnewtimes.com/valleyfever/2013/05/report_finds_dps_shooting_of_a.php</t>
  </si>
  <si>
    <t>Douglas Musto</t>
  </si>
  <si>
    <t>128 Elm Street</t>
  </si>
  <si>
    <t>Westfield</t>
  </si>
  <si>
    <t>01085</t>
  </si>
  <si>
    <t>After Musto stabbed an officer, the officer fired five shots at Musto after he ignored orders to drop a knife and after a stun gun was used several times. Four of those shots struck and killed him.</t>
  </si>
  <si>
    <t>http://www.masslive.com/news/index.ssf/2012/08/hampden_district_attorney_west.html</t>
  </si>
  <si>
    <t>Clanesha Rayuna Shaqwanda Hickmon</t>
  </si>
  <si>
    <t>Monroe Rd &amp; W 1st St</t>
  </si>
  <si>
    <t>32771</t>
  </si>
  <si>
    <t>Wilbur Frederick Miller II and Clanesha Hickmon were two of four young people in a Pontiac Grand Prix who fled from an attempted 3 a.m. traffic stop for reckless driving. Police weren't certain who was driving. While being pursued by police the vehicle spun out of control, left the roadway and struck a tree. Miller and Hickman were killed. The other two were critically injured.</t>
  </si>
  <si>
    <t>Wilbur Frederick Miller II</t>
  </si>
  <si>
    <t>http://matchbin-assets.s3.amazonaws.com/public/sites/312/assets/GBLQ_obitpicWeb_miller.jpg</t>
  </si>
  <si>
    <t>Detlef Wulf</t>
  </si>
  <si>
    <t>Carrs-Safeway grocery store on Gambell Street</t>
  </si>
  <si>
    <t>Security guards at Carrs-Safeway grocery store reported Wulf slumped over the wheel of a Ford SUV in the store’s parking lot. Called police. Police approached the vehicle and rapped on the window to try and get Wulf's attention. It was then officers saw Wulf had a pistol. He pulled it. They shot him.</t>
  </si>
  <si>
    <t>http://www.alaskadispatch.com/article/20130408/anchorage-police-officers-who-shot-killed-man-fairview-identified</t>
  </si>
  <si>
    <t>Jermaine C. Coleman Jr.</t>
  </si>
  <si>
    <t>http://media.cmgdigital.com/shared/lt/lt_cache/thumbnail/188/img/photos/2013/04/05/dc/81/IMG_1424.jpg</t>
  </si>
  <si>
    <t>8980 Kingsridge Dr.</t>
  </si>
  <si>
    <t>45458</t>
  </si>
  <si>
    <t>Coleman was shot to death and two associates were taken into custody in the course of a drug investigation involving both local police and federal agents.</t>
  </si>
  <si>
    <t>Mark Courtier</t>
  </si>
  <si>
    <t>Vermont Avenue near the 101 Freeway</t>
  </si>
  <si>
    <t>Courtier was pulled over on suspicion of drunk driving and allegedly attempted to flee the scene. He was tasered and also suffered a facial laceration in a struggle with officers to arrest him. Courtier became unresponsive at the scene and was pronounced dead after arriving at a hospital.</t>
  </si>
  <si>
    <t>http://articles.latimes.com/2013/apr/30/local/la-me-ln-dui-suspect-taser-20130430</t>
  </si>
  <si>
    <t>Kristina A. Almase</t>
  </si>
  <si>
    <t>I-95 and Ives Dairy Road</t>
  </si>
  <si>
    <t>33179</t>
  </si>
  <si>
    <t>Opa-locka Police Department</t>
  </si>
  <si>
    <t>Four Filipino friends and family members died in a high-velocity 1 a.m. vehicle collision with a suspect being chased by local police northbound in interstate southbound lanes. Police continued to insist that they'd broken off the chase, and had not followed the suspect against interstate traffic, even after radio transmission recordings proved otherwise.</t>
  </si>
  <si>
    <t>http://www.miamiherald.com/news/local/in-depth/article1948818.html</t>
  </si>
  <si>
    <t>Lily Marie Azarcon</t>
  </si>
  <si>
    <t>Albertson Anthony Almase</t>
  </si>
  <si>
    <t>Dennis Ryan Rinon Ortiz</t>
  </si>
  <si>
    <t>Bryan Stukes</t>
  </si>
  <si>
    <t>http://ww2.hdnux.com/photos/25/61/37/5707729/3/628x471.jpg</t>
  </si>
  <si>
    <t>311 Pequonnock St</t>
  </si>
  <si>
    <t>Stukes drew a shotgun on a gay male that he'd been bullying. A detective, who happened to be inside a nearby fish market, saw this, went outside, drew his pistol and ordered Stukes to drop the gun. Stukes ran from the detective, tripped while running and dropped his weapon. He was shot a second after dropping the weapon and getting back on his feet, according to the Chief State's Attorney's Office</t>
  </si>
  <si>
    <t>http://www.ct.gov/csao/cwp/view.asp?a=1802&amp;q=548346</t>
  </si>
  <si>
    <t>Sheri P. Brower</t>
  </si>
  <si>
    <t>8800 block Northwest Seventh Court</t>
  </si>
  <si>
    <t>33024</t>
  </si>
  <si>
    <t>Pembroke Pines Police Department</t>
  </si>
  <si>
    <t>Brower called 911 threatening to kill herself. Police accompanied by SWAT forces arrived and found her standing in the street with a pistol in either hand. Refusing to put down the weapons, she was fatally shot.</t>
  </si>
  <si>
    <t>http://www.ppines.com/Archive/ViewFile/Item/150</t>
  </si>
  <si>
    <t>Melissa Anne Jenkins</t>
  </si>
  <si>
    <t>http://wwwcache.wral.com/asset/news/local/2013/03/31/12288110/jenkins-400x300.jpg</t>
  </si>
  <si>
    <t>U.S. 64</t>
  </si>
  <si>
    <t>North Carolina Highway Patrol, Edgecombe and Martin County Sheriff's Offices, Robersonville Police Department, other agencies</t>
  </si>
  <si>
    <t>Jenkins was the object of a statewide Silver Alert – for missing persons suffering from cognitive impairments. She was found driving her white 2002 Jeep Grand Cherokee after refusing to cooperate with a traffic stop. She pulled over about 15 minutes later and was surrounded by at least eight police vehicles. "Law enforcement personnel tirelessly attempted to negotiate with the driver to surrender but were unsuccessful," according to a news release, before they shot her to death.</t>
  </si>
  <si>
    <t>http://www.wral.com/woman-fatally-shot-by-authorities-after-edgecombe-chase/12288004/</t>
  </si>
  <si>
    <t>Jonathan Lee Cunningham</t>
  </si>
  <si>
    <t>http://wncn.images.worldnow.com/images/21838175_BG2.jpg</t>
  </si>
  <si>
    <t>Leesville Road exit and I-540</t>
  </si>
  <si>
    <t>27613</t>
  </si>
  <si>
    <t>A mentally ill man was being transported to involuntary commitment at the Wake Crisis Center. He overpowered the officer, stole the car, led officers on a high-speed chase before crashing and being shot to death in a field.</t>
  </si>
  <si>
    <t>http://www.wncn.com/story/21838175/police-activity-closes-2-lanes-of-i-540-east</t>
  </si>
  <si>
    <t>Broderick Huggins</t>
  </si>
  <si>
    <t>33rd Avenue and San Leandro Street</t>
  </si>
  <si>
    <t>Huggins, from Modesto, was fatally shot by an Alameda County sheriff's deputy after he refused to get out of the vehicle and drove off, dragging one of those deputies, who had been trying to undo Huggins' seat belt.</t>
  </si>
  <si>
    <t>http://www.mercurynews.com/homicides/ci_23309805/man-slain-by-sheriffs-deputies-march-following-east</t>
  </si>
  <si>
    <t>Larry A. Bohannon</t>
  </si>
  <si>
    <t>http://www.wmur.com/image/view/-/19550848/highRes/2/-/maxh/480/maxw/640/-/u21typ/-/img-Criminal-history-released-of-man-shot-by-police.jpg</t>
  </si>
  <si>
    <t>Upper Walpole Road</t>
  </si>
  <si>
    <t>Walpole</t>
  </si>
  <si>
    <t>03608</t>
  </si>
  <si>
    <t>Ahlstead Police Department</t>
  </si>
  <si>
    <t>Larry A. Bohannon, 51, of Grafton, N.H., died of gunshot wounds to the head, chest and abdomen after robbing an office supply store in Bellows Falls with a gun and then leading police on a high-speed chase to Walpole</t>
  </si>
  <si>
    <t>http://www.wmur.com/news/nh-news/Investigators-say-officer-justified-in-use-of-deadly-force/19797486#!T8jXa</t>
  </si>
  <si>
    <t>Cody Ramseyer</t>
  </si>
  <si>
    <t>http://local.sltrib.com/charts/shootings/images/full/14.jpg</t>
  </si>
  <si>
    <t>Utah 315 and Interstate 15</t>
  </si>
  <si>
    <t>Willard</t>
  </si>
  <si>
    <t>84340</t>
  </si>
  <si>
    <t>Box Elder</t>
  </si>
  <si>
    <t>Willard Police Department</t>
  </si>
  <si>
    <t>Police were called on a report of reckless driving. After a high speed chase, Ramseyer and came at police. He was tasered, but continued to advance on police, who shot and killed him.</t>
  </si>
  <si>
    <t>http://www.sltrib.com/sltrib/news/56382047-78/ramseyer-county-shooting-killed.html.csp</t>
  </si>
  <si>
    <t>George Golden</t>
  </si>
  <si>
    <t>3950 Austin Peay</t>
  </si>
  <si>
    <t>38128</t>
  </si>
  <si>
    <t>A Memphis police officer working as security at the Wal-Mart at 3950 Austin Peay saw a man shoplift merchandise and followed him out of the store, flagging down two on-duty officers in the parking lot. As the officers tried to talk to the suspect, he became irate and a struggle ensued. As the officers tried to restrain Golden, he reached inside his waistband. The officers instructed him to show his hands but he refused, and suddenly spun around towards them. One officer fired one round, hitting the suspect.</t>
  </si>
  <si>
    <t>http://www.localmemphis.com/news/local/story/Shoplifting-Suspect-Shot-by-Police-at-Raleigh/d/story/Bomi1SXuhEG79mnyWRGg1g</t>
  </si>
  <si>
    <t>Preston Phillips Jr.</t>
  </si>
  <si>
    <t>8700 E. Angus Dr.</t>
  </si>
  <si>
    <t>Police were called over an altercation regarding illegal parking on the sidewalk. As police were investigating the illegally parked vehicle, a Ford SUV pulled up next to the officer and the deceased pulled a gun from his holder and displayed it in a threatening manner. The officer stepped back and fired multiple shots into the SUV.</t>
  </si>
  <si>
    <t>http://www.scottsdaleaz.gov/Police/newsPIO/Officer_Involved_Shooting_15333</t>
  </si>
  <si>
    <t>David Stahl</t>
  </si>
  <si>
    <t>U.S. 36 and CR 509</t>
  </si>
  <si>
    <t>Coshocton</t>
  </si>
  <si>
    <t>43824</t>
  </si>
  <si>
    <t>Coshocton County Sheriff</t>
  </si>
  <si>
    <t>Authorities tried to stop Stahl in New Concord in Muskingum County. After a brief chase in Coshocton County, deputies engaged Stahl near County Road 509.</t>
  </si>
  <si>
    <t>http://www.10tv.com/content/stories/2013/03/28/coshocton-chase-suspect-died-of-gunshot-wound-to-head.html</t>
  </si>
  <si>
    <t>Justin David Hoerner</t>
  </si>
  <si>
    <t>Johnson Ln &amp; I-90</t>
  </si>
  <si>
    <t>For unknown reasons Hoerner and a female passenger fled from an attempted traffic stop by county deputies at interstate speeds. He lost control of his vehicle, which went airborne, flipped, and landed on its wheels. Thrown from the car Hoerner died of blunt-force trauma; his passenger survived.</t>
  </si>
  <si>
    <t>http://billingsgazette.com/news/local/crime-and-courts/sheriff-identifies-billings-man-who-died-after-fleeing-deputy/article_f90b6c77-70c8-5885-bc09-7c47250bfa8c.html</t>
  </si>
  <si>
    <t>Khari Neville Illidge</t>
  </si>
  <si>
    <t>1800 block Pierce Road</t>
  </si>
  <si>
    <t>Naked, breaking into people's houses, incoherent and combative, police rounded Illidge up on a Sunday evening and tasered him to bring him under control. After a struggle of more than 10 minutes he passed out. Illidge, with a history of drug offenses and run-ins with the police, was pronounced dead at the hospital.</t>
  </si>
  <si>
    <t>http://www.ledger-enquirer.com/2013/03/25/2438192/naked-intruder-shot-with-taser.html</t>
  </si>
  <si>
    <t>Russell Lydell Smith</t>
  </si>
  <si>
    <t>http://www.fatalencounters.org/wp-content/uploads/2013/10/RussellLydellSmith.jpg</t>
  </si>
  <si>
    <t>5000 block 43rd Avenue South</t>
  </si>
  <si>
    <t>98118</t>
  </si>
  <si>
    <t>Bellevue Police Departmen</t>
  </si>
  <si>
    <t>Officers serving a warrant on Smith backed him into a dead-end street near his home, and fired 21 times into his car, hitting him eight times. Neighbors of Smith, who was unarmed at the time of the shooting, held a community meeting to voice their concerns over the shooting. An inquest jury cleared three officers involved in the shooting of any wrongdoing in March of 2014.</t>
  </si>
  <si>
    <t>http://www.seattleweekly.com/home/950037-129/nowhere-to-run</t>
  </si>
  <si>
    <t>Daniel Lee Rhodes</t>
  </si>
  <si>
    <t>http://media.cmgdigital.com/shared/img/photos/2013/03/23/85/45/Daniel-Lee-Rhodes.jpg</t>
  </si>
  <si>
    <t>Kirk and Gun Club Roads</t>
  </si>
  <si>
    <t>33406</t>
  </si>
  <si>
    <t>Rhodes, with a "decades-long struggle with crime, drugs and violence against women" behind him, faced off against a county deputy in a corridor of his home, armed with a two-foot cane knife. Ordered to drop the knife he instead slammed it against a wall. The deputy shot him to death.</t>
  </si>
  <si>
    <t>http://www.palmbeachpost.com/news/news/crime-law/one-dead-in-officer-involved-shooting-in-suburban-/nW2jw/</t>
  </si>
  <si>
    <t>Dijon Senay Jackson</t>
  </si>
  <si>
    <t>15th Avenue S and 40th Street</t>
  </si>
  <si>
    <t>Visiting from Pittsburgh, Jackson was the passenger in a Monte Carlo driven by a friend. Her friend happened to be fleeing from the scene of his armed robbery of a Family Dollar store, with police in hot pursuit. The vehicle crashed into a tree. Jackson died at the scene. The driver was charged with second-degree murder.</t>
  </si>
  <si>
    <t>http://www.wtsp.com/news/article/306364/0/Fleeing-suspects-identified-in-fatal-St-Pete-Police-chase-one-suspect-on-the-loose</t>
  </si>
  <si>
    <t>Matthew Cheyenne Simmons</t>
  </si>
  <si>
    <t>http://www.fatalencounters.org/wp-content/uploads/2013/10/MatthewCheyenneSimmons.jpeg</t>
  </si>
  <si>
    <t>Farm-to-Market Road 649 and Chihuahua Road</t>
  </si>
  <si>
    <t>Hebbronville</t>
  </si>
  <si>
    <t>78361</t>
  </si>
  <si>
    <t>Jim Hogg</t>
  </si>
  <si>
    <t>Three border agents encountered Simmons when investigating a damaged Honda Civic on the roadside. When the car was identified as stolen, Simmons pulled a handgun and managed to wound one of the three agents in the hip before being shot to death.</t>
  </si>
  <si>
    <t>http://www.kwtx.com/home/headlines/Local-Man-Killed-In-South-Texas-Shootout-Identified-200628501.html</t>
  </si>
  <si>
    <t>Kenneth Knight</t>
  </si>
  <si>
    <t>http://usgunviolence.files.wordpress.com/2013/11/kenneth-knight.jpg?w=625</t>
  </si>
  <si>
    <t>3000 block Holton Street</t>
  </si>
  <si>
    <t>Knight allegedly shot a woman before taking a child hostage. After several hours, SWAT shot Knight, killing him. The child was removed unharmed.</t>
  </si>
  <si>
    <t>http://wane.com/2013/03/20/3-year-old-safe-after-police-kill-hostage-taker-murder-suspect/</t>
  </si>
  <si>
    <t>Ronald Manuel Ontiveros</t>
  </si>
  <si>
    <t>1149 Foulger St.</t>
  </si>
  <si>
    <t>Joint Criminal Apprehension Team</t>
  </si>
  <si>
    <t>Officers were looking for a parole violator. Police said when the officers arrived Ontiveros began firing shots at them. The officers ducked for cover and returned fire. Ontiveros was shot and killed.</t>
  </si>
  <si>
    <t>http://fox13now.com/2013/04/29/fatal-police-shooting-deemed-justified/</t>
  </si>
  <si>
    <t>Kendall Carroll</t>
  </si>
  <si>
    <t>13000 Constitution NE</t>
  </si>
  <si>
    <t>87112</t>
  </si>
  <si>
    <t>An APD officer shot at, but missed, Kendall Carroll, 21, during a four-hour SWAT standoff between Carroll and State Police and APD, during which Carroll fired numerous times at officers from inside a Northeast Heights apartment. A State Police officer fired the shot that killed Carroll.</t>
  </si>
  <si>
    <t>Jeremy Acre</t>
  </si>
  <si>
    <t>Hogan Road</t>
  </si>
  <si>
    <t>Deatsville</t>
  </si>
  <si>
    <t>Elmore County' Sheriff's Department</t>
  </si>
  <si>
    <t>Police responded to Acre's residence after receiving a call from a third party who claimed that there was a domestic dispute. When they arrived at the residence, the deputies knocked on the door and was met by Acre who was welding a handgun, Franklin said. Acre was told repeatedly to put his gun down, but he refused to comply. At some point during the exchange, a deputy deployed his Taser, which sent Acre to the ground, he said. But, before deputies could disarm Acre, he removed one of the probes and got back on his feet.When again Acre wouldn't put his gun down or be subdued, the supervisor fired his service weapon one time hitting Acre in the upper torso, Franklin said. Acre died at the scene.</t>
  </si>
  <si>
    <t>http://alada19.com/inthenews2013/130713.htm</t>
  </si>
  <si>
    <t>600 Saddle Rock Dr</t>
  </si>
  <si>
    <t>While attempting to conduct a traffic stop, the suspect fired upon a pair of officers and striking one in both arms.  The other officer returned fire killing the suspect.</t>
  </si>
  <si>
    <t>Elias Mejia</t>
  </si>
  <si>
    <t>http://usgunviolence.files.wordpress.com/2013/11/elias-mejia1.jpg?w=180&amp;h=225</t>
  </si>
  <si>
    <t>2700 block Murtha Drive</t>
  </si>
  <si>
    <t>95127</t>
  </si>
  <si>
    <t>SJPD's Metro special-enforcement unit was looking for Mejia in connection with the killing a week earlier of 44-year-old Daniel Canales in East San Jose. The team spotted Mejia driving a Honda Civic they determined was stolen. Officers blocked in Mejia's car and he tried to ram his way out. A San Jose officer had gotten out of his unmarked police car when the Honda accelerated toward him. The officer fired a single shot at Mejia, who killed.</t>
  </si>
  <si>
    <t>http://www.ktvu.com/news/news/crime-law/san-jose-officer-ruled-justified-fatal-shooting-mu/nfh6j/</t>
  </si>
  <si>
    <t>Kevin M. Bailey</t>
  </si>
  <si>
    <t>http://granitegrok.com/wp-content/uploads/2013/06/Kevin_M_Bailey_No_More_Names.jpg</t>
  </si>
  <si>
    <t>Bainbridge Road at Sharondale Drive</t>
  </si>
  <si>
    <t>Solon</t>
  </si>
  <si>
    <t>44139</t>
  </si>
  <si>
    <t>Solon Police Department</t>
  </si>
  <si>
    <t>Bailey was shot four times by officers after fleeing a traffic stop, crashing his vehicle, and shooting at officers still in their cruisers.</t>
  </si>
  <si>
    <t>http://www.19actionnews.com/story/21665949/kevin-bailey-killed-in-solon-officer-involved-shooting</t>
  </si>
  <si>
    <t>Sonia Angelita Castaneda-Montoya</t>
  </si>
  <si>
    <t>915 W. Holt Ave.</t>
  </si>
  <si>
    <t>91768</t>
  </si>
  <si>
    <t>Pomona Police Department and Los Angeles County District Attorney's Office</t>
  </si>
  <si>
    <t>Officials from a multi-agency gang unit report that they were patrolling a motel when Castaneda-Montoya walked towards them pointing a handgun at them, at which point they shot her to death.</t>
  </si>
  <si>
    <t>http://www.dailybulletin.com/general-news/20130319/officer-involved-shooting-in-pomona-still-under-investigation</t>
  </si>
  <si>
    <t>Jason Erling Hallstrom</t>
  </si>
  <si>
    <t>http://newsantaana.com/wp-content/uploads/2013/03/Jason-Erling-Hallstrom-and-Travis-Mock.jpg</t>
  </si>
  <si>
    <t>Grand Avenue and 15th Street</t>
  </si>
  <si>
    <t>Jason Erling Hallstrom, 41 was the passenger in an allegedly stolen car driven by Travis Stuart Mock, 29. Police attempted to pull over the vehicle traveling northbound on the 5 Freeway. It pulled off at North Grand Avenue and continued north to East 15th Street, crashing into a curb. Passengers tried to escape on foot, firing at officers who shot in return striking both men. Both were taken to Western Medical Center in Santa Ana; Hallstrom died March 23rd. Hallstrom, before his death, was charged with a felony count of unlawful taking of a vehicle and a misdemeanor count of resisting a public or peace officer.</t>
  </si>
  <si>
    <t>http://www.ocregister.com/news/police-501170-santa-officer.html</t>
  </si>
  <si>
    <t>Tyrique Rashad Johnson</t>
  </si>
  <si>
    <t>10333 Technology Blvd E</t>
  </si>
  <si>
    <t>Off-duty police Senior Cpl. Christopher Timms was working security at a nightclub with fellow officers Colwin Dennis and Arif Khan, when he saw the suspect firing directly into the crowd with an automatic pistol and shot him to protect other club-goers. Johnson was taken to Parkland Memorial Hospital where he was pronounced dead.</t>
  </si>
  <si>
    <t>http://crimeblog.dallasnews.com/2013/03/1-dead-1-injured-after-police-involved-gunfire-erupts-outside-dallas-bar.html/</t>
  </si>
  <si>
    <t>John Harris</t>
  </si>
  <si>
    <t>200 block North Homan Avenue</t>
  </si>
  <si>
    <t>Officers were called to the suspect's apartment after receiving a report of a domestic disturbance involving a "man with a gun." Officers found the suspect in the bathroom, which he exited and aimed the gun at them. After refusing to drop the weapon when ordered several times, the suspect was shot and killed.</t>
  </si>
  <si>
    <t>http://www.huffingtonpost.com/2013/03/14/john-harris-fatal-police-shooting_n_2876172.html</t>
  </si>
  <si>
    <t>Bradley Wilson</t>
  </si>
  <si>
    <t>http://bloximages.chicago2.vip.townnews.com/idahostatejournal.com/content/tncms/assets/v3/editorial/f/fa/ffa212dc-8ed3-11e2-9055-001a4bcf887a/5145703acbb4b.image.jpg</t>
  </si>
  <si>
    <t>4335 Yellowstone Ave</t>
  </si>
  <si>
    <t>Chubbuck</t>
  </si>
  <si>
    <t>83202</t>
  </si>
  <si>
    <t>Bannock</t>
  </si>
  <si>
    <t>Bannock County Sheriff's Department</t>
  </si>
  <si>
    <t>Wilson had taken an 18-year-old male high school student hostage after walking into Petco with a handgun. It was reported at the scene that one fatal shot was fired by the Bannock County Sheriff’s sergeant and it hit Wilson in the neck ending an episode that began about 8 p.m.</t>
  </si>
  <si>
    <t>http://www.idahostatejournal.com/members/prosecutor-clears-officer-probe-reveals-deadly-shooting-of-petco-hostage/article_c8c092ce-eab9-11e2-a90b-001a4bcf887a.html</t>
  </si>
  <si>
    <t>Kurt Myers</t>
  </si>
  <si>
    <t>http://ww2.hdnux.com/photos/20/36/45/4319577/29/628x471.jpg</t>
  </si>
  <si>
    <t>248 N Main St</t>
  </si>
  <si>
    <t>Herkimer</t>
  </si>
  <si>
    <t>13350</t>
  </si>
  <si>
    <t>With no known motive, Myers set his own house on fire and embarked on a shooting spree that left four dead and another two seriously injured. Police and FBI tracked him to the boarded-up "Glory Days" bar storefront in downtown Herkimer. After a tense 19-hour standoff, and his killing of a police dog, officers opened heavy fire on Myers and shot him dead.</t>
  </si>
  <si>
    <t>http://www.timesunion.com/local/article/Real-world-storms-in-4354255.php</t>
  </si>
  <si>
    <t>Willie Lee Bingham Jr.</t>
  </si>
  <si>
    <t>907 Delta Council Drive</t>
  </si>
  <si>
    <t>38732</t>
  </si>
  <si>
    <t>Bolivar</t>
  </si>
  <si>
    <t>Bolivar County Sheriff's Office</t>
  </si>
  <si>
    <t>20-year-old Willie Lee Bingham Jr. was shot and killed as he and his friends allegedly attempted to flee the scene of a vandalized vehicle. Bingham allegedly resisted arrest; in fact was running away and was shot in the back of the head. The shooting was ruled "unnecessary" by the attorney general’s office. Former deputy Walter Grant was indicted on manslaughter charges and arrested in March of 2015. NAACP said the family is also pursuing a civil suit against the department and Grant.</t>
  </si>
  <si>
    <t>http://www.newsms.fm/unnecessary-shooting-bolivar-county-deputy-indicted-family-naacp-react/</t>
  </si>
  <si>
    <t>Wayne Arnold Jones</t>
  </si>
  <si>
    <t>http://www.winchesterstar.com/files/uploads/article_images/19515382A0/533e3fd7-96f4-4d20-a275-2910b68152da.jpg</t>
  </si>
  <si>
    <t>100 block South Queen Street</t>
  </si>
  <si>
    <t>Martinsburg</t>
  </si>
  <si>
    <t>25401</t>
  </si>
  <si>
    <t>Martinsburg Police Department</t>
  </si>
  <si>
    <t>Jones was shot by five officers with the Martinsburg Police Department. Jones was shot with a Taser twice after allegedly refusing police orders and later was fatally shot when police say he stabbed an officer with a knife during a scuffle with an officer on the ground.</t>
  </si>
  <si>
    <t>http://appalachianareanews.com/autopsy-virginia-police-shot-mentally-ill-man-23-times/</t>
  </si>
  <si>
    <t>Jose Manuel Cantu</t>
  </si>
  <si>
    <t>100 block Stony Mont Drive</t>
  </si>
  <si>
    <t>Del Valle</t>
  </si>
  <si>
    <t>78617</t>
  </si>
  <si>
    <t>Bastrop County Deputy Mark Garcia and Investigator Stephen Broderick responded to a 911 call about a family disturbance. They found the suspect outside of his home, armed and repeatedly told Cantu to drop the weapon. The suspect allegedly refused, and pointed the weapon at the deputies who shot and killed him at the scene.</t>
  </si>
  <si>
    <t>http://www.statesman.com/news/news/crime-law/officers-involved-in-del-valle-shooting-identified/nWsFp/</t>
  </si>
  <si>
    <t>Stephen P. Bethea</t>
  </si>
  <si>
    <t>http://bloximages.chicago2.vip.townnews.com/pantagraph.com/content/tncms/assets/v3/editorial/e/0c/e0c706f8-8dc8-11e2-988f-001a4bcf887a/5143b0217c8fb.preview-620.jpg</t>
  </si>
  <si>
    <t>8 Melrose Court</t>
  </si>
  <si>
    <t>61704</t>
  </si>
  <si>
    <t>McLean</t>
  </si>
  <si>
    <t>Police said an armed Bethea confronted officers when they arrived at his house in response to a domestic dispute. He approached two officers, who repeatedly ordered him to drop the weapon. He was shot when he pointed the weapon toward the officers, police said.</t>
  </si>
  <si>
    <t>http://www.pantagraph.com/news/local/crime-and-courts/coroner-man-shot-by-police-had-bac-of/article_e24d8346-c4da-11e2-81d2-001a4bcf887a.html</t>
  </si>
  <si>
    <t>Austin Ryan Thomas</t>
  </si>
  <si>
    <t>https://usgunviolence.files.wordpress.com/2013/11/austin-ryan-thomas.jpg?w=625</t>
  </si>
  <si>
    <t>23000 block Greenfield Road</t>
  </si>
  <si>
    <t>48237</t>
  </si>
  <si>
    <t>Oakland County Narcotics Enforcement Team</t>
  </si>
  <si>
    <t>A member of the Oakland County Narcotics Enforcement Team fatally shot Austin Ryan Thomas during an undercover drug operation. The suspect allegedly tried to rob an undercover officer and put a weapon to his head. The officer pulled his weapon and shot Thomas, he was pronounced dead a short time later at the hospital.</t>
  </si>
  <si>
    <t>http://www.theoaklandpress.com/general-news/20130312/updated-southfield-teen-shot-and-killed-in-undercover-drug-investigation-named</t>
  </si>
  <si>
    <t>Juan Luis Rodriguez</t>
  </si>
  <si>
    <t>S.W. 77 Street &amp; S.W. 162 Avenue</t>
  </si>
  <si>
    <t>33193</t>
  </si>
  <si>
    <t>According to investigators, officer(s) were dispatched to a suspicious person, white male seen looking into vehicle call. When the officer(s) arrived, they located the male subject and began to interview him. During the interview, the subject gave false information and refused to provide a reasonable explanation for his presence &amp; conduct. The officer(s) attempted to handcuff the subject and a violent struggle ensued. During the struggle, the subject broke free from the officer(s) and entered their police cruiser, attempting to use the vehicle as a weapon to run the officer(s) down. An officer discharged his firearm, striking and killing the subject.</t>
  </si>
  <si>
    <t>http://www.miamidade.gov/police/releases/PD130312093735_Police_Involved_Shooting_Update1.asp</t>
  </si>
  <si>
    <t>Alvin T. Clark</t>
  </si>
  <si>
    <t>230 Shore Street</t>
  </si>
  <si>
    <t>Valentine</t>
  </si>
  <si>
    <t>69201</t>
  </si>
  <si>
    <t>Cherry</t>
  </si>
  <si>
    <t>Valentine Police Department</t>
  </si>
  <si>
    <t>A Valentine officer shot and killed Clark in a double shooting after responding to the scene. Clark is suspected of killing Ricky Homan, 54, of Valentine, and wounding John Malone, 76, of Valentine. Both men were shot.</t>
  </si>
  <si>
    <t>http://rapidcityjournal.com/news/local/communities/chadron/two-dead-after-shooting-in-valentine/article_cc034174-8cd7-11e2-a36a-0019bb2963f4.html</t>
  </si>
  <si>
    <t>Daniel Johnston</t>
  </si>
  <si>
    <t>461 Main Street</t>
  </si>
  <si>
    <t>Willimantic</t>
  </si>
  <si>
    <t>06226</t>
  </si>
  <si>
    <t>Willimantic Police Department</t>
  </si>
  <si>
    <t>Police responded to reports of a man making verbal and non-verbal threats to find Johnston, 315 lbs and dressed in black, armed with a medieval two-bladed battle-axe and a knife. After a confrontation where Johnston refused to drop his weapon, one of the six responding officers shot him three times.</t>
  </si>
  <si>
    <t>http://www.ct.gov/csao/cwp/view.asp?A=1802&amp;Q=535432</t>
  </si>
  <si>
    <t>Clinton Roebexar Allen</t>
  </si>
  <si>
    <t>http://www.kesq.com/image/view/-/21256528/medRes/1/-/maxh/360/maxw/640/-/u2ngwpz/-/shirar-jpg.jpg</t>
  </si>
  <si>
    <t>3300 block Southern Oaks Boulevard</t>
  </si>
  <si>
    <t>Police were called to the apartment because woman at the apartment reported that a man who she knew was knocking on the door and threatening her. When officers arrived, the man had left. They searched for the man in the apartment complex. An officer, who was alone at the time, saw him and a struggle ensued. The officer broadcast an assist, and shot Allen.</t>
  </si>
  <si>
    <t>Horace Whiting</t>
  </si>
  <si>
    <t>63</t>
  </si>
  <si>
    <t>http://localtvwreg.files.wordpress.com/2013/03/promo188519397.jpg</t>
  </si>
  <si>
    <t>S Danny Thomas Blvd &amp; Mississippi Blvd</t>
  </si>
  <si>
    <t>Shot to death. Police claim Whiting had a shotgun when they confronted him in front of his house and that he fired at them when they told him to put the gun down. A neighbor of Whiting said Whiting never pointed the gun at anyone, and never menaced officers and that he was on his own porch.</t>
  </si>
  <si>
    <t>http://www.localmemphis.com/mostpopular/story/Memphis-Officers-Shoot-Kill-Suspect-Armed-with/d/story/DSO-dq-tW0itCkhNdYVHyw</t>
  </si>
  <si>
    <t>Kimani Gray</t>
  </si>
  <si>
    <t>East 52nd St and Snyder Avenue</t>
  </si>
  <si>
    <t>11218</t>
  </si>
  <si>
    <t>When the officers were noticed by the group of young men, they saw Kimani fidget with his waistband and then break away from the group and act suspiciously, police said. Two officers exited their vehicle and attempted to speak with the young man around 11:25 p.m., according to police, when Kimani allegedly turned on them and pointed a .38 caliber pistol at the cops.</t>
  </si>
  <si>
    <t>Anthony Rawls</t>
  </si>
  <si>
    <t>http://walb.images.worldnow.com/images/21585196_BG1.jpg</t>
  </si>
  <si>
    <t>106 Huntwood Lane</t>
  </si>
  <si>
    <t>Kathleen</t>
  </si>
  <si>
    <t>31047</t>
  </si>
  <si>
    <t>Warner Robins Police Department</t>
  </si>
  <si>
    <t>Police allegedly received a call that Rawls had a gun and was threatening his wife. Officers shot and killed him outside his home.</t>
  </si>
  <si>
    <t>http://warnerrobins.13wmaz.com/news/news/95262-houston-da-rawls-shooting-police-was-justified</t>
  </si>
  <si>
    <t>Carlos Ribot</t>
  </si>
  <si>
    <t>http://cdn.patch.com/users/68455/2013/03/T800x600/bf7ca4fc620bef388725e187a2ca2877.jpg</t>
  </si>
  <si>
    <t>611 Broadway</t>
  </si>
  <si>
    <t>07104</t>
  </si>
  <si>
    <t>A Newark Police Officer, working as a security guard at the Twin City Supermarket, 611 Broadway, shot and killed Carlos Ribot when he pulled a gun and tried to rob the store. The officer shot Ribot once, and he died a short time later at University Hospital in Newark.</t>
  </si>
  <si>
    <t>http://www.nj.com/essex/index.ssf/2013/03/police_identify_robbery_suspec.html</t>
  </si>
  <si>
    <t>Taleb Hussein Yousef Salameh</t>
  </si>
  <si>
    <t>http://d3trabu2dfbdfb.cloudfront.net/2/1/2139772_300x300_1.jpeg</t>
  </si>
  <si>
    <t>238 Holiday Lodge Road</t>
  </si>
  <si>
    <t>North Liberty</t>
  </si>
  <si>
    <t>52317</t>
  </si>
  <si>
    <t>Iowa City Police Department</t>
  </si>
  <si>
    <t>Police responded to a 911 call reporting domestic violence. When they arrived at the scene gunshots were exchanged and Salameh was shot and killed.</t>
  </si>
  <si>
    <t>http://thegazette.com/2013/03/11/north-liberty-man-killed-in-gunfire-exchange-with-officers-three-officers-injured/</t>
  </si>
  <si>
    <t>James Gilkerson</t>
  </si>
  <si>
    <t>http://assets.nydailynews.com/polopoly_fs/1.1335607.1367779929!/img/httpImage/image.jpg_gen/derivatives/article_970/dashcam6n-1-web.jpg?enlarged</t>
  </si>
  <si>
    <t>Ohio 608 near Pierce Street</t>
  </si>
  <si>
    <t>Middlefield</t>
  </si>
  <si>
    <t>44062</t>
  </si>
  <si>
    <t>Geauga</t>
  </si>
  <si>
    <t>Middlefield Police Department</t>
  </si>
  <si>
    <t>James Gilkerson, 42, of Mentor-on-the-Lake, was pulled over for running a stop sign. He got out of his car wielding a semi-automatic AK-47 and fired 37 shots at Middlefield police officers. The officers returned fire, shooting 54 rounds at Gilkerson, fatally wounding the man as he shouted, "Kill me."</t>
  </si>
  <si>
    <t>http://www.cleveland.com/metro/index.ssf/2013/05/middlefield_police_still_wonde.html</t>
  </si>
  <si>
    <t>Arthur Dixon</t>
  </si>
  <si>
    <t>http://i0.huffpost.com/gen/1032088/thumbs/s-ARTHUR-DIXON-large.jpg</t>
  </si>
  <si>
    <t>5411 4th Ave N</t>
  </si>
  <si>
    <t>Saint Petersburg</t>
  </si>
  <si>
    <t>33710</t>
  </si>
  <si>
    <t>Dixon, while possibly suicidal and/or under the influence allegedly ran at police with a pair of scissors while doused in gasoline. Police shot him.</t>
  </si>
  <si>
    <t>http://www.tampabay.com/news/publicsafety/crime/st-petersburg-police-shoot-man-they-say-was-suicidal/2108146</t>
  </si>
  <si>
    <t>Dashaude J. Carr</t>
  </si>
  <si>
    <t>https://a4-images.myspacecdn.com/images03/3/8be86fe20c684771a2e48514eb718238/full.jpg</t>
  </si>
  <si>
    <t>Waycreek Drive</t>
  </si>
  <si>
    <t>77068</t>
  </si>
  <si>
    <t>Deputies responded to a robbery in progress at the Family Dollar and observed five armed suspects climbing into a truck and speeding away. Deputies pursued the suspects to a gully of Cypress Creek near Waycreek Drive, where they crashed into a barrier and fled on foot. Deputies located Carr and ordered him to surrender. When he pulled out his weapon and pointed it at deputies, D.J. Kerrigan and A.C. Sustaita shot him. He was pronounced dead at the scene.</t>
  </si>
  <si>
    <t>http://www.yourhoustonnews.com/cypresscreek/news/update-harris-county-sheriff-s-office-deputy-involved-shooting-leaves/article_7de44938-8a67-11e2-b311-001a4bcf887a.html</t>
  </si>
  <si>
    <t>Khalid Bouaiti</t>
  </si>
  <si>
    <t>239 Fowler Avenue</t>
  </si>
  <si>
    <t>07305</t>
  </si>
  <si>
    <t>Khalid Bouaiti, a mentally ill man, was shot and killed by a Jersey City police officer when he allegedly charged the officer with a knife. Bouaiti had shut himself in his apartment after speaking with a therapist from Jersey City Medical Center. Officer forced their way into his home, and say that he attacked one of them with a knife. The officer fired several shots from his handgun, and Bouaiti was pronounced dead at Jersey City Medical Center.</t>
  </si>
  <si>
    <t>http://www.nj.com/hudson/index.ssf/2013/03/authorities_id_mentally_ill_ma.html</t>
  </si>
  <si>
    <t>Adam Christian Donohue</t>
  </si>
  <si>
    <t>Spanish River Boulevard and Military Trail</t>
  </si>
  <si>
    <t>33431</t>
  </si>
  <si>
    <t>Local police stopped a stolen taxi in the evening, driven by Donohue. After a violent struggle and an attempt to Taser him, he was shot to death. With no criminal record, subsequent reports suggested Donohue was under the influence of hallucinogens.</t>
  </si>
  <si>
    <t>Jeffrey Allen Wright</t>
  </si>
  <si>
    <t>Avenida de Galvez</t>
  </si>
  <si>
    <t>Self-described sovereign citizen Wright attempted to pay a traffic ticket with scrip of his own invention. He then countered further penalties by denying that the court had any jurisdiction over him. County deputies pursued him on charges of counterfeiting, setting up a four-hour standoff at his house. After shooting in tear gas, officers found Wright sitting at the top of his stairs, pointing a gun at them. He was fatally shot by three deputies simultaneously.</t>
  </si>
  <si>
    <t>http://www.splcenter.org/blog/2013/03/14/florida-sovereign-citizen-killed-after-allegedly-threatening-police/</t>
  </si>
  <si>
    <t>Daniel Rodrigo Saenz</t>
  </si>
  <si>
    <t>http://usgunviolence.files.wordpress.com/2013/10/daniel-saenz.jpg?w=625</t>
  </si>
  <si>
    <t>601 E Overland Ave</t>
  </si>
  <si>
    <t>79901</t>
  </si>
  <si>
    <t>Police officials said Saenz was handcuffed when he was shot while allegedly fighting with a police officer who was taking Saenz to a hospital for a medical release. Saenz had been arrested on assault charges.</t>
  </si>
  <si>
    <t>http://www.lcsun-news.com/las_cruces-news/ci_23040851/steroids-dmaa-system-bodybuilder-killed-by-el-paso</t>
  </si>
  <si>
    <t>Jason Welch</t>
  </si>
  <si>
    <t>http://www.ketv.com/image/view/-/19251384/highRes/1/-/maxh/480/maxw/640/-/12qlm2lz/-/Jason-Welch-030913.png</t>
  </si>
  <si>
    <t>5038 Center St</t>
  </si>
  <si>
    <t>Officers attemped to apprehend Jennifer Lovings and Jason Welch in connection with a meth bust. Lovings rammed her vehicle into unmarked police cruisers. Welch reached down into the console, and police believing he was reaching for a gun, shot three times at Welch through the vehicle window. Lovings drove away and ran; Welch was found in the vehicle and taken to the University of Nebraska Medical Center in extremely critical condition. He died five days later.</t>
  </si>
  <si>
    <t>http://www.ketv.com/news/Officer-involved-shooting-linked-to-drug-and-gun-bust/19249838</t>
  </si>
  <si>
    <t>Jason Glover</t>
  </si>
  <si>
    <t>https://jasonilosglover.files.wordpress.com/2013/08/wpid-jason-glover.jpg</t>
  </si>
  <si>
    <t>28260 LA-435</t>
  </si>
  <si>
    <t>Abita Springs</t>
  </si>
  <si>
    <t>70420</t>
  </si>
  <si>
    <t>St. Tammany</t>
  </si>
  <si>
    <t>St. Tammany Parish Sheriff's Office</t>
  </si>
  <si>
    <t>Deputies responded to Glover’s residence after a 911 call from his girlfriend stating that Glover had threatened to kill her and that he was armed with a handgun. When deputies arrived on the scene they found Glover in his truck in the driveway. When he exited the vehicle, he allegedly raised a hand gun and pointed it at deputies, refusing to drop it. A deputy shot and hit him twice; Glover died the next day. Glover was an Iraq War Veteran who had earned a purple heart for his service, and was having trouble readjusting.</t>
  </si>
  <si>
    <t>http://www.wdsu.com/news/local-news/northshore/Family-speaks-out-on-shooting-of-war-veteran/19261870</t>
  </si>
  <si>
    <t>Ramon Ayala</t>
  </si>
  <si>
    <t>Tacoma Avenue and Harrison Avenue</t>
  </si>
  <si>
    <t>Sunnyside</t>
  </si>
  <si>
    <t>98944</t>
  </si>
  <si>
    <t>Sunnyside Police Department</t>
  </si>
  <si>
    <t>Officers responded to a report of a man shooting a gun into the air on a busy street corner. An officer shot and killed Ayala when he ignored their commands and allegedly pointed the gun towards them.</t>
  </si>
  <si>
    <t>http://www.yakimaherald.com/home/912352-8/sunnyside-officer-kills-man-firing-gun</t>
  </si>
  <si>
    <t>Clifton Joel Day</t>
  </si>
  <si>
    <t>13300 Lem Turner Road</t>
  </si>
  <si>
    <t>Trying to repeatedly smash his ex-wife's car, the SWAT officers came to the scene. She told police he was trying to kill her. He had a gun, police told him to put it down, and later when he tried to reach for it they fired at him six times, killing him.</t>
  </si>
  <si>
    <t>http://news.wjct.org/post/jso-identify-man-shot-police-after-ramming-his-ex-wifes-car</t>
  </si>
  <si>
    <t>William Washington</t>
  </si>
  <si>
    <t>5600 block Lebanon Avenue</t>
  </si>
  <si>
    <t>Officers spotted a "suspicious male" coming out of an alleyway and wanted to talk to him about recent burglaries in the area. The suspect ran and officers pursued him, one tackling him to the ground. At that time the suspect allegedly pulled out a .22-caliber Taurus revolver and shot at the officer. Both officers fired at Washington, killing him.</t>
  </si>
  <si>
    <t>http://www.philly.com/philly/blogs/dncrime/Officer-shoots-kills-man-in-West-Philly-.html</t>
  </si>
  <si>
    <t>Scott Edward Evans</t>
  </si>
  <si>
    <t>2332 Stapleton Road</t>
  </si>
  <si>
    <t>New Market</t>
  </si>
  <si>
    <t>37820</t>
  </si>
  <si>
    <t>Federal Bureau of Investigation, Jefferson County Sheriff's Office</t>
  </si>
  <si>
    <t>Evans died of a gunshot wound sustained in a raid at his home conducted by the FBI and local officers. He was wanted on charges of possessing and trading in child pornography. Officials did not disclose the specific reason for the shooting.</t>
  </si>
  <si>
    <t>http://www.knoxnews.com/news/local-news/records-detail-fbi-investigation-into-new-market</t>
  </si>
  <si>
    <t>Eulice Troy Kelley</t>
  </si>
  <si>
    <t>http://wltz.images.worldnow.com/images/21532130_BG1.jpg</t>
  </si>
  <si>
    <t>Oates Avenue</t>
  </si>
  <si>
    <t>31904</t>
  </si>
  <si>
    <t>Police were responding to a domestic dispute. Officers shot and killed Kelley after he allegedly fired a weapon at them.</t>
  </si>
  <si>
    <t>http://www.wltz.com/story/21532130/gbi-probing-officer-involved-shooting</t>
  </si>
  <si>
    <t>Terence Anderson</t>
  </si>
  <si>
    <t>4100 block Turner Ave.</t>
  </si>
  <si>
    <t>Police were called to a home for a report of a domestic disturbance and shooting. When officers arrived they found 32-year-old Nichole Haynes dead at the scene of gunshot wounds, and her 15-year-old daughter wounded. Officers found the suspect's vehicle and attempted to apprehend him. Anderson allegedly put his vehicle in reverse, and started to drive at the officers while pointing a gun. Two officers, fearing for their lives, shot and killed Anderson.</t>
  </si>
  <si>
    <t>http://www.ksdk.com/story/local/2013/03/05/3104433/</t>
  </si>
  <si>
    <t>Venancio Perez-Najera</t>
  </si>
  <si>
    <t>S Wichita St. and W Harry St.</t>
  </si>
  <si>
    <t>Innocent motorist Perez was struck at 64 MPH in a residential intersection by a suspect in a stolen pickup. He was killed by the impact. The suspect was being pursued by two police cars, running stop signs along with the pickup and showing "reckless disregard for the safety of others", according to a $3M suit filed against the city.</t>
  </si>
  <si>
    <t>http://www.kansas.com/news/local/crime/article1143095.html</t>
  </si>
  <si>
    <t>Parrish Dennison</t>
  </si>
  <si>
    <t>https://usgunviolence.files.wordpress.com/2013/10/parrish-clayton-dennison1.jpg?w=625</t>
  </si>
  <si>
    <t>Menaul Blvd NE &amp; Louisiana Blvd NE</t>
  </si>
  <si>
    <t>Dennison, was shot and killed by APD Swat team members after Dennison, who was armed with a handgun, led police on a foot chase and hours-long manhunt in northeast Albuquerque.</t>
  </si>
  <si>
    <t>Richard J. Aubin</t>
  </si>
  <si>
    <t>http://usgunviolence.files.wordpress.com/2013/10/richard-aubin1.jpg</t>
  </si>
  <si>
    <t>Liberty Road and Route 9</t>
  </si>
  <si>
    <t>North Hudson</t>
  </si>
  <si>
    <t>12855</t>
  </si>
  <si>
    <t>Aubin, who had a significant criminal record, led state troopers on a high-speed chase north and south on Route 9 in upstate New York. After his vehicle's tires were spiked, he fled into the woods on foot. According to the two state troopers, there was a physical struggle in which Aubin went for one of their weapons. They wouldn't say how many times he was shot, or where he was hit.</t>
  </si>
  <si>
    <t>http://www.dailygazette.com/news/2013/mar/06/man-shot-after-adirondacks-chase/</t>
  </si>
  <si>
    <t>Anthony Desean Meeks</t>
  </si>
  <si>
    <t>https://usgunviolence.files.wordpress.com/2013/10/anthony-desean-meeks.jpg?w=625</t>
  </si>
  <si>
    <t>300 block Freedom St. SW</t>
  </si>
  <si>
    <t>28025</t>
  </si>
  <si>
    <t>Cabarrus</t>
  </si>
  <si>
    <t>The U.S. Marshals Service, FBI, and local police were responding to a tip about a wanted suspect and allegedly found Meeks at a window with a gun. They shot and killed him after he reportedly came out of the window with the gun.</t>
  </si>
  <si>
    <t>http://www.hickoryrecord.com/independent_tribune/news/article_f1454a2a-84e1-11e2-9c02-0019bb30f31a.html</t>
  </si>
  <si>
    <t>Jimmy James Garza Jr.</t>
  </si>
  <si>
    <t>http://ww1.hdnux.com/photos/20/25/44/4282668/4/622x350.jpg</t>
  </si>
  <si>
    <t>900 block Drury Lane</t>
  </si>
  <si>
    <t>78221</t>
  </si>
  <si>
    <t>San Antonio police shot and killed a suicidal security guard who had assaulted his former girlfriend, staged a traffic accident to cover it up, then refused to come out of his house. After four hours, he rushed out at SWAT officers armed with a rifle, so they shot and killed him.</t>
  </si>
  <si>
    <t>http://www.mysanantonio.com/default/article/Suicidal-suspect-killed-in-standoff-4326086.php#photo-4282668</t>
  </si>
  <si>
    <t>Santiago A. Cisneros III</t>
  </si>
  <si>
    <t>http://media.oregonlive.com/portland_impact/photo/santiagocisnerosiiijpg-025988f7e1c6d421.jpg</t>
  </si>
  <si>
    <t>NE 7th and Lloyd Blvd.</t>
  </si>
  <si>
    <t>97232</t>
  </si>
  <si>
    <t>Portland Police Bureau</t>
  </si>
  <si>
    <t>Cisneros confronted two North Precinct police officers atop a garage at Northeast Lloyd Boulevard and Seventh Avenue. He fired with a shotgun.</t>
  </si>
  <si>
    <t>http://www.oregonlive.com/portland/index.ssf/2013/04/transcript_released_of_grand_j.html</t>
  </si>
  <si>
    <t>Jeffrey Lowry</t>
  </si>
  <si>
    <t>300 NE 17th Avenue</t>
  </si>
  <si>
    <t>Ft. Lauderdale</t>
  </si>
  <si>
    <t>The owner of cable installation business, Lowry was shot dead by six bullets fired by local officers after a Sunday evening domestic dispute. Initially police claimed that he had a knife -- a claim that Lowry's wife flatly called "a lie," describing the incident as an assassination.</t>
  </si>
  <si>
    <t>http://articles.sun-sentinel.com/2013-03-04/news/fl-victoria-park-shooting-folo-20130304_1_butter-knife-butcher-knife-officers</t>
  </si>
  <si>
    <t>Walter McKelvey</t>
  </si>
  <si>
    <t>http://img.opposingviews.com/sites/default/files/imagecache/350x250/featured_image/WalterMcKelvey_0.png</t>
  </si>
  <si>
    <t>151 NE Main St</t>
  </si>
  <si>
    <t>Canyonville</t>
  </si>
  <si>
    <t>97417</t>
  </si>
  <si>
    <t>Douglas County Sheriff's Deputies</t>
  </si>
  <si>
    <t>McKelvey was intercepted by county police at a small-town convenience store on a Sunday night, acting in an erratic way and beginning to run into street traffic. McKelvey, well known to the police, resisted and struggled with the officers. Shortly after apprehension but before he was taken to jail he suffered an unknown medical emergency and stopped breathing.</t>
  </si>
  <si>
    <t>http://www.kpic.com/news/local/Man-26-dies-after-being-taken-into-custody-194931221.html</t>
  </si>
  <si>
    <t>Shawn Joseph Jetmore Stoddard-Nunez</t>
  </si>
  <si>
    <t>http://extras.mnginteractive.com/live/media/site571/2013/0515/20130515__erev0512hayshooting03~1.JPG</t>
  </si>
  <si>
    <t>Fletcher Lane and Watkins Street</t>
  </si>
  <si>
    <t>Shawn Stoddard-Nunez died when a Hayward police officer fired into the passenger side of a car he was riding in. Two of the shots struck him, one of them killing him, as the officer emptied his service weapon. Police say the officer fired because he believed the driver of the car, Arthur Pakman, was going to run him down as the officer stood outside his police cruiser.</t>
  </si>
  <si>
    <t>http://www.mercurynews.com/top-stories/ci_23251209/hayward-police-shooting-raises-questions</t>
  </si>
  <si>
    <t>Amos G. Smith</t>
  </si>
  <si>
    <t>http://usgunviolence.files.wordpress.com/2013/10/amos-g-smith.jpg?w=625</t>
  </si>
  <si>
    <t>Dyer Street south of Meteor Way</t>
  </si>
  <si>
    <t>Smith was pulled over by officers and attempted to flee, police say. Police shot and killed him after he allegedly pointed a gun at officers.</t>
  </si>
  <si>
    <t>http://www.contracostatimes.com/breaking-news/ci_24362149/union-city-police-shoot-kill-parolee-armed-pipe</t>
  </si>
  <si>
    <t>Aaron Sawyer</t>
  </si>
  <si>
    <t>Hester Avenue and Bayshore Boulevard</t>
  </si>
  <si>
    <t>94134</t>
  </si>
  <si>
    <t>Daly City Police Department</t>
  </si>
  <si>
    <t>Daly City police spotted Sawyer behind the wheel of a stolen vehicle and chased him into San Francisco. Sawyer eventually abandoned the car and fled on foot. After Sawyer allegedly raised a gun at officers, a Daly City officer shot him in the torso, killing him.</t>
  </si>
  <si>
    <t>http://www.mercurynews.com/ci_22716226/id-released-man-fatally-shot-by-daly-city</t>
  </si>
  <si>
    <t>Ronald Aduddell</t>
  </si>
  <si>
    <t>Blossom Avenue and Calero Avenues</t>
  </si>
  <si>
    <t>Police attempted a traffic stop when they felt a vehicle looked suspicious, and a chase ensued. After reportedly ramming several police cars, Aduddell got out of the vehicle and was shot to death by Officers Ian Cooley and Adam Jenkins, who say his hands were on his waistband area. Police did not locate a weapon at the scene.</t>
  </si>
  <si>
    <t>http://www.mercurynews.com/ci_22732893/san-jose-man-killed-by-police-was-facing</t>
  </si>
  <si>
    <t>Jesse McMillan</t>
  </si>
  <si>
    <t>415 Northwest Fifth Avenue</t>
  </si>
  <si>
    <t>Kelso Police Department, Cowlitz County Sheriff's Department</t>
  </si>
  <si>
    <t>About 10 a.m. McMillan sideswiped two cars and fled, attracting police notice that he had outstanding warrants for felony robbery. They tracked him to his mother's house where McMillan staged armed resistance and a firefight in the front yard. At least a dozen shots were fired. No officers were struck but McMillan was killed.</t>
  </si>
  <si>
    <t>http://www.komonews.com/news/local/Hit-and-run-suspect-killed-in-shootout-with-police-in-Kelso-194546321.html</t>
  </si>
  <si>
    <t>Marcus Dewayne Patterson</t>
  </si>
  <si>
    <t>6221 W Wilshire Blvd</t>
  </si>
  <si>
    <t>73132</t>
  </si>
  <si>
    <t>Schamel was struck by the car Patterson was driving. As he rolled over the hood of the car, Schamel fired his gun, police said.</t>
  </si>
  <si>
    <t>http://newsok.com/name-released-of-man-killed-in-oklahoma-city-officer-involved-shooting/article/3760794</t>
  </si>
  <si>
    <t>John Stanley Schaefer</t>
  </si>
  <si>
    <t>http://media.cmgdigital.com/shared/lt/lt_cache/resize/300x300/img/photos/2013/03/12/38/dc/John-Schaefer-OBIT.jpg</t>
  </si>
  <si>
    <t>10000 block Lanshire Drive</t>
  </si>
  <si>
    <t>78758</t>
  </si>
  <si>
    <t>Schaefer called police to report being attacked by a pit bull in his yard that was not his. Officer Jonathan Whitted shot and killed Schaefer when he refused to surrender his pistol to the officer and allegedly pointed it at him. Schaefer was an instructor at the Austin Rifle Club.</t>
  </si>
  <si>
    <t>http://projects.statesman.com/homicides/homicide-victim-detail.php?VictimID=28</t>
  </si>
  <si>
    <t>Daniel John Myers</t>
  </si>
  <si>
    <t>https://cbsdetroit.files.wordpress.com/2013/03/daniel-myers.jpg?w=214&amp;h=285&amp;crop=1</t>
  </si>
  <si>
    <t>West Paisano Drive</t>
  </si>
  <si>
    <t>79922</t>
  </si>
  <si>
    <t>Myers was killed in a shootout with El Paso police and a US Border Patrol Agent. He was wanted for robbery charges in Michigan.</t>
  </si>
  <si>
    <t>http://detroit.cbslocal.com/2013/03/02/michigan-fugitive-shot-killed-by-officers-in-texas/</t>
  </si>
  <si>
    <t>4911 Dumfries Dr</t>
  </si>
  <si>
    <t>77096</t>
  </si>
  <si>
    <t>Suspect charged at officer with scissors in his hand.  Officer fearing for his life, discharged weapon at suspect multiple times.  Suspect was struck with multiple rounds and collapsed to the ground and died.</t>
  </si>
  <si>
    <t>Richard Shreckengaust</t>
  </si>
  <si>
    <t>Odd Fellows Park Road and Riverside Drive</t>
  </si>
  <si>
    <t>Police received a call from a woman whose friend was sending her text messages saying she had been kidnapped. Police located the vehicle and attempted to pull it over. Shreckengaust, the driver, refused to stop, and eventually crashed into an embankment. A deputy shot Shreckengaust several times, killing him, when he allegedly leaned to the right of the car. Police did not find a gun. The woman, an acquaintance of Shreckengaust, was not harmed.</t>
  </si>
  <si>
    <t>http://www.sfgate.com/default/article/Sonoma-County-deputy-kills-kidnap-suspect-4320068.php</t>
  </si>
  <si>
    <t>Jack Sun Keewatinawin</t>
  </si>
  <si>
    <t>http://www.mynorthwest.com/emedia/seattle/9/956/95625.jpg?filter=mynw/335wide</t>
  </si>
  <si>
    <t>10100 block 4th Avenue NW</t>
  </si>
  <si>
    <t>98177</t>
  </si>
  <si>
    <t>Police were answering a domestic violence dispute between subject and his father.</t>
  </si>
  <si>
    <t>http://blog.seattlepi.com/seattle911/2013/02/27/court-docs-man-shot-by-police-was-schizophrenic-sex-offender/</t>
  </si>
  <si>
    <t>Adam Jurgen</t>
  </si>
  <si>
    <t>1513 Farrington Way</t>
  </si>
  <si>
    <t>29210</t>
  </si>
  <si>
    <t>Santa Cruz Police Department</t>
  </si>
  <si>
    <t>Police were responding to report of a man assaulting a woman. The man, Jurgen, fled the scene and then fired at officers, striking deputy Sheila Aull. Aull and at least four other officers returned fire and killed Jurgen.</t>
  </si>
  <si>
    <t>http://www.cbsnews.com/news/california-cop-shooting-alleged-gunman-dead-after-fatally-shooting-two-police-officers-in-santa-cruz-home-police-say/</t>
  </si>
  <si>
    <t>Jeremy Goulet</t>
  </si>
  <si>
    <t>http://extras.mnginteractive.com/live/media/site6/2013/0227/20130227_122600_sscs0227goulet01_GALLERY.jpg</t>
  </si>
  <si>
    <t>800 block North Branciforte Avenue</t>
  </si>
  <si>
    <t>95062</t>
  </si>
  <si>
    <t>Santa Cruz County Sheriff's Office, Santa Cruz Police Department</t>
  </si>
  <si>
    <t>Officer came to Goulet's home to investigate a sex crime. He killed them, and left. He returned to the home shortly later, where he was confronted and killed.</t>
  </si>
  <si>
    <t>http://www.santacruzsentinel.com/ci_23308819/da-officers-who-shot-goulet-acted-heroic</t>
  </si>
  <si>
    <t>Lorenzo J. Ciaramella</t>
  </si>
  <si>
    <t>7911 Arlington Ave.</t>
  </si>
  <si>
    <t>Patrol officers, in marked police cars and in full uniform, responded to a call regarding a person in a stolen vehicle at the Peppertree Apartments. Upon arrival, the officers were directed to a suspect in a different vehicle. Witnesses indicated that the suspect had just stolen this car after fleeing the first vehicle. Ciaramella saw the officers and fled in the stolen vehicle. The suspect vehicle fled out the west gate, but collided with another vehicle. As one of the patrol units exited the west gate, Ciaramella rammed the stolen vehicle into the driver side of the police vehicle. The officer shot and killed him.</t>
  </si>
  <si>
    <t>http://www.riversideca.gov/rpd/press/2013releases/022613ois.pdf</t>
  </si>
  <si>
    <t>Jimmie Eugene Hickey</t>
  </si>
  <si>
    <t>http://www.mentalhealthportland.org/wp-content/uploads/2013/02/Jimmie-Hickey.jpg</t>
  </si>
  <si>
    <t>12622 Silverton Rd NE</t>
  </si>
  <si>
    <t>Silverton</t>
  </si>
  <si>
    <t>Marion County Sheriff's Office, Oregon State Police</t>
  </si>
  <si>
    <t>Apparently acting on a long-held paranoid grudge, Hickey came armed to an RV park as a former resident, sought out a specific general manager, and wounded him with gunfire. He then settled into randomly shooting throughout the park and paused at a picnic table to reload. He was shot to death by county and state police.</t>
  </si>
  <si>
    <t>http://www.oregonlive.com/pacific-northwest-news/index.ssf/2013/02/silverton_rv_park_shooting_pol.html</t>
  </si>
  <si>
    <t>Brett Max Knight</t>
  </si>
  <si>
    <t>http://local.sltrib.com/charts/shootings/images/thumbs/6.jpg</t>
  </si>
  <si>
    <t>Kaysville</t>
  </si>
  <si>
    <t>84037</t>
  </si>
  <si>
    <t>Utah County Sheriff's Office, Davis County Sheriff's Offices, Utah Highway Patrol</t>
  </si>
  <si>
    <t>Knight, a Utah County resident suspected in a Draper bank robbery, fled from police on Interstate 15; troopers and motorists said he pointed a gun at them. Officers stopped Knight in Davis County. He got out with a handgun, exchanged heated words with officers, and pointed the gun at them, investigators said. Four of them opened fire.</t>
  </si>
  <si>
    <t>Moises De La Torre</t>
  </si>
  <si>
    <t>Vineland Avenue &amp; Archwood Street</t>
  </si>
  <si>
    <t>91606</t>
  </si>
  <si>
    <t>Officers reported that they responded to a call that a man was threatening a woman to get money from her, and when they arrived at the scene De La Torre was standing in the middle of the street with his hand in a bag. He didn't obey orders to stop or take his hands away from the bag, and officers shot him to death. There was a folding chair inside the bag, instead of a gun. De La Torre was reported to struggle with mental illness and substance abuse.</t>
  </si>
  <si>
    <t>http://www.huffingtonpost.com/2013/10/24/moises-de-la-torre-lawsuit_n_4153265.html</t>
  </si>
  <si>
    <t>Michael Dugas</t>
  </si>
  <si>
    <t>http://media.nbcconnecticut.com/images/654*368/michael+dugas.jpg</t>
  </si>
  <si>
    <t>Laurel Hill Avenue and Center Street</t>
  </si>
  <si>
    <t>Norwich</t>
  </si>
  <si>
    <t>06360</t>
  </si>
  <si>
    <t>Norwich Police Department</t>
  </si>
  <si>
    <t>According to police, the 52-year-old was despondent and told officers on scene he had a weapon. Police said he refused to follow officers' commands and that after they attempted to communicate with him for an unspecified period of time, Dugas suddenly drew a handgun from his pocket and pointed it at them. Officers shot and killed him.</t>
  </si>
  <si>
    <t>http://articles.courant.com/2013-06-18/community/hc-norwich-wrongful-death-suit-0619-20130618_1_172-laurel-hill-ave-man-shot-michael-dugas</t>
  </si>
  <si>
    <t>Kevin Michael McGlyn</t>
  </si>
  <si>
    <t>156 Willett Ave</t>
  </si>
  <si>
    <t>South River</t>
  </si>
  <si>
    <t>08882</t>
  </si>
  <si>
    <t>South River Police Department</t>
  </si>
  <si>
    <t>Officers responded to a call of a man threatening two men with a knife in the apartment complex parking lot. When they arrived, McGlyn allegedly confronted them with a knife, and one of the officers shot him. McGlyn was pronounced dead at Robert Wood Johnson University Medical Center. McGlyn had been facing three counts of making terroristic threats and two weapons offenses. McGlyn suffered from paranoid schizophrenia and was bipolar.</t>
  </si>
  <si>
    <t>http://www.nj.com/middlesex/index.ssf/2013/02/police_shooting_south_river_ne.html?fb_ref=Default</t>
  </si>
  <si>
    <t>David Krambs</t>
  </si>
  <si>
    <t>1401 Elizabeth St.</t>
  </si>
  <si>
    <t>89509</t>
  </si>
  <si>
    <t>As officers arrived at the home near Idlewild Park, an officer perceived a threat, pulled his gun and fired, killing David Krambs. A woman who was also present was not injured.</t>
  </si>
  <si>
    <t>https://drive.google.com/file/d/0B-l9Ys3cd80fcU0wUXJmOEFBcnc/view?usp=sharing</t>
  </si>
  <si>
    <t>Gary Allen Hawkins</t>
  </si>
  <si>
    <t>http://www.kcra.com/image/view/-/19081244/highRes/1/-/maxh/630/maxw/1200/-/wutcrp/-/Gary-Hawkins-img-022513.jpg</t>
  </si>
  <si>
    <t>200 block S. Adelbert Avenue</t>
  </si>
  <si>
    <t>95215</t>
  </si>
  <si>
    <t>San Joaquin County Sheriff's Office; Stockton Police Department</t>
  </si>
  <si>
    <t>The San Joaquin County Gang Task Force attempted to stop a man driving a vehicle that was believed to have been involved in a robbery the day before. When they exited their vehicles, the suspect accelerated his vehicle in reverse and tried to run them over. A deputy and an officer opened fire and Hawkins died at the hospital. A loaded gun was found on Hawkins. As of March 21, 2015, the report into the shooting had not been released.</t>
  </si>
  <si>
    <t>http://www.recordnet.com/article/20150321/NEWS/150329928/101087/A_NEWS?template=wapart</t>
  </si>
  <si>
    <t>Jose Elias Mata</t>
  </si>
  <si>
    <t>http://usgunviolence.files.wordpress.com/2013/10/jose-elias-mata.jpg?w=625</t>
  </si>
  <si>
    <t>7400 block Kitty Hawk</t>
  </si>
  <si>
    <t>A deputy was attempting to stop a stole vehicle. The suspect wrecked as he was fleeing, opened fire on the deputy, wounding him, and stole his vehicle. SAPD later caught up with him at a trailer park. They exchanged gunfire, and Mata was shot and killed.</t>
  </si>
  <si>
    <t>http://www.kens5.com/news/Bexar-County-deputy-shot-192562021.html</t>
  </si>
  <si>
    <t>Martin Y. Potts</t>
  </si>
  <si>
    <t>http://cmsimg.news-leader.com/apps/pbcsi.dll/bilde?Site=DO&amp;Date=20130225&amp;Category=NEWS01&amp;ArtNo=302250078&amp;Ref=V1</t>
  </si>
  <si>
    <t>2506 W. Grand St.</t>
  </si>
  <si>
    <t>65806</t>
  </si>
  <si>
    <t>Police were investigating two burglaries and attempting to execute a search warrant on a property when they encountered Potts, who fled. Potts was killed by members of a Special Response Team after allegedly firing at officers.</t>
  </si>
  <si>
    <t>http://archive.news-leader.com/article/20131231/NEWS01/312310101/Martin-Y-Potts-shooting-springfield-missouri</t>
  </si>
  <si>
    <t>Ryo Oyamada</t>
  </si>
  <si>
    <t>http://assets.dnainfo.com/generated/photo/2013/08/ryo-oyamada-1377121223.jpg/larger.jpg</t>
  </si>
  <si>
    <t>40th Avenue and 10th Street</t>
  </si>
  <si>
    <t>Long Island City</t>
  </si>
  <si>
    <t>11101</t>
  </si>
  <si>
    <t>Oyamada was struck and killed by a speeding NYPD patrol car. The incident is remarkable for the extent of the police cover-up afterward, some elements of which have been objectively proven as fabricated.</t>
  </si>
  <si>
    <t>http://gothamist.com/2014/08/20/ryo_oyamada_video.php</t>
  </si>
  <si>
    <t>Christopher Allen Taylor</t>
  </si>
  <si>
    <t>6400 block Keynote St.</t>
  </si>
  <si>
    <t>90808</t>
  </si>
  <si>
    <t>Officers spotted a stolen vehicle and pursued it until it crashed into a garage. Taylor was shot and killed by officers after he allegedly fired at them. Police say they recovered a handgun at the scene.</t>
  </si>
  <si>
    <t>http://lbpost.com/news/2000001848-robbery-suspect-killed-after-firing-on-officers#.UUQWfIUUs7A</t>
  </si>
  <si>
    <t>Saturnino Perez De La Rosa</t>
  </si>
  <si>
    <t>North Howard Street and Oak Street</t>
  </si>
  <si>
    <t>18102</t>
  </si>
  <si>
    <t>Allentown Police Department</t>
  </si>
  <si>
    <t>Police officers responded to the scene after receiving multiple reports of a suspicious man carrying a machete. When officers encountered the man he was combative, mumbling and making "wild motions" with the machete, which was estimated to be 1 1/2 to 2 feet long. At that point two officers used their stun guns, one hitting the man, but officers said it appeared to have to no effect, perhaps due to his heavy clothing. The man used the machete to cut the stun gun wires off of him. The man continued to be combative and one officer fired his gun once or twice but that had no effect if the man was struck. Officers again used stun guns on the man and two officers also shot several rounds at him, striking him. The man was still not deterred and was thrashing and combative as officers handcuffed him and waited for medical assistance. A total of 13 shell casings were covered at the scene, Martin said.</t>
  </si>
  <si>
    <t>http://www.lehighvalleylive.com/allentown/index.ssf/2013/02/machete-wielding_man_shot_by_a.html</t>
  </si>
  <si>
    <t>Clifton Thompson</t>
  </si>
  <si>
    <t>400 Hykes Mill Rd</t>
  </si>
  <si>
    <t>Conewago</t>
  </si>
  <si>
    <t>Northern York County Regional Police Department</t>
  </si>
  <si>
    <t>Thompson called a crisis line to say he was armed and suicidal, and police were contact and sent to his home. Officers were allegedly trying to negotiate with Thompson when he fired one shot at them with a rifle and ran outside. He encountered another officer who fired at him four times with a patrol rifle, killing him.</t>
  </si>
  <si>
    <t>http://www.ydr.com/crime/ci_22634312/shooting-closes-hykes-mill-road-conewago-township</t>
  </si>
  <si>
    <t>Clifton Thomson</t>
  </si>
  <si>
    <t>http://extras.mnginteractive.com/live/media/site515/2013/0910/20130910_074057_thomson_200.jpeg</t>
  </si>
  <si>
    <t>400 block Hykes Mill Road</t>
  </si>
  <si>
    <t>17345</t>
  </si>
  <si>
    <t>Northern York County Regional Police</t>
  </si>
  <si>
    <t>Cpls. John Hartley, and Officers Cody Becker, Noah Pottierger and Stephen McClure of the Northern York County Regional Police responded to a call from a WellSpan crisis counselor--who had been on the phone with Thomson--stating that he was suicidal. On arriving, the officers found the suspect in him kitchen, armed with a Marlin 30-30 caliber rifle. After refusing several orders to drop his weapon, Thomson was shot and killed by Officer Cody Becker. York County District Attorney Tom Kearney believed Thomson's goal was to commit "suicide by cop," and the shooting was ruled justified.</t>
  </si>
  <si>
    <t>http://www.ydr.com/crime/ci_24058388/police-cleared-shooting-conewago-township-man-february?source=most_viewed</t>
  </si>
  <si>
    <t>Stephen O'Neal Wattley II</t>
  </si>
  <si>
    <t>http://usgunviolence.files.wordpress.com/2013/09/stephen-oneal-wattley-ii1.jpg?w=625</t>
  </si>
  <si>
    <t>1900 block Hobson Road</t>
  </si>
  <si>
    <t>46805</t>
  </si>
  <si>
    <t>Wattley was killed after he allegedly robbed a drugstore, fled the scene and pointed an assault rifle at two officers, police said.</t>
  </si>
  <si>
    <t>http://www.journalgazette.com/article/20130221/LOCAL07/302219987</t>
  </si>
  <si>
    <t>Keith Williamson</t>
  </si>
  <si>
    <t>Courtney Campbell Causeway</t>
  </si>
  <si>
    <t>Motorcyclist Williamson was killed, and his passenger injured, during a police chase that reached speeds of over 120 MPH. Williamson struck a cruiser that pulled in front of him and lost control. Police claimed "this was not a chase," contradicted by dash cam video. That video was switched off seconds before the fatal crash. And because Williamson was not a suspect in a violent felony, the chase went against the department's own policy.</t>
  </si>
  <si>
    <t>http://www.tampabay.com/news/publicsafety/accidents/video-shows-chase-that-clearwater-police-say-didnt-happen/2117684</t>
  </si>
  <si>
    <t>John Dawson Parker</t>
  </si>
  <si>
    <t>http://www.news4jax.com/image/view/-/18985350/highRes/2/-/h/275/w/240/-/owxiqv/-/PARKER-JOHN-DAWSON-jpg.jpg</t>
  </si>
  <si>
    <t>300 Arlington Place</t>
  </si>
  <si>
    <t>32211</t>
  </si>
  <si>
    <t>In a car being chased by police, the police fired, killing him.</t>
  </si>
  <si>
    <t>http://www.wokv.com/weblogs/morning-news-recap/2013/feb/19/police-kill-armed-suspect/</t>
  </si>
  <si>
    <t>Javier Reyes</t>
  </si>
  <si>
    <t>5400 block Alpaca Circle</t>
  </si>
  <si>
    <t>89142</t>
  </si>
  <si>
    <t>FBI agents and members of the Criminal Apprehension Team task force tracked violent fugitive Javier Reyes to a home and moved in to make an arrest. He ran through the neighborhood before going down in a shootout with authorities. Reyes died soon after at University Medical Center. Reyes had been wanted in a pair of violent attacks on his ex-girlfriend. An FBI agent was hit in his bullet-proof vest with shrapnel during the gunfight but was not seriously hurt.</t>
  </si>
  <si>
    <t>http://www.reviewjournal.com/news/deadly-force/incident/414</t>
  </si>
  <si>
    <t>Carl Bowie III</t>
  </si>
  <si>
    <t>http://www.alaskadispatch.com/sites/default/files/styles/full_width_620/public/bowie2.jpg?itok=Z2p31QGF</t>
  </si>
  <si>
    <t>53rd Avenue and Windflower Street</t>
  </si>
  <si>
    <t>99507</t>
  </si>
  <si>
    <t>Fleeing with a stolen vehicle.</t>
  </si>
  <si>
    <t>http://www.adn.com/2013/04/16/2867619/with-officers-cleared-police-offer.html#storylink=misearch</t>
  </si>
  <si>
    <t>Marie Zienkewicz</t>
  </si>
  <si>
    <t>675 E Street Road</t>
  </si>
  <si>
    <t>Warminster</t>
  </si>
  <si>
    <t>18974</t>
  </si>
  <si>
    <t>Warminster Police Department</t>
  </si>
  <si>
    <t>A man in the complex exchanged gunfire with police after they attempted to take his guns following a domestic dispute. In the crossfire, the police killed Marie Zienkewicz.</t>
  </si>
  <si>
    <t>Taft Sellers</t>
  </si>
  <si>
    <t>http://alextimes.com/wp-content/uploads/2013/02/Taft-Sellers.jpeg</t>
  </si>
  <si>
    <t>3400 block Duke St.</t>
  </si>
  <si>
    <t>22304</t>
  </si>
  <si>
    <t>Alexandria Police Department</t>
  </si>
  <si>
    <t>Police arrived at Seller's mothers home for domestic disturbance. Seller supposedly had a gun and fired - officers then fired 37 shots, subsequently killing Seller.</t>
  </si>
  <si>
    <t>http://www.alexandriagazette.com/news/2013/feb/21/alexandria-police-shield-information-shooting/</t>
  </si>
  <si>
    <t>Kevin William Hassell</t>
  </si>
  <si>
    <t>http://www.annarbor.com/assets_c/2013/02/Kevin_Hassell-thumb-150x181-135041.jpg</t>
  </si>
  <si>
    <t>8200 block Twilight Drive</t>
  </si>
  <si>
    <t>48116</t>
  </si>
  <si>
    <t>Green Oak Township Police Department; Michigan State Police</t>
  </si>
  <si>
    <t>An officer from Green Oak Township police and a MI state police trooper responded to a call about a possible break in. They saw Hassell flee in his vehicle and gave chase, catching up with him at his residence. The officers followed him into his house where he allegedly shot at them. The three exchanged gunfire, and Hassell died at the scene.</t>
  </si>
  <si>
    <t>http://www.annarbor.com/news/crime/break-in-suspect-shot-dead-by-state-police-identified-by-neighbors/</t>
  </si>
  <si>
    <t>Paul Tereschenko</t>
  </si>
  <si>
    <t>http://tribfox40.files.wordpress.com/2013/02/tereshchenko-dmv.jpg</t>
  </si>
  <si>
    <t>3400 block Nut Plains Drive</t>
  </si>
  <si>
    <t>95827</t>
  </si>
  <si>
    <t>Rancho Cordova Police Department</t>
  </si>
  <si>
    <t>Family members called the police on Tereschenko when his behavior became erratic. Two officers (county deputies contracted to the city force) fought with him in a back bedroom, where the "very large individual, strong in stature" seemed to get the better of them. Tereschenko also did not respond to a Tasering. Threatened, they shot the unarmed and likely mentally ill man to death.</t>
  </si>
  <si>
    <t>http://sacramento.cbslocal.com/2013/02/18/man-killed-in-rancho-cordova-officer-involved-shooting/</t>
  </si>
  <si>
    <t>Merle Mikal Hatch</t>
  </si>
  <si>
    <t>http://www.portlandmercury.com/binary/c403/1363905927-merle_hatch.png</t>
  </si>
  <si>
    <t>10123 SE Market St</t>
  </si>
  <si>
    <t>97216</t>
  </si>
  <si>
    <t>Hatch checked into the emergency room Sunday evening at Portland Adventist Medical Center, then threatened a hospital employee with a gun, authorities said Monday.He walked out abruptly and pointed the gun at a security car in an employee parking lot, police said. He was shot soon after emergency responders arrived.</t>
  </si>
  <si>
    <t>http://www.oregonlive.com/portland/index.ssf/2013/02/man_shot_dead_at_portland_adve.html</t>
  </si>
  <si>
    <t>Charles A. Baker Jr.</t>
  </si>
  <si>
    <t>http://www.buffalonews.com/storyimage/BN/20130218/CITYANDREGION/130219186/AR/0/AR-130219186.jpg&amp;maxW=960</t>
  </si>
  <si>
    <t>201 E 2nd St</t>
  </si>
  <si>
    <t>Jamestown</t>
  </si>
  <si>
    <t>14701</t>
  </si>
  <si>
    <t>Chautauqua</t>
  </si>
  <si>
    <t>Jamestown Police Department</t>
  </si>
  <si>
    <t>Following a traffic stop Baker was being processed in the Jamestown police station. He asked for water, was refused, and became unruly. To subdue him police Tasered him while he was handcuffed. Two hours later Baker experienced what was described as a "medical event", and was declared dead in a hospital shortly thereafter.</t>
  </si>
  <si>
    <t>http://www.buffalonews.com/20130217/parolee_reported_dead_in_jamestown_police_custody.html</t>
  </si>
  <si>
    <t>Alberto Morales</t>
  </si>
  <si>
    <t>http://a57.foxnews.com/global.fncstatic.com/static/876/493/AlbertoMorales.jpg?ve=1&amp;tl=1</t>
  </si>
  <si>
    <t>2100 block Forest Hills Road</t>
  </si>
  <si>
    <t>Alberto Morales escaped prison in Texas after stabbing a detective with his eyeglasses. He was was fatally shot after refusing to cooperate with officers. He was shot in a wooded area of Grapevine. Police said Morales used a sharp piece from his eyeglasses to stab a detective who was transferring him by car to Nevada, where Morales was to serve a sentence of 30 years to life after being convicted of a sexual assault.</t>
  </si>
  <si>
    <t>http://www.huffingtonpost.com/2013/02/16/alberto-morales-dead_n_2700924.html</t>
  </si>
  <si>
    <t>Juan Antonio Gonzalez</t>
  </si>
  <si>
    <t>http://kotv.images.worldnow.com/images/21242353_BG2.jpg</t>
  </si>
  <si>
    <t>7110 S. Granite Avenue</t>
  </si>
  <si>
    <t>74136</t>
  </si>
  <si>
    <t>Officers responded to Gonzalez's home after a call from his roommate, saying that Gonzalez was suicidal and had chased him out of the apartment with a knife. Officer Daniel Madewell, fearing for his life, shot and killed the suspect after he appeared on his balcony and point what they thought was a scoped rifle at the officers. Madewell fired multiple rounds at the suspect who died on the scene. The weapon turned out to be a BB gun. Gonzalez's roommate said he struggled with mental health issues most of his life and seemed to be getting worse. Madewell was cleared and returned to work.</t>
  </si>
  <si>
    <t>http://www.newson6.com/story/21242353/man-shot-and-killed-by-tulsa-police-officer-identified</t>
  </si>
  <si>
    <t>Dwight Morrison</t>
  </si>
  <si>
    <t>Griffin Rd &amp; SW 148th Ave</t>
  </si>
  <si>
    <t>33331</t>
  </si>
  <si>
    <t>Davie Police Department, Broward County Sheriff's Department</t>
  </si>
  <si>
    <t>Cyclist Morrison was struck from behind by a suspect in a high-speed police chase. Local police followed the suspect in violation of their own policies. Morrison was thrown 200 feet by the impact and was killed instantly.</t>
  </si>
  <si>
    <t>http://articles.sun-sentinel.com/2013-02-17/news/fl-bicyclist-fatality-crash-20130217_1_davie-police-dale-engle-police-lights</t>
  </si>
  <si>
    <t>Emmanuel Franco</t>
  </si>
  <si>
    <t>400 block South Atlantic Avenue</t>
  </si>
  <si>
    <t>Monterey Park</t>
  </si>
  <si>
    <t>91754</t>
  </si>
  <si>
    <t>Monterey Park Police Department</t>
  </si>
  <si>
    <t>Police were responding to a domestic disturbance between a couple at a motel. The couple left in a vehicle, and police followed them and initiated a traffic stop. Officers shot and killed Franco after he allegedly exited the vehicle and brandished a handgun at them.</t>
  </si>
  <si>
    <t>http://www.dailybulletin.com/20130215/monterey-park-police-fatally-shoot-armed-man</t>
  </si>
  <si>
    <t>Alejandro Rendon</t>
  </si>
  <si>
    <t>https://usgunviolence.files.wordpress.com/2013/09/alejandro-rendon1.jpg?w=450&amp;h=254</t>
  </si>
  <si>
    <t>82400 Miles Avenue</t>
  </si>
  <si>
    <t>Rendon, 23, a farm worker, was shot by Indio police Officer Alex Franco after he and his partner attempted to stop the suspect while he was riding his bicycle. Rendon fled and was shot by Franco who claimed the suspect was facing him down over the hood of the police vehicle and could have been armed. Experts testified Rendon's bullet wounds reveal he was shot from behind and below. The family of Alejandro Rendon was awarded a $1.9 million settlement in July 2014.</t>
  </si>
  <si>
    <t>http://www.desertsun.com/story/news/crime_courts/2014/09/09/alejandro-rendo-shooting-lawsuit-indio-police/15351443/</t>
  </si>
  <si>
    <t>Kayla Moore</t>
  </si>
  <si>
    <t>http://www.berkeleyside.com/wp-content/uploads/2014/02/xavier-peace-sign.jpeg</t>
  </si>
  <si>
    <t>2116 Allston Way</t>
  </si>
  <si>
    <t>94704</t>
  </si>
  <si>
    <t>Just before midnight on the night of Moore’s death, her roommate, John Hayes, called 911 and told the operator that Moore had kicked him out of their apartment. According to police reports, Hayes said Moore was “violent,” “aggressive” and needed to be “5150’d,” referring to a law that allows police to take a person into custody for a mental health crisis. Once BPD officers arrived, Hayes unlocked the door to his fifth-floor apartment on Allston Way, near Shattuck Avenue, for police to enter. According to the internal investigation, officers moved in and grabbed Moore’s hands in an attempt to handcuff her. Moore drew her hands back, pulling the officers forward. All three fell onto a mattress in the living room. Moore was partially on her stomach, according to the internal investigation. officers struggled to handcuff Moore and requested the help of additional officers via radio. Ultimately, eight officers and sergeants arrived at the scene. They used two sets of handcuffs on Moore and a wrap device to restrain her leg movement, according to the internal investigation. Finally, after five to 10 minutes of struggling on the mattress, Moore stopped resisting. Soon after, officers realized Moore’s chest had stopped moving. Officers moved Moore from being partially on her stomach to completely on her side. About a minute later, officers observed she was no longer breathing and had no pulse, according to the internal investigation. One officer began chest compressions, while another kept Moore’s airway open and called for a CPR mask, which provides a protective barrier and makes mouth-to-mouth resuscitation more efficient.</t>
  </si>
  <si>
    <t>http://www.dailycal.org/2014/05/07/leaked-documents-shed-new-light-kayla-moore-death/</t>
  </si>
  <si>
    <t>2900 S. Gessner Rd</t>
  </si>
  <si>
    <t>77042</t>
  </si>
  <si>
    <t>Officers saw the suspect holding the child in his arm, continually putting a knife to the throat of the child.  Suspect fled into the bathroom with the child.  Officer fearing for the safety of the child, discharged his firearm killing the suspect.</t>
  </si>
  <si>
    <t>Gabriel Vernon Stevenson</t>
  </si>
  <si>
    <t>http://ak-cache.legacy.net/legacy/images/cobrands/annarbor/photos/0004566491stevenson.eps_20130217.jpgx?w=200&amp;h=200&amp;option=1&amp;fc=fff</t>
  </si>
  <si>
    <t>7900 Dixboro Road</t>
  </si>
  <si>
    <t>South Lyon</t>
  </si>
  <si>
    <t>48178</t>
  </si>
  <si>
    <t>Michigan State Police, Northfield Township Police Department</t>
  </si>
  <si>
    <t>Stevenson traded shots with police during an early-morning traffic stop, led officers on a high-speed chase, crashed his red pickup into a house, tried to smash house windows to gain entry, then threatened officers with a knife. With multiple agencies responding it was a state trooper who shot him to death.</t>
  </si>
  <si>
    <t>http://www.annarbor.com/news/crime/police-release-name-of-teenager-killed-by-police-after-lunging-at-officers-with-a-knife/</t>
  </si>
  <si>
    <t>Alden Patrick Anderson</t>
  </si>
  <si>
    <t>700 Aurora Avenue</t>
  </si>
  <si>
    <t>55104</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</si>
  <si>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</si>
  <si>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http://www.startribune.com/local/stpaul/190914391.html</t>
  </si>
  <si>
    <t>Jason James Shaw</t>
  </si>
  <si>
    <t>http://bloximages.chicago2.vip.townnews.com/billingsgazette.com/content/tncms/assets/v3/editorial/4/c9/4c9bbb35-83d4-58e7-a475-2db0022bb470/520c61092c6d9.preview-620.jpg</t>
  </si>
  <si>
    <t>Custer Avenue and Montana Avenue</t>
  </si>
  <si>
    <t>At 1:30 on a Monday morning a local officer approached three people in a parked car. Back-seat passenger Shaw, with an extensive criminal record, emerged from the car but refused to follow orders to keep his hands in view. An attempt to Taser him did not work because of thick clothing. He reached for a (replica) handgun in his clothes, and he was fatally shot.</t>
  </si>
  <si>
    <t>http://missoulian.com/news/state-and-regional/billings-officer-in-fatal-shooting-also-shot-killed-man-in/article_31f840c2-c717-11e3-a230-0019bb2963f4.html</t>
  </si>
  <si>
    <t>John Christopher Armes</t>
  </si>
  <si>
    <t>https://usgunviolence.files.wordpress.com/2013/09/john-christopher-armes.jpg?w=402&amp;h=450</t>
  </si>
  <si>
    <t>40200 block Mimulus Way</t>
  </si>
  <si>
    <t>Temecula</t>
  </si>
  <si>
    <t>92591</t>
  </si>
  <si>
    <t>California Department of Corrections and Rehabilitation, Office of Correctional Safety, Fugitive Apprehension Team</t>
  </si>
  <si>
    <t>Officers were trying to take into custody a parolee who was wanted for assault with a deadly weapon. Armes was in a taxi and when the driver fled he allegedly took control of the taxi, drove it into an unmarked law enforcement vehicle and then ran. According to law enforcement, the suspect had a gun, and was shot by a member of the Fugitive Task Force. The suspect's brother disagrees, says suspect was tased and then shot unnecessarily. No weapon was found.</t>
  </si>
  <si>
    <t>http://www.utsandiego.com/news/2013/Feb/23/armes-shooting-fallbrook-cab/</t>
  </si>
  <si>
    <t>Daniel K. Holt</t>
  </si>
  <si>
    <t>http://www.daytondailynews.com/photo/news/police-man-ordered-to-drop-weapon-before-shooting/pn5D6/</t>
  </si>
  <si>
    <t>101 E Helena Street</t>
  </si>
  <si>
    <t>45404</t>
  </si>
  <si>
    <t>Holt allegedly pulled a SKS rifle on police and refused to drop it. Holt was shot by Dayton Police sergeants Mark Ponichtera and Andrew Gillig in Island Metropark and died at Miami Valley Hospital. Police said that suicide by cop was "... a fairly accurate description.” Dayton Police reports show three occasions between November 2010 and May 2011 when Holt described himself as suicidal and was taken to a hospital for a 72-hour psychiatric hold.</t>
  </si>
  <si>
    <t>http://www.daytondailynews.com/news/news/man-shot-killed-by-police-in-triangle-park/nWLQX/</t>
  </si>
  <si>
    <t>Otis Roberson</t>
  </si>
  <si>
    <t>https://usgunviolence.files.wordpress.com/2013/09/otis-roberson.jpg?w=450&amp;h=422</t>
  </si>
  <si>
    <t>Ninth Street and Barton Street</t>
  </si>
  <si>
    <t>63104</t>
  </si>
  <si>
    <t>Two St. Louis patrolmen, working part-time jobs for Mardi Gras Inc., responded to a report of gunfire. When they arrived, they observed Roberson brandishing a handgun. The officers ordered him to drop the gun; he instead turned and pointed it in their direction. Both officers fired shots, wounding the man. He was transported to a hospital, where he was pronounced dead.</t>
  </si>
  <si>
    <t>http://www.stltoday.com/news/local/man-shot-and-killed-by-st-louis-police-officers-working/article_6c536f94-6358-5739-ba54-3311440722af.html</t>
  </si>
  <si>
    <t>Ralph Elliott III</t>
  </si>
  <si>
    <t>http://www.bachmanhebble.com/include/storage/40756/DeathRecordStub/1497905/converted/150x173-Ralph_Elliott_Obit_Photo.jpg</t>
  </si>
  <si>
    <t>9840 S. Banfield Road</t>
  </si>
  <si>
    <t>Dowling</t>
  </si>
  <si>
    <t>49050</t>
  </si>
  <si>
    <t>Barry County Sheriff's Office</t>
  </si>
  <si>
    <t>Officers responded to a 911 call from the suspect's wife saying that he had a gun and had allegedly fired two shots. When they arrived the suspect confronted them in the yard and did not respond to orders to stop advancing. When a Taser had no effect, a deputy shot Elliott twice; he died of his wounds. Shooting was ruled justified by the Barry County Prosecutor in March 2013.</t>
  </si>
  <si>
    <t>http://hastingsbanner.com/shooting-of-dowling-man-still-under-investigation-p4753-84.htm</t>
  </si>
  <si>
    <t>Stoney Eugene Rawlinson</t>
  </si>
  <si>
    <t>http://www.dallasnews.com/incoming/20130209-policeshoot_0210met.jpg.ece/BINARY/w940/policeshoot_0210met.jpg</t>
  </si>
  <si>
    <t>Skillman Avenue and Abrams Road</t>
  </si>
  <si>
    <t>75231</t>
  </si>
  <si>
    <t>Officers had arranged to meet Stoney E. Rawlinson in a parking lot near Skillman Avenue and Abrams Road in connection with a murder investigation. He had allegedly killed his girlfriend Samantha Rasmus with a machete. When they arrived they found him armed in a vehicle. He refused to drop the weapon, and was shot and killed.</t>
  </si>
  <si>
    <t>http://www.dallasnews.com/news/community-news/dallas/headlines/20130209-standoff-in-lake-highlands-ends-with-dallas-police-fatally-shooting-man-suspected-of-killing-girlfriend.ece</t>
  </si>
  <si>
    <t>Roberto Antonio Torres</t>
  </si>
  <si>
    <t>Pennwood Avenue and Arville Street</t>
  </si>
  <si>
    <t>Las Vegas police shot and killed Roberto Antonio Torres, who was wanted after shooting his girlfriend in the face. Torres was standing with a man and a woman when officers Joseph Parra and Scott Thomas approached. Torres pulled out a handgun and fired at the officers. They returned fire, killing Torres. The man and woman were both shot and wounded. They were selling a car to Torres.</t>
  </si>
  <si>
    <t>https://drive.google.com/file/d/0B-l9Ys3cd80fMzJzeEJDX2pCcWs/edit?usp=sharing</t>
  </si>
  <si>
    <t>Armando Santibanez</t>
  </si>
  <si>
    <t>http://kmph.images.worldnow.com/images/21110616_BG1.jpg</t>
  </si>
  <si>
    <t>South Pinkham Street and Beech Avenue</t>
  </si>
  <si>
    <t>93292</t>
  </si>
  <si>
    <t>Visalia Police Department undercover officers following Armando Santibanez allegedly witnessed him selling drugs and pulled him over on South Pinkham Street and Beech Avenue. The suspect refused to exit the vehicle and was seen reaching for something under his seat. After repeated warning, Officer Tim Haener fired five shots through the window, hitting Santibanez. He died at Kaweah Delta Medical Center. Shooting by Tim Haener was ruled justified.</t>
  </si>
  <si>
    <t>http://www.kmph-kfre.com/story/21110616/details-emerge-in-visalia-officer-involved-shooting</t>
  </si>
  <si>
    <t>Jonathan Tims</t>
  </si>
  <si>
    <t>http://www.imbodenlive.com/wp-content/uploads/2013/03/tims.jpg</t>
  </si>
  <si>
    <t>Pocahontas</t>
  </si>
  <si>
    <t>72455</t>
  </si>
  <si>
    <t>Pocahontas Police Department</t>
  </si>
  <si>
    <t>Pocahontas officers were investigating a report that Tims had allegedly threatened his girlfriend with a gun. When they arrived he fled into the nearby woods and pulled out a handgun. Tims was hit seven times and later pronounced dead at the scene. A report from the Arkansas State Police cleared the Pocahontas Police officers.</t>
  </si>
  <si>
    <t>http://www.imbodenlive.com/2013/03/06/pocahontas-officers-cleared-in-deadly-shooting-by-investigators/</t>
  </si>
  <si>
    <t>Jason N. Noroian</t>
  </si>
  <si>
    <t>http://bloximages.newyork1.vip.townnews.com/stltoday.com/content/tncms/assets/v3/editorial/5/1e/51efbf2c-c23c-5009-aaca-6e28eb4e939d/512feecace30b.preview-620.jpg</t>
  </si>
  <si>
    <t>89 Biddle St</t>
  </si>
  <si>
    <t>63102</t>
  </si>
  <si>
    <t>Police were called to Lenor K. Sullivan and Biddle after receiving a call about suspicious vehicles possibly involved in a drug transaction. On performing a traffic stop, officers found that Noroian had an active warrant and and officer tried to arrest him. Noroian allegedly grabbed the officer's gun getting it out of the holster. The two continued to struggle until the officer shot him in the side.</t>
  </si>
  <si>
    <t>http://www.stltoday.com/news/local/crime-and-courts/des-peres-man-killed-reaching-for-officer-s-gun-in/article_24cd36d8-3949-5e57-a6ac-3e7dc915c739.html</t>
  </si>
  <si>
    <t>Jacob I. Dorfman</t>
  </si>
  <si>
    <t>http://usgunviolence.files.wordpress.com/2013/08/jacob-i-dorfman.jpg?w=625</t>
  </si>
  <si>
    <t>S Adams St and W 8th Ave</t>
  </si>
  <si>
    <t>99204</t>
  </si>
  <si>
    <t>Police shot and killed Dorfman after he led officers on a chaotic chase through a South Hill neighborhood. Dorfman had previous arrests for assaulting and eluding law enforcement officers.</t>
  </si>
  <si>
    <t>http://www.krem.com/news/local/216839371.html</t>
  </si>
  <si>
    <t>Jimmy Lee Dykes</t>
  </si>
  <si>
    <t>http://i.dailymail.co.uk/i/pix/2013/02/01/article-2271325-174B1B23000005DC-954_306x423.jpg</t>
  </si>
  <si>
    <t>Midland City</t>
  </si>
  <si>
    <t>36350</t>
  </si>
  <si>
    <t>Six days earlier, subject killed a school bus driver and abducted a 5 year old boy, then took refuge in an underground bunker on his property. After negotiations broke down, FBI SWAT team raided the bunker killing the subject.</t>
  </si>
  <si>
    <t>http://www.nydailynews.com/news/national/alabama-hostage-bunker-911-calls-revealed-article-1.1361092</t>
  </si>
  <si>
    <t>Price Robinson Perrin</t>
  </si>
  <si>
    <t>1300 block Maple Ave.</t>
  </si>
  <si>
    <t>Harlingen</t>
  </si>
  <si>
    <t>78550</t>
  </si>
  <si>
    <t>Harlingen Police Department</t>
  </si>
  <si>
    <t>Officers responded to a report of a domestic disturbance. They arrived to witness a man shoot a woman in the chest. The officers fatally shot the man.</t>
  </si>
  <si>
    <t>http://www.valleymorningstar.com/news/local_news/article_1cab6d48-6f4d-11e2-ae87-0019bb30f31a.html?mode=jqm</t>
  </si>
  <si>
    <t>Kristopher Charles Gagliardi</t>
  </si>
  <si>
    <t>http://www.innocentdown.org/wp-content/uploads/2013/02/kristofer-gagliardi.jpg</t>
  </si>
  <si>
    <t>500 block Westview Lane</t>
  </si>
  <si>
    <t>Copperas Cove</t>
  </si>
  <si>
    <t>76522</t>
  </si>
  <si>
    <t>Coryell</t>
  </si>
  <si>
    <t>Copperas Cove Police Department</t>
  </si>
  <si>
    <t>After arriving to the scene to a reported domestic disturbance call, Patrol Officer Billy Jo Ray III witnessed Kristopher Gagliardi, who was recently diagnosed with bipolar disorder, appear from the duplex and walk towards him with a knife. Ray reportedly retreated, while Kristopher allegedly continued to advance at which point Ray fired two shots into his chest. According to the mothers account, the shots were fired directly after Kristopher addressed the officer saying 'go ahead and shoot me' and used a racial slur.</t>
  </si>
  <si>
    <t>http://kdhnews.com/copperas_cove_herald/news/da-grand-jury-finds-cove-officer-not-at-fault-in/article_036d7a80-c7e8-11e2-8979-001a4bcf6878.html</t>
  </si>
  <si>
    <t>Chaz Devell Williams</t>
  </si>
  <si>
    <t>http://media.graytvinc.com/images/chaz+williams+mug.jpg</t>
  </si>
  <si>
    <t>237 Fox Trace Drive</t>
  </si>
  <si>
    <t>30909</t>
  </si>
  <si>
    <t>Deputy Michael J. Woodard killed Chaz Devell Williams, 21, after confronting him in a residence at Fox Den Apartments in the 3200 block of Wrightsboro Road. Deputies said they had been looking for Williams for about two hours after he had driven away from a police traffic stop, wrecked his car and fled. Williams died of multiple gunshot wounds. Sheriff Richard Roundtree says no plans to suspend Woodard; no evidence of wrongdoing.</t>
  </si>
  <si>
    <t>Ronette Morales</t>
  </si>
  <si>
    <t>http://img01.funeralnet.com/obit_photo.php?type=obit&amp;fullsize=1&amp;id=1322663&amp;clientid=pipkinbraswell&amp;rand=1424279682</t>
  </si>
  <si>
    <t>305 Park Avenue West</t>
  </si>
  <si>
    <t>Two plain clothes officers attempted to arrest Morales for charges of burglary, assault and harassment. Morales shot one officer in the hand and was subsequently fatally shot.</t>
  </si>
  <si>
    <t>http://www.denverpost.com/breakingnews/ci_22493969/family-woman-killed-by-denver-deputies-wish-him</t>
  </si>
  <si>
    <t>Josue Jimenez</t>
  </si>
  <si>
    <t>http://latimesblogs.latimes.com/.a/6a00d8341c630a53ef017ee81cdcd5970d-250wi</t>
  </si>
  <si>
    <t>700 block Blaine Avenue</t>
  </si>
  <si>
    <t>­Fillmore</t>
  </si>
  <si>
    <t>93015</t>
  </si>
  <si>
    <t>Police responded to a call about a man with a gun at Mountain Vista elementary school, which included a description and license plate number. They did not find the suspect on the scene but tracked him through his vehicle to his home. They arrived to find him in his yard with a gun, which he refused to drop, and fired killing a dog nearby. A deputy fired, hitting ­and killing Jimenez.</t>
  </si>
  <si>
    <t>http://www.vcstar.com/news/fillmore-man-spotted-at-school-with-gun-minutes</t>
  </si>
  <si>
    <t>Jeremy Gregory</t>
  </si>
  <si>
    <t>1723 Co Rd 48</t>
  </si>
  <si>
    <t>Section</t>
  </si>
  <si>
    <t>35771</t>
  </si>
  <si>
    <t>Madison County S.W.A.T. Team</t>
  </si>
  <si>
    <t>Jackson County Sheriff's deputies responded to a house on County Road 48 after receiving a shots fired call and found the suspect allegedly barricaded in his house with a rifle. After hours of unsuccessful negotiation, SWAT team were called. They threw tear gas in the house, Gregory fired back at them, and they shot and killed him.</t>
  </si>
  <si>
    <t>http://www.waaytv.com/news/local/man-dead-in-jackson-county-stand-off/article_0bfd0a84-6a0b-11e2-b1d7-001a4bcf6878.html</t>
  </si>
  <si>
    <t>Angie Hall</t>
  </si>
  <si>
    <t>https://usgunviolence.files.wordpress.com/2013/08/angie-hall-1.jpg?w=193&amp;h=300</t>
  </si>
  <si>
    <t>4787 US-70</t>
  </si>
  <si>
    <t>28602</t>
  </si>
  <si>
    <t>Catawba County Sheriff's Office</t>
  </si>
  <si>
    <t>Officers responded to a call that Angie Hall was suicidal, in her yard with a gun. Officers claim that they fired upon her after she raised her gun to them.</t>
  </si>
  <si>
    <t>http://www.hickoryrecord.com/news/more-information-released-in-shooting-death-of-catawba-woman/article_8a085890-6bf8-11e2-8ddb-001a4bcf6878.html</t>
  </si>
  <si>
    <t>Cody Loron</t>
  </si>
  <si>
    <t>http://cbsdallas.files.wordpress.com/2013/01/cody-ira-laron.jpg</t>
  </si>
  <si>
    <t>1900 Carson Street</t>
  </si>
  <si>
    <t>Fort Worth/Haltom City</t>
  </si>
  <si>
    <t>Haltom City Police Department</t>
  </si>
  <si>
    <t>Officers responded to a police report that a fugitive was behind a building they happened to be at. Upon discovering the suspect, he opened fire wounding an officer. The officers returned fire, fatally wounding the suspect.</t>
  </si>
  <si>
    <t>http://www.wfaa.com/news/crime/Cell-video-shows-aftermath-Ofc-involved-shooting-189090131.html</t>
  </si>
  <si>
    <t>William Joseph Perneau</t>
  </si>
  <si>
    <t>http://usgunviolence.files.wordpress.com/2013/08/william-joseph-perneau.jpg?w=625</t>
  </si>
  <si>
    <t>495 Mid America Drive</t>
  </si>
  <si>
    <t>Pryor Creek</t>
  </si>
  <si>
    <t>74361</t>
  </si>
  <si>
    <t>Mayes County Sheriff's Office</t>
  </si>
  <si>
    <t>Authorities say officers were trying to interview Perneau in a motel room as part of a drug investigation. Authorities say that Perneau managed to pull a gun from his waistband while handcuffed and fired at the officers. The officers weren't hit. An officer from the Salina Police Department returned fire, killing Perneau.</t>
  </si>
  <si>
    <t>http://newsok.com/2-officers-cleared-in-mayes-county-fatal-shooting-of-handcuffed-man/article/3771756</t>
  </si>
  <si>
    <t>Ishmael Muhammad</t>
  </si>
  <si>
    <t>http://whtm.images.worldnow.com/images/20753798_BG6.JPG</t>
  </si>
  <si>
    <t>100 block Evergreen Street</t>
  </si>
  <si>
    <t>17104</t>
  </si>
  <si>
    <t>Harrisburg Bureau of Police Department</t>
  </si>
  <si>
    <t>Officers responded to a report that Muhammed had assaulted his girlfriend. He barricaded himself inside the apartment and using a machete kept a 2-year-old and a disabled 26-year-old as hostages. Officials report that Muhammad “was obviously under the influence of some drugs.” After a standoff of a few hours he was fatally shot twice when his waving of the machete prompted officers to fear for the lives of the hostages.</t>
  </si>
  <si>
    <t>http://www.pennlive.com/midstate/index.ssf/2013/02/ishmael_muhammad_man_shot_by_p.html</t>
  </si>
  <si>
    <t>Larry Medlock Jr.</t>
  </si>
  <si>
    <t>http://www.trbimg.com/img-510c8d03/turbine/sfl-larry-medlock-jr-photo-20130201/595/335x595</t>
  </si>
  <si>
    <t>Taft Street and North Park Road</t>
  </si>
  <si>
    <t>33021</t>
  </si>
  <si>
    <t>Medlock died after his Impala ran a red light, struck several other vehicles, hit a concrete utility police, flipped and caught fire. Police had been chasing him at high speed for snatching a purse. He'd been unarmed.</t>
  </si>
  <si>
    <t>http://articles.sun-sentinel.com/2013-02-02/news/fl-fatal-purse-snatching-victim-20130202_1_purse-snatcher-red-light-high-speed-chase</t>
  </si>
  <si>
    <t>Anthony Dwayne Harris</t>
  </si>
  <si>
    <t>http://media.cmgdigital.com/shared/img/photos/2013/01/29/b6/72/HARRIS_ANTHONY_DWAYNE.jpg</t>
  </si>
  <si>
    <t>2115 Pearl St N</t>
  </si>
  <si>
    <t>32206</t>
  </si>
  <si>
    <t>Police responded to a domestic dispute call involving Harris, recently released from prison, and his 17-year-old son. This ended with Harris shot to death on his front yard in full view of many family members and friends. Those witnesses sharply disputed the police version of events; the police responded by emphasizing Harris's criminal history.</t>
  </si>
  <si>
    <t>Randall Davis</t>
  </si>
  <si>
    <t>http://ak-cache.legacy.net/legacy/images/cobrands/fresnobee/photos/fbee_288829_02062013_02_07_2013.jpg?v=0x000000002b4c4a2f</t>
  </si>
  <si>
    <t>5000 block East Thomas Avenue</t>
  </si>
  <si>
    <t>Fresno Sheriff's Department responded to a call about a man who was acting suicidal. When a deputy arrived at the scene Davis approached him with a box cutter, prompting the deputy to shoot him. Davis kept coming and allegedly jumped the deputy. A second deputy arriving on the scene shot and killed Davis.</t>
  </si>
  <si>
    <t>http://abc30.com/archive/8972775/</t>
  </si>
  <si>
    <t>Thomas Schroeder</t>
  </si>
  <si>
    <t>http://usgunviolence.files.wordpress.com/2013/08/thomas-e-schroeder.jpg?w=263&amp;h=300</t>
  </si>
  <si>
    <t>Interstate 29</t>
  </si>
  <si>
    <t>64437</t>
  </si>
  <si>
    <t>Holt</t>
  </si>
  <si>
    <t>The trooper pulled the vehicle over and the driver initially was falsely identified as Timothy Johnson. Several field sobriety tests were conducted in and outside of his patrol vehicle on the subject described as weighing nearly 300 pounds and standing 6-feet, 6-inches tall. “Trooper Sullivan stated the final test was a preliminary breath test, which was done,” stated the report. “The reading on the instrument was .12 percent and rising.” The trooper told the subject he was under arrest for driving while intoxicated as the subject told him that “he wasn’t drunk” and became combative. An altercation ensued between the two. “Trooper Sullivan stated ... he was scared the subject was going to kill him and if he was struck one more time he might get knocked out and killed.” Mr. Sullivan fired three shots that caused the motorist, who was outside the vehicle at that point, to fall to the ground. Mr. Sullivan retrieved his first-aid kit to render aid to the man and repositioned his patrol vehicle to protect the subject and himself until additional help arrived, the report said.</t>
  </si>
  <si>
    <t>http://www.newspressnow.com/news/local_news/article_e31341a3-258d-527a-a7c9-972409328340.html</t>
  </si>
  <si>
    <t>Lyon</t>
  </si>
  <si>
    <t>Brandon Culpepper</t>
  </si>
  <si>
    <t>900 block Olive Road</t>
  </si>
  <si>
    <t>Homewood</t>
  </si>
  <si>
    <t>60430</t>
  </si>
  <si>
    <t>Police were called to an apartment building for a disturbance. On arrival, there was a confrontation with the subject who was shot by officers.</t>
  </si>
  <si>
    <t>http://www.chicagotribune.com/news/local/breaking/chi-fatal-policeinvolved-shooting-in-homewood-20130127-story.html</t>
  </si>
  <si>
    <t>James D. Anderson</t>
  </si>
  <si>
    <t>2514 E Cherry St.</t>
  </si>
  <si>
    <t>98122</t>
  </si>
  <si>
    <t>Subject was ejected from a club, after which he returned and shot two people, including his girlfriend. When responding officers contacted him as he was leaving, shots were exchanged and subject was killed.</t>
  </si>
  <si>
    <t>http://seattletimes.com/html/localnews/2020235775_policeshootingxml.html</t>
  </si>
  <si>
    <t>James Brown</t>
  </si>
  <si>
    <t>500 block North Madeira Street in east Baltimore</t>
  </si>
  <si>
    <t>21205</t>
  </si>
  <si>
    <t>Authorities said two officers who are part of a gun and drug enforcement group in that area approached a group of people. One of those men started walking in the opposite direction, and when one of the officers tried to approach him, the man turned and started shooting at the officer, police said.Investigators said the officer chased the man on foot for six blocks while the man continued to fire shots at the officer. Officials said the officer eventually returned fire and shot the man, who later died at a hospital.</t>
  </si>
  <si>
    <t>http://www.abc2news.com/dpp/news/crime_checker/baltimore_city_crime/city-officer-involved-in-shooting</t>
  </si>
  <si>
    <t>Willie Davis Jr.</t>
  </si>
  <si>
    <t>http://usgunviolence.files.wordpress.com/2013/08/willie-davis-jr.jpg?w=227&amp;h=300</t>
  </si>
  <si>
    <t>North Dodge and Winstel boulevard</t>
  </si>
  <si>
    <t>An officer responded to a report of an armed robbery. A suspect matching the description was chased in a vehicle until the suspect crashed. An altercation ensued during which the officer fatally shot the suspect.</t>
  </si>
  <si>
    <t>http://azstarnet.com/news/local/crime/tucson-police-id-suspected-robber-fatally-shot-by-officer/article_c3e1efd8-6700-11e2-a0fe-001a4bcf887a.html</t>
  </si>
  <si>
    <t>Douglas Combs</t>
  </si>
  <si>
    <t>http://columbian.media.clients.ellingtoncms.com/img/croppedphotos/2013/01/28/893143_shooting_folo___2_1_t770.jpg?14d6aa988ff86e4c07f5eb5afbea0f8176fedeb4</t>
  </si>
  <si>
    <t>East 19th Street and E Street</t>
  </si>
  <si>
    <t>98663</t>
  </si>
  <si>
    <t>Combs was a suspect in three armed robberies within the prior month. On information that Combs was armed and likely to act again soon, a SWAT team approached him in a commercial area around midnight, chased him on foot, then shot him to death as he appeared to draw a weapon. He'd actually had two guns on him.</t>
  </si>
  <si>
    <t>http://www.cityofvancouver.us/police/page/county-prosecutor-review-officer-involved-shooting-concluded-0</t>
  </si>
  <si>
    <t>Nijza Lamar Hagans</t>
  </si>
  <si>
    <t>http://wwwcache.wral.com/asset/news/local/2013/01/24/12020273/582-hagans-300x225.jpg</t>
  </si>
  <si>
    <t>Morganton Rd &amp; S Virginia Ave</t>
  </si>
  <si>
    <t>28305</t>
  </si>
  <si>
    <t>Nijza Lamar Hagans was pulled over at a traffic stop. He bent to get his license and registration upon request of the officer. The officer says he saw a handgun protruding from Hagans's pants pocket.</t>
  </si>
  <si>
    <t>http://www.wral.com/fayetteville-officer-involved-in-fatal-shooting-threatened/12039278/</t>
  </si>
  <si>
    <t>Barbara Lassere</t>
  </si>
  <si>
    <t>http://www.wdsu.com/image/view/-/18265882/highRes/1/-/maxh/480/maxw/640/-/97rhdj/-/Barbara-Lassere-jpg.jpg</t>
  </si>
  <si>
    <t>200 block West Second Street</t>
  </si>
  <si>
    <t>St. John Parish Sheriff's Office</t>
  </si>
  <si>
    <t>St. John Parish Sheriff''s Deputy Steven Daley shot and killed Barbara Lassere after she allegedly fled in her vehicle and fired on the deputy when he tried to pull her over for a broken headlight. She stopped briefly, then brandished a weapon and drove to her home. She refused to exit the vehicle when ordered, and fired a shot at the deputy. The deputy returned fire and Lassere died at the hospital. Her son later sued and a jury found that four St. John the Baptist Parish sheriff's deputies were negligent and partially responsible for the shooting death of the 60-year-old woman.</t>
  </si>
  <si>
    <t>No Charges; Civil Suit finds officers were negligent and partially responsible</t>
  </si>
  <si>
    <t>http://www.wwltv.com/story/local/2015/05/08/14570128/</t>
  </si>
  <si>
    <t>Jordan Hatcher</t>
  </si>
  <si>
    <t>2100 Southeast Parkway</t>
  </si>
  <si>
    <t>76018</t>
  </si>
  <si>
    <t>Grand Prairie police responded to a felony theft call around 3:50 p.m. at the Target at Camp Wisdom Road and State Highway 360, police said. One of the suspects fled on foot and crossed city lines into Arlington, according to Arlington police spokesman Sgt. Christopher Cook. During the chase, the man ran across a freeway and into a parking lot at the Tarrant County College Southeast Campus. The man got into a physical altercation with police that ended when a Grand Prairie officer shot him, Cook said.</t>
  </si>
  <si>
    <t>http://crimeblog.dallasnews.com/2013/01/grand-prairie-officer-fatally-shoots-thief-during-police-chase.html/</t>
  </si>
  <si>
    <t>Jacob Grassley</t>
  </si>
  <si>
    <t>http://media.mlive.com/kzgazette_impact/photo/jacob-grassley-6eb2abbb3b60c4f1.jpg</t>
  </si>
  <si>
    <t>3640 East Cork Street</t>
  </si>
  <si>
    <t>49001</t>
  </si>
  <si>
    <t>Kalamazoo Police Department</t>
  </si>
  <si>
    <t>Officers located a domestic assault suspect several hours after the initial complaint. He was shot during an ensuing confrontation.</t>
  </si>
  <si>
    <t>http://www.mlive.com/news/kalamazoo/index.ssf/2013/01/kalamazoo_police_name_jacob_gr.html</t>
  </si>
  <si>
    <t>James Eric Griffin</t>
  </si>
  <si>
    <t>http://usgunviolence.files.wordpress.com/2013/08/james-eric-griffin.jpg?w=625</t>
  </si>
  <si>
    <t>100 S. Marcus St.</t>
  </si>
  <si>
    <t>Alto</t>
  </si>
  <si>
    <t>75925</t>
  </si>
  <si>
    <t>Alto Police Department</t>
  </si>
  <si>
    <t>Police say Griffin tried to steal a pack of cigarettes from an Alto Pic-N-Go. In convenience store video, Griffin can be seen pulling a machete out of his pants after the store owner confronts him. In a dash cam video, Griffin pulls out the machete as he walks towards Smith. Smith shot and killed him.</t>
  </si>
  <si>
    <t>http://www.americanownews.com/story/21789708/no-charges-will-be-filed-against-alto-police-officer-in-death</t>
  </si>
  <si>
    <t>Daniel Rey</t>
  </si>
  <si>
    <t>517 Leighton Ave</t>
  </si>
  <si>
    <t>87401</t>
  </si>
  <si>
    <t>Farmington police officer Jeremy Hill responded to a 911 call of domestic violence and was confronted by the suspect allegedly holding a machete. Hill shot his weapon six times striking Rey five times. Rey was taken to San Juan Regional Medical Center and died of his wounds the next day.</t>
  </si>
  <si>
    <t>http://www.daily-times.com/four_corners-news/ci_22469662/police-release-officers-name-shooting-details</t>
  </si>
  <si>
    <t>Craig Bondo</t>
  </si>
  <si>
    <t>19600 U.S. 24</t>
  </si>
  <si>
    <t>Woodland Park</t>
  </si>
  <si>
    <t>80863</t>
  </si>
  <si>
    <t>Teller</t>
  </si>
  <si>
    <t>Woodland Park Police Department</t>
  </si>
  <si>
    <t>Officers pulled over a suspected stolen vehicle. When the officers attempted to detain the suspect, he drove away, hitting one of the officers with the vehicle. An officer opened fire on the vehicle, fatally wounding the suspect. A witness reports hearing five shots and that the back window of the vehicle was shattered.</t>
  </si>
  <si>
    <t>http://www.krdo.com/news/Woodland-Park-police-shoot-kill-suspect/18237468</t>
  </si>
  <si>
    <t>Maximillian Walters</t>
  </si>
  <si>
    <t>1300 block Esther Drive</t>
  </si>
  <si>
    <t>Wife and child (Maximillian) killed during a domestic dispute incident by their husband/father who was a Las Vegas Police Lieutenant. Subject then set fire to the house, called 911 and waited for officers to arrive after which he stepped inside and shot himself.</t>
  </si>
  <si>
    <t>http://www.fox5vegas.com/story/20640342/police-metro-lieutenant-kills-self-wife-and-child</t>
  </si>
  <si>
    <t>Kathryn Walters</t>
  </si>
  <si>
    <t>http://i.huffpost.com/gen/955356/thumbs/s-HANS-WALTERS-MURDER-SUICIDE-large.jpg?6</t>
  </si>
  <si>
    <t>Both child and mother killed during a domestic dispute by their husband/father who was a Las Vegas Police Lieutenant. Subject then set fire to the house, called 911 and waited for officers to arrive after which he stepped inside and shot himself.</t>
  </si>
  <si>
    <t>Ray Charles Hayes</t>
  </si>
  <si>
    <t>http://wafb.images.worldnow.com/images/20648489_BG3.jpg</t>
  </si>
  <si>
    <t>Intracoastal Bridge</t>
  </si>
  <si>
    <t>Addis</t>
  </si>
  <si>
    <t>70767</t>
  </si>
  <si>
    <t>West Baton Rouge</t>
  </si>
  <si>
    <t>Brusly Police Department</t>
  </si>
  <si>
    <t>Officers responded to a report of robbery in progress at a store. The suspect took a customer hostage at gunpoint and stole a police cruiser. The suspect crashed the cruiser at a police roadblock. As officers approached the vehicle, the suspect threatened to kill the hostage and himself. An officer fired three times, killing the suspect.</t>
  </si>
  <si>
    <t>http://www.wafb.com/story/20648489/police-identify-pharmacy-robbery-suspect-shot-by-officer</t>
  </si>
  <si>
    <t>Alfredo Emilio Villarreal</t>
  </si>
  <si>
    <t>http://media.graytvinc.com/images/AlfredoEmilioVillarreal.jpg</t>
  </si>
  <si>
    <t>W3985 County Rd NN</t>
  </si>
  <si>
    <t>Deputy Richard Lagle shot and killed a Walworth County Jail inmate under guard at Lakeland Medical Center, when he allegedly attacked the deputy and tried to escape. Lagle used a taser on Villarreal to no avail, and was forced to shoot the inmate five times when he raised a chair and came at the deputy. Lagle didn't face charges.</t>
  </si>
  <si>
    <t>http://www.nbc15.com/home/headlines/Walworth-Co-Inmate-Shot-and-Killed-During-Fight-With--187907761.html</t>
  </si>
  <si>
    <t>Donovan Thomas</t>
  </si>
  <si>
    <t>3524 N. Kingshighway Blvd.</t>
  </si>
  <si>
    <t>Gratiot</t>
  </si>
  <si>
    <t>An off-duty St Louis police officer shot and killed Thomas inside a White Castle restaurant as he allegedly tried to rob the business with a BB gun. Two off duty officers observed the suspect pull a gun on an employee and when he did not drop the gun as instructed one of the deputies shot him in the abdomen. Thomas was pronounced dead at the hospital.</t>
  </si>
  <si>
    <t>http://fox2now.com/2013/01/19/armed-suspect-shot-by-off-duty-officer-gun-may-have-been-fake/</t>
  </si>
  <si>
    <t>Jayvis Benjamin</t>
  </si>
  <si>
    <t>Covington Highway and Kensington Road</t>
  </si>
  <si>
    <t>Avondale Estates</t>
  </si>
  <si>
    <t>30002</t>
  </si>
  <si>
    <t>Avondale Estates Police Department</t>
  </si>
  <si>
    <t>Police allegedly observed suspect speeding and behaving recklessly on Kensington Road, turned to follow and came on crashed vehicle. Suspect ignored orders to remain in vehicle and alleged moved towards police in a threatening manner. Sgt. Lynn Thomas fired one shot, hitting the suspect in the chest. Civil grand jury recommended case go before criminal grand jury. Criminal grand jury recommends charging Sgt. Thomas (May 2, 2015)</t>
  </si>
  <si>
    <t>http://www.wsbtv.com/news/news/local/criminal-grand-jury-review-officer-involved-shooti/nk66p/</t>
  </si>
  <si>
    <t>Reginald Lamont “Deucey” Epps</t>
  </si>
  <si>
    <t>https://usgunviolence.files.wordpress.com/2013/07/reginald-lamont-epps.jpg?w=144&amp;h=224</t>
  </si>
  <si>
    <t>142 Straight Road</t>
  </si>
  <si>
    <t>Roanoke Rapids</t>
  </si>
  <si>
    <t>27870</t>
  </si>
  <si>
    <t>Halifax County Sheriff's Office</t>
  </si>
  <si>
    <t>County deputies had made several controlled drug purchases from Epps, then went to arrest him at his residence, knowing he had a small arsenal. Epps opened fire and was fatally shot in return.</t>
  </si>
  <si>
    <t>http://www.rrspin.com/roanoke-rapids-weldon-halifax-county-nc-news/item/4287-sbi-warrant-confirms-straight-road-shootout.html</t>
  </si>
  <si>
    <t>Anthony Scott Brown</t>
  </si>
  <si>
    <t>http://usgunviolence.files.wordpress.com/2013/07/anthony-scott-brown.gif?w=225&amp;h=300</t>
  </si>
  <si>
    <t>813 Snow St</t>
  </si>
  <si>
    <t>36203</t>
  </si>
  <si>
    <t>Calhoun Police Department</t>
  </si>
  <si>
    <t>Officers responded to a report of a burglary suspect with several arrest warrants who was spotted in a store. When the officers asked the suspect to step outside, the suspect produced a knife and began slashing at the officers. A Taser was ineffective and the officers fatally shot the suspect when he charged at them.</t>
  </si>
  <si>
    <t>http://usgunviolence.wordpress.com/2013/01/18/killed-anthony-scott-brown-oxford-al/</t>
  </si>
  <si>
    <t>George Walter Rosenberg</t>
  </si>
  <si>
    <t>http://www.sierranewsonline.com/cache/arithumb_e17cd95a7d5c07e3e881b61441a6f454_200_208.JPG</t>
  </si>
  <si>
    <t>Wells Rd &amp; Rocky Ridge Rd</t>
  </si>
  <si>
    <t>Coarsegold</t>
  </si>
  <si>
    <t>93614</t>
  </si>
  <si>
    <t>Madera</t>
  </si>
  <si>
    <t>Madera County Sheriff's Office</t>
  </si>
  <si>
    <t>Deputy patrolling near Coarsegold spotted the suspect's vehicle and recognized it, knew that there was an arrest warrant out on Rosenberg for narcotics and tried to apprehend him. As the deputy approached the vehicle, Rosenberg allegedly tried to run him over; the deputy shot at the truck, but it accelerated away. Deputies later found the empty vehicle at Rocky Ridge and Wells Road, and Rosenberg was found dead nearby.</t>
  </si>
  <si>
    <t>http://www.sierranewsonline.com/?option=com_k2&amp;view=item&amp;id=1511:fugitive-laying-in-wait-to-ambush-deputies-says-sheriffs-office&amp;Itemid=471</t>
  </si>
  <si>
    <t>Cody M. Kincheloe</t>
  </si>
  <si>
    <t>http://kctv.images.worldnow.com/images/20628267_BG3.jpg</t>
  </si>
  <si>
    <t>112 N. Clairborne Rd.</t>
  </si>
  <si>
    <t>Olathe</t>
  </si>
  <si>
    <t>66062</t>
  </si>
  <si>
    <t>Olathe Police Department</t>
  </si>
  <si>
    <t>Officer responded to a call of a vehicle going the wrong way down Sante Fe Street; he found the vehicle at 112 N. Clairborne Rd. in the parking lot of the Dollar General store. The officer approached the driver in the store who alleged holding a gun and pointed it at officer, so he fired, killing Kincheloe. Female passenger of vehicle was unharmed. Shooting ruled justified.</t>
  </si>
  <si>
    <t>http://www.kctv5.com/story/20628267/olathe-police-investigating-shooting-at-dollar-general-store</t>
  </si>
  <si>
    <t>Jesse France</t>
  </si>
  <si>
    <t>http://kptv.images.worldnow.com/images/20782747_BG1.jpg</t>
  </si>
  <si>
    <t>7531 NE 18th St</t>
  </si>
  <si>
    <t>98661</t>
  </si>
  <si>
    <t>France was an ex-con who had failed to check in with his community corrections officer, and had been considered a suspect in recent felony cases. When a multi-jurisdictional task force came for him, unarmed France struck another vehicle in an escape attempt, then "the situation was escalated by Mr. France" according to officers, and he was shot dead.</t>
  </si>
  <si>
    <t>http://www.columbian.com/news/2013/jan/25/jesse-john-france-fugitive-shot-by-police/</t>
  </si>
  <si>
    <t>Steven Askew</t>
  </si>
  <si>
    <t>http://wmctv.images.worldnow.com/images/24409082_BG2.jpg</t>
  </si>
  <si>
    <t>5267 Knight Arnold Road</t>
  </si>
  <si>
    <t>Shot to death after falling asleep in his car waiting for his girlfriend to come home from work. Two police officers, who were called to the area on another matter, claimed that when they approached Askew’s car, he pointed a gun at them, and they killed him. Askew was licensed to carry a gun. A video of the incident disputes the police version of events.</t>
  </si>
  <si>
    <t>Angel Miguel Lopez</t>
  </si>
  <si>
    <t>http://kfmb.images.worldnow.com/images/20627940_BG1.jpg</t>
  </si>
  <si>
    <t>5400 block Reservoir Drive</t>
  </si>
  <si>
    <t>92120</t>
  </si>
  <si>
    <t>Officers surrounded an apartment complex after receiving a report that two wanted parolees were there and at least one was armed. After several hours the men fled and one was cornered. One was fatally shot after refusing to show his hands and reaching into his pockets. The other suspect was arrested after an hours-long search.</t>
  </si>
  <si>
    <t>http://www.cbs8.com/story/20627940/parolee-who-died-in-police-shooting-idd</t>
  </si>
  <si>
    <t>Samuel Gonzales</t>
  </si>
  <si>
    <t>http://www.gannett-cdn.com/-mm-/bc1d55b9d1af074b5838a18c777724121b0041dc/c=66-0-1549-1977&amp;r=537&amp;c=0-0-534-712/local/-/media/Visalia/2015/03/26/B9316750625Z.1_20150326190201_000_G2PAB8360.1-0.jpg</t>
  </si>
  <si>
    <t>200 block South F Street</t>
  </si>
  <si>
    <t>93274</t>
  </si>
  <si>
    <t>Tulare Police Department</t>
  </si>
  <si>
    <t>Tulare Police officers Vince Medina and Ryan Richmond were responding to reports of suspected gang members. When they arrived there was no one in the area, so they decided to search a nearby empty house where suspected gang members allegedly frequented. They saw Gonzales exit the house, and though he did not match the description of the gang members, they used their flashlights to try to subdue Gonzales. When he continued to struggle, Medina shot and killed him. Officers were cleared in federal civil suit.</t>
  </si>
  <si>
    <t>http://www.visaliatimesdelta.com/story/news/local/tulare/2015/03/26/tulare-police-officers-cleared-federal-civil-suit/70513436/</t>
  </si>
  <si>
    <t>67</t>
  </si>
  <si>
    <t>Eric Ramsey</t>
  </si>
  <si>
    <t>6515 N Old 27</t>
  </si>
  <si>
    <t>Frederic</t>
  </si>
  <si>
    <t>49733</t>
  </si>
  <si>
    <t>Crawford County Sheriff's Office</t>
  </si>
  <si>
    <t>Officers were searching for Ramsey as the prime suspect in a recent abduction, rape and arson. Ramsey rammed his vehicle into a squad car and fled in a stolen garbage truck. He was fatally shot by a sheriff's deputy.</t>
  </si>
  <si>
    <t>http://lubbockonline.com/filed-online/2013-01-17/suspect-dead-student-safe-after-abduction#.UPtRZidEHUk</t>
  </si>
  <si>
    <t>Lloyd Hodgson Tschohl</t>
  </si>
  <si>
    <t>http://www.mankatomortuary.com/sitemaker/memsol_data/1954/1412088/1412088_profile_pic.jpg</t>
  </si>
  <si>
    <t>1610 Lor Ray Dr.</t>
  </si>
  <si>
    <t>Mankato</t>
  </si>
  <si>
    <t>56003</t>
  </si>
  <si>
    <t>Nicollet</t>
  </si>
  <si>
    <t>Mankato Department of Public Safety, North Mankato Police Department</t>
  </si>
  <si>
    <t>Tschohl, armed with two handguns, resisted officers' attempts to check on his welfare, refusing to leave his house. After more than three hours of negotiations, Tschohl fired on officers who approached the house. He then came out the back door, armed, and shot again at officers, who returned fire. North Mankato police had attempted to check on Tschohl a day earlier after a relative had called to request a welfare check. Tschohl refused to talk to officers. The Star Tribune reported that, the next day, Tschohl's family called police again to say he had made "homicidal statements" and had weapons in his house.</t>
  </si>
  <si>
    <t>http://www.startribune.com/local/187519851.html</t>
  </si>
  <si>
    <t>Karvis Jabbar Gamble</t>
  </si>
  <si>
    <t>http://media.cmgdigital.com/shared/lt/lt_cache/thumbnail/400/img/photos/2013/01/17/74/07/mccullough.JPG</t>
  </si>
  <si>
    <t>W. Colonial Drive and Orange Blossom Trail</t>
  </si>
  <si>
    <t>Police investigating a drug complaint at a recording studio reportedly opened the door, saw a gun on a table and fired after Gamble's friend reached for it. Gamble was shot in the stomach, and the second man was shot and wounded.</t>
  </si>
  <si>
    <t>http://articles.orlandosentinel.com/2013-01-17/news/os-orlando-officer-involved-shooting-20130117_1_orlando-police-wednesday-night-officers-men-shot</t>
  </si>
  <si>
    <t>John Montoya</t>
  </si>
  <si>
    <t>39th Avenue and Osage Street</t>
  </si>
  <si>
    <t>Montoya was shot after an hours-long, high-speed chase in a stolen pickup truck. Shots were fired from the stolen truck at police.</t>
  </si>
  <si>
    <t>http://www.denverda.org/News_Release/Decision_Letters/January16%202013ShootingInvestigation.pdf</t>
  </si>
  <si>
    <t>Allen Eugene Ott</t>
  </si>
  <si>
    <t>Dews Pond Road</t>
  </si>
  <si>
    <t>30701</t>
  </si>
  <si>
    <t>Gordon</t>
  </si>
  <si>
    <t>Gordon County Sheriff's Office</t>
  </si>
  <si>
    <t>Allen Ott was shot and killed by Gordon County sheriff's deputies after violating a protective order for his estranged wife and children, and threatening to kill her and himself. Deputies found the suspect near the home, allegedly waving a rifle around. When he refused to drop the gun and pointed it at deputies he was fatally shot.</t>
  </si>
  <si>
    <t>http://www.timesfreepress.com/news/local/story/2013/jan/18/man-shot-dead-after-aiming-gun-at-deputies/97514/</t>
  </si>
  <si>
    <t>Cody Shobe</t>
  </si>
  <si>
    <t>http://bloximages.chicago2.vip.townnews.com/ahwatukee.com/content/tncms/assets/v3/editorial/d/06/d06dda8e-4099-11e1-908e-0019bb2963f4/4f14b2a4dca48.image.jpg</t>
  </si>
  <si>
    <t>221st Avenue and West Yavapai street</t>
  </si>
  <si>
    <t>Buckeye</t>
  </si>
  <si>
    <t>Buckeye Police Department</t>
  </si>
  <si>
    <t>An officer fatally shot Shobe after he pointed gun at police and fired at least one round.</t>
  </si>
  <si>
    <t>http://www.azfamily.com/news/Officers-shoot-kill-armed-suspect-outside-Buckeye-home-137409458.html</t>
  </si>
  <si>
    <t>Cody Gene Criner</t>
  </si>
  <si>
    <t>http://ksaz.images.worldnow.com/images/20608538_BG2.jpg</t>
  </si>
  <si>
    <t>4100 East Capistrano Ave</t>
  </si>
  <si>
    <t>85044</t>
  </si>
  <si>
    <t>Officers responded to a call of a home burglary and observed the suspect running from the house on arriving. Suspect allegedly pointed a gun at the officers and officers opened fire killing him on the scene. The suspect's gun is believed to have been a realistic-looking pellet gun. Maricopa County Attorney’s Office has cleared four officers of any wrongdoing.</t>
  </si>
  <si>
    <t>http://www.ahwatukee.com/news/article_217c1afe-6037-11e2-a454-0019bb2963f4.html</t>
  </si>
  <si>
    <t>Jimmy Ray Phea</t>
  </si>
  <si>
    <t>Harrison and Broadway</t>
  </si>
  <si>
    <t>Police were responding to a domestic violence disturbance between a man and his sister</t>
  </si>
  <si>
    <t>http://abclocal.go.com/kfsn/story?section=news/local&amp;id=8957000</t>
  </si>
  <si>
    <t>Gregory Gordon</t>
  </si>
  <si>
    <t>http://www.kitv.com/image/view/-/18162172/highRes/2/-/11r8vfjz/-/Gregory-Gordon-2-jpg.jpg</t>
  </si>
  <si>
    <t>Kuhio Avenue and Ala Wai Boulevard</t>
  </si>
  <si>
    <t>Officers responded to a truck driving fast the wrong way. Police fired multiple times when the driver rammed five marked police cruisers. The deceased suspect was a soldier at Schofield Barracks.</t>
  </si>
  <si>
    <t>http://news.hawaiibreakingnews.com/tweets/291842554574565376</t>
  </si>
  <si>
    <t>Todd S. Weber</t>
  </si>
  <si>
    <t>http://kctv.images.worldnow.com/images/20589016_BG5.jpg</t>
  </si>
  <si>
    <t>Front St &amp; Interstate 435</t>
  </si>
  <si>
    <t>64120</t>
  </si>
  <si>
    <t>Officers attempted to stop Weber's vehicle. Weber led officers on a low-speed chase at no faster than 35 mph. Stop sticks slowed the vehicle, but it continued for several miles. Weber eventually stopped, exited his vehicle, pointed a gun at officers and began firing. Officers returned fire, killing him.</t>
  </si>
  <si>
    <t>http://fox4kc.com/2013/01/15/police-identify-man-killed-during-shoot-out/</t>
  </si>
  <si>
    <t>Dustin Patrick Wernli</t>
  </si>
  <si>
    <t>http://ak-cache.legacy.net/legacy/images/Cobrands/Tucson/Photos/0007945549-01_012622.jpg</t>
  </si>
  <si>
    <t>550 N Harrison Rd</t>
  </si>
  <si>
    <t>85748</t>
  </si>
  <si>
    <t>Police responded to a call from a combat veteran with post-traumatic stress disorder stating that he was suicidal. On arriving the officers found him armed, but wanting to talk with police. After repeated warnings not to, Wernli reached for his holstered pistol and was shot by police. Wernli died at the hospital.</t>
  </si>
  <si>
    <t>http://www.tucsonnewsnow.com/story/20600700/investigation-continues-into-late-night-officer-shooting</t>
  </si>
  <si>
    <t>Robert Alan Penning</t>
  </si>
  <si>
    <t>156th Avenue and Quebec Street</t>
  </si>
  <si>
    <t>80602</t>
  </si>
  <si>
    <t>Adams County Sheriff’s</t>
  </si>
  <si>
    <t>On January 14, 2013, the Adams County Sheriff’s Office received a call of a suspected driving under the influence accident. Adams County Sheriff’s Office patrol deputies Manual Aragon and Shawn Billings were dispatched to the scene. While en route, ADCOM dispatch updated that there were other reports of a possible roll- over accident in the area of 156th Avenue and Quebec. A civilian named witness Elise Cornett had called 911 after observing a car high~centered in a field off of Quebec Street. At approximately 6:06 Deputy 'Manual Aragon arrived first on scene and aired his arrival over the radio. Within a minute of his arrival, Deputy Aragon aired over the radio "shots fired" and requested medical units to respond to the scene.</t>
  </si>
  <si>
    <t>https://s3.amazonaws.com/s3.documentcloud.org/documents/666161/penningdecision.txt</t>
  </si>
  <si>
    <t>Karlando Roberts</t>
  </si>
  <si>
    <t>400 block Norwood Avenue</t>
  </si>
  <si>
    <t>East Orange</t>
  </si>
  <si>
    <t>East Orange Police Department</t>
  </si>
  <si>
    <t>Officers responded to a report of a stabbing in progress. Roberts was found to be stabbing his father-in-law and refused to drop the knife. Officers shot Roberts who died at a local hospital.</t>
  </si>
  <si>
    <t>http://www.nj.com/essex/index.ssf/2013/01/east_orange_police_shoot_and_k.html</t>
  </si>
  <si>
    <t>Wesley Kyle Swilling</t>
  </si>
  <si>
    <t>20 McGee Street</t>
  </si>
  <si>
    <t>29601</t>
  </si>
  <si>
    <t>Swilling was in the Law Enforcement Center parking lot and approached an officer and deputy in a “threatening manner” with what appeared to be a weapon. Fearing for their safety, they both shot at Swilling, hitting him at least once. Swilling fell down, but continued to approach them, so they took cover behind a vehicle and both fired again, hitting him at least once more. Swilling was pronounced dead at the scene. After further investigation, it was revealed that Swilling was "armed" with a hot glue gun.</t>
  </si>
  <si>
    <t>http://www.wyff4.com/news/local-news/greenville-news/GPD-Officer-deputy-shoot-kill-man-at-Law-Enforcement-Center/18118162?item=0</t>
  </si>
  <si>
    <t>Quintine Barksdale</t>
  </si>
  <si>
    <t>Camelback Road and Central Avenue</t>
  </si>
  <si>
    <t>85013</t>
  </si>
  <si>
    <t>Arizona Department of Transportation</t>
  </si>
  <si>
    <t>Barksdale was a neighbor to an off-duty state DOT officer, who fatally shot him as a suspected burglar. The officer claimed the unarmed Barksdale had worn a ski mask and rubber gloves, and had thrown gasoline on him. The victim's family, pressing for an FBI investigation, pointed out that it was cold, that Barksdale was restoring an old car, and the officer had a history of "integrity questions."</t>
  </si>
  <si>
    <t>http://www.azcentral.com/story/news/local/phoenix/2014/10/02/fbi-opens-inquiry-duty-officer-involved-shooting/16624201/</t>
  </si>
  <si>
    <t>Frankie Pitt</t>
  </si>
  <si>
    <t>http://wric.images.worldnow.com/images/20574027_BG4.jpg</t>
  </si>
  <si>
    <t>Chippenham Parkway ramp and Hull Street Road</t>
  </si>
  <si>
    <t>Midlothian</t>
  </si>
  <si>
    <t>23112</t>
  </si>
  <si>
    <t>Chesterfield Police Department</t>
  </si>
  <si>
    <t>Police say the officer involved in the shooting stopped to assist what he believed was a disabled vehicle. When the officer approached the vehicle, he discovered the driver was the suspect in the larceny of a cash drawer that had been reported stolen from the Circle K store approximately 10 minutes before. When the officer attempted to take the driver into custody, police say Pitt resisted and a struggle for the officer's gun ensued. The officer then shot and killed Pitt.</t>
  </si>
  <si>
    <t>http://wtvr.com/2013/05/15/frankie-pitt-police-shooting-update/</t>
  </si>
  <si>
    <t>Robert Guzman</t>
  </si>
  <si>
    <t>http://www.noozhawk.com/images/uploads/Robert-Guzman175.jpg</t>
  </si>
  <si>
    <t>1100 block East Sunset Avenue</t>
  </si>
  <si>
    <t>93454</t>
  </si>
  <si>
    <t>Police responded to 911 call from suspect's neighbor, when suspect's wife and child ran into her house for help. Wife had been stabbed by Guzman. When police arrived, Guzman was in the neighbor's garage and threatened them with the knife and hedge clippers. Guzman was shot eight times by two officers. Shooting was ruled a justifiable homicide by the Santa Barbara County District Attorney’s Office.</t>
  </si>
  <si>
    <t>http://santamariatimes.com/news/local/crime-and-courts/fatal-police-shooting-in-january-ruled-justifiable/article_26259ec6-37c4-11e3-869f-001a4bcf887a.html</t>
  </si>
  <si>
    <t>Christopher Greer</t>
  </si>
  <si>
    <t>700 Shannon Ave.</t>
  </si>
  <si>
    <t>Indialantic</t>
  </si>
  <si>
    <t>32903</t>
  </si>
  <si>
    <t>Corporal Jim Haman and Deputy Diomedis Canela responded to a call that the suspect was assaulting family members with a knife. Greer allegedly threatened officers with a knife when they found him in his home. Greer was shot and killed.</t>
  </si>
  <si>
    <t>http://www.wftv.com/news/news/local/2-brevard-county-deputies-cleared-after-deadly-ind/nYN9c/</t>
  </si>
  <si>
    <t>Gilbert S. Owens</t>
  </si>
  <si>
    <t>North East Street</t>
  </si>
  <si>
    <t>Senath</t>
  </si>
  <si>
    <t>63876</t>
  </si>
  <si>
    <t>Senath Police Department</t>
  </si>
  <si>
    <t>Senath Officer J. Gentry responded to a domestic disturbance call, at which time the suspect allegedly punctured the officer's tires with a knife and approached him in an "aggressive and threatening manner." Officer used pepper spray which had no impact, and then shot Owens who was pronounced dead at the scene.</t>
  </si>
  <si>
    <t>http://www.kait8.com/story/20576367/senath-police-investigating-shooting</t>
  </si>
  <si>
    <t>Jonathan F. Vasquez</t>
  </si>
  <si>
    <t>6500 block Brooklyn Avenue</t>
  </si>
  <si>
    <t>Officers attempted to stop a vehicle for speeding. A high speed pursuit ensued. After the suspect drove into a vacant lot, he U-turned and drove towards the officers. The officers opened fire, fatally wounding the driver and injuring a passenger.</t>
  </si>
  <si>
    <t>http://fox5sandiego.com/2013/01/14/pursuit-suspect-fatally-shot-by-cop-idd/</t>
  </si>
  <si>
    <t>Lawrence Edward Vaughan</t>
  </si>
  <si>
    <t>6154 Quick Road</t>
  </si>
  <si>
    <t>Elkview</t>
  </si>
  <si>
    <t>25071</t>
  </si>
  <si>
    <t>Kanawha County Sheriff's Office</t>
  </si>
  <si>
    <t>Two deputies were dispatched to the residence after a 911 call of domestic violence; the suspect was beating his mother, whom he lived with. When the deputies arrived, Vaughan allegedly fired at them with a pistol. The two deputies returned fire and killed Vaughn at the scene, the mother was unharmed.</t>
  </si>
  <si>
    <t>http://www.charlestondailymail.com/News/201301130002</t>
  </si>
  <si>
    <t>Howard Edward Nevels</t>
  </si>
  <si>
    <t>2700 block Co Rd 243</t>
  </si>
  <si>
    <t>Smiths Station</t>
  </si>
  <si>
    <t>36877</t>
  </si>
  <si>
    <t>Sheriff's deputy attempted to pull Nevels on County Road 243 in Smith Station because the van he was driving had been reported stolen. The suspect pulled over, but attempted to run the deputy over with the van as he approached. The deputy fired several times, shooting the suspect in the head; he later died at Columbus (Ga.) Regional Medical Center. A 7-year-old boy was in the passenger seat of the van, and was unharmed.</t>
  </si>
  <si>
    <t>http://www.wsfa.com/story/20572421/lee-county-sheriff-deputy-involved-in-shooting</t>
  </si>
  <si>
    <t>Robert Ethan Saylor</t>
  </si>
  <si>
    <t>http://i.dailymail.co.uk/i/pix/2013/07/20/article-0-1AD882EE000005DC-792_306x423.jpg</t>
  </si>
  <si>
    <t>5243 Buckeystown Pike</t>
  </si>
  <si>
    <t>21701</t>
  </si>
  <si>
    <t>Robert ‘Ethan’ Saylor, 26, died from asphyxia after three Frederick County Sheriff's deputies handcuffed the flailing, 294-pound man who had Down syndrome as he screamed, cursed and cried for his mother. Saylor had not purchased a ticket for a repeat viewing of the movie Zero Dark Thirty.</t>
  </si>
  <si>
    <t>http://www.dailymail.co.uk/news/article-2370989/Ethan-Saylor-case-Sheriffs-office-releases-investigative-file-Down-syndrome-man-26-died-handcuffs-floor-refused-leave-movie-theater.html</t>
  </si>
  <si>
    <t>Jason Dillon</t>
  </si>
  <si>
    <t>http://wvva.images.worldnow.com/images/20576704_BG1.jpg</t>
  </si>
  <si>
    <t>1291 Surface Hill Road</t>
  </si>
  <si>
    <t>Mercer County Sheriff's Office</t>
  </si>
  <si>
    <t>A deputy responded to a domestic violence call of a man vandalizing a house and a truck in the yard with a chainsaw. When the deputy arrived, the suspect threatened him with a club and reused to drop it.</t>
  </si>
  <si>
    <t>http://woay.com/News.aspx?nid=5749</t>
  </si>
  <si>
    <t>Binh Van Nguyen</t>
  </si>
  <si>
    <t>http://media.nbcbayarea.com/images/01-bihnnguyen.JPG</t>
  </si>
  <si>
    <t>200 block North Maxine Street</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</si>
  <si>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</si>
  <si>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</si>
  <si>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Michael W. Daniel</t>
  </si>
  <si>
    <t>http://www.gannett-cdn.com/-mm-/75a25d9ca45402102499048f598ffcb3f53c5d93/c=0-0-680-510&amp;r=x404&amp;c=534x401/http/archive.thv11.com/images/680/510/2/assetpool/images/130111085759_michael%20daniel.jpg</t>
  </si>
  <si>
    <t>1418 S. Brown St.</t>
  </si>
  <si>
    <t>Police responded to a possible burglary in progress. Department’s Special Investigations Division and property crimes detectives searched the area, at which time two suspects fled in a vehicle. Police attempted to pull it over. They stopped and tried to flee on foot, at one point Daniel allegedly struggled with a detective and tried to take his gun. A second detective arrived and shot Daniel dead at the scene.</t>
  </si>
  <si>
    <t>http://www.arktimes.com/ArkansasBlog/archives/2013/01/11/lr-police-shooting-reported</t>
  </si>
  <si>
    <t>Chad Moretz</t>
  </si>
  <si>
    <t>http://www.sanduskyregister.com/sites/www.sanduskyregister.com/files/styles/large/public/11895132_0.jpg?itok=nPawZnkC</t>
  </si>
  <si>
    <t>205 Whitehall Avenue</t>
  </si>
  <si>
    <t>Effingham</t>
  </si>
  <si>
    <t>Effingham County Sheriff's Office</t>
  </si>
  <si>
    <t>Officers approached Moretz at his home to question him about a missing man who was a friend of his. A standoff ensued which ended when Moretz walked out of his house with a rifle in hand and was fatally shot by a SWAT sniper. The dismembered remains of the friend were found in the house.</t>
  </si>
  <si>
    <t>http://www.ktre.com/story/20571257/ecso-say-chad-moretz-dead-after-stand-off-discover-body-of-charles-ray-in-house</t>
  </si>
  <si>
    <t>Donald Moore</t>
  </si>
  <si>
    <t>http://wmctv.images.worldnow.com/images/24409082_BG3.jpg</t>
  </si>
  <si>
    <t>10038 Cameron Ridge Trail</t>
  </si>
  <si>
    <t>Shot to death. Police claim that when they came to Moore's home to serve him with a warrant for animal cruelty, he pointed a gun at them. However, when the cops came busting into the house, they broke down the door in the middle of the night and never announced they were police officers. Then Moore was fatally shot when he went for his firearm on a night stand.</t>
  </si>
  <si>
    <t>http://ftpcontent4.worldnow.com/wmctv/Moore%20File%20Stamped%20Complaint%201-8-14.pdf</t>
  </si>
  <si>
    <t>Rabih Ozeir</t>
  </si>
  <si>
    <t>http://media2.kjrh.com//photo/2013/01/11/Cushing_Ozeil_20130111212814_320_240.JPG</t>
  </si>
  <si>
    <t>1523 E. Main St.</t>
  </si>
  <si>
    <t>74023</t>
  </si>
  <si>
    <t>Officers responded to a gym after an employee reported Ozeir confronted gym staff. When officers arrived, they report Ozeir confronted them with a handgun and refused commands to put it down. The officers shot Ozeir who died in a hospital the next day.</t>
  </si>
  <si>
    <t>http://www.newson6.com/story/20913774/payne-county-da-says-officers-were-justified-in-shooting-teen</t>
  </si>
  <si>
    <t>Daniel Alain Vail</t>
  </si>
  <si>
    <t>http://www.staufferfuneralhome.com/obituaries/uploads/OI1654414267_Vail,%20Daniel.jpg</t>
  </si>
  <si>
    <t>4800 block Westwind Drive</t>
  </si>
  <si>
    <t>Mount Airy</t>
  </si>
  <si>
    <t>21771</t>
  </si>
  <si>
    <t>Frederick County Sheriff's deputies arrived at the suspect's home to execute a search and seizure warrant looking for evidence from a home invasion robbery. Deputies used a flash-bang diversionary device on entering, and found Daniel Alain Vail in his bedroom holding a gun. He refused to drop it when told; Deputy First Class Charles Zang and Deputy First Class Kevin Riffle fired a total of 18 shots, killing Vail. A grand jury found the deputies actions were justified.</t>
  </si>
  <si>
    <t>http://www.fredericknewspost.com/locations/local/frederick_county/grand-jury-use-of-force-justified-in-daniel-vail-shooting/article_04bf0da2-4e3b-11e3-8df4-001a4bcf6878.html</t>
  </si>
  <si>
    <t>John Edward Dempsey</t>
  </si>
  <si>
    <t>http://matchbin-assets.s3.amazonaws.com/public/sites/487/assets/Grover_Morrison_murder_update0_1357754913.jpg</t>
  </si>
  <si>
    <t>Buffalo Creek Road</t>
  </si>
  <si>
    <t>Man</t>
  </si>
  <si>
    <t>25635</t>
  </si>
  <si>
    <t>Officers pursued Dempsey as the prime suspect in a recent murder and carjacking. Dempsey was fatally shot after “pulling a gun on troopers.</t>
  </si>
  <si>
    <t>http://www.wsaz.com/home/headlines/BREAKING-Logan-Police-Conducting-Death-Investigation-186094111.html</t>
  </si>
  <si>
    <t>Robert Earl Gary Jr.</t>
  </si>
  <si>
    <t>122nd Avenue and 16th Street</t>
  </si>
  <si>
    <t>33612</t>
  </si>
  <si>
    <t>Gary was shot and killed by an undercover deputy after an argument broke out between them during a crack cocaine deal. Gary, with a long criminal record, had tried to rob him, then managed to get ahold of the officer's gun.</t>
  </si>
  <si>
    <t>Linda Sue Davis</t>
  </si>
  <si>
    <t>4700 block Northwest 44th Street</t>
  </si>
  <si>
    <t>Tamarac</t>
  </si>
  <si>
    <t>33319</t>
  </si>
  <si>
    <t>Davis was described by neighbors in her retirement community as an ordinarily friendly woman who circled around on her tricycle, but who was capable of "terrorizing" others when off her meds. County officers had learned of her notorious mental condition on 79 calls to her location since 2008. On this day she fatally shot an elderly neighbor and was herself immediately shot by county police, the third killing of a female by South Florida LEOs within a week.</t>
  </si>
  <si>
    <t>http://articles.sun-sentinel.com/2013-01-09/news/fl-tamarac-two-dead-20130109_1_deputy-shot-drop-gun-tamarac-woman</t>
  </si>
  <si>
    <t>Kelly Fay Simons</t>
  </si>
  <si>
    <t>http://img.deseretnews.com/images/article/contentimage/1066493/1066493.jpg</t>
  </si>
  <si>
    <t>1100 South Lake Street</t>
  </si>
  <si>
    <t>84112</t>
  </si>
  <si>
    <t>Drive automobile down street unmarked truck rammed her auto head-on and another officer ran up behind her and shot her in the back of the head.</t>
  </si>
  <si>
    <t>http://www.sltrib.com/sltrib/news/55607124-78/daughter-simons-kelly-police.html.csp</t>
  </si>
  <si>
    <t>Donald Keith Miller Sr.</t>
  </si>
  <si>
    <t>http://blogs.phoenixnewtimes.com/valleyfever/donald-miller.jpg</t>
  </si>
  <si>
    <t>N 83rd Avenue and Happy Valley Road</t>
  </si>
  <si>
    <t>85383</t>
  </si>
  <si>
    <t>Police pulled Donald Keith Miller Sr. over after receiving a call from an ex-girlfriend fearing for his safety. Miller exchanged gunfire with police at a gas station at 83rd avenue and Deer Valley, then continued on in his vehicle. Police found him again a short time later in a desert area on 89th and approached vehicle. Gunfire was exchanged again, Miller died on the scene.</t>
  </si>
  <si>
    <t>http://blogs.phoenixnewtimes.com/valleyfever/2013/01/donald_miller_idd_as_shooter_o.php</t>
  </si>
  <si>
    <t>Angella Falconi</t>
  </si>
  <si>
    <t>http://media.cmgdigital.com/shared/lt/lt_cache/thumbnail/188/img/photos/2013/01/08/75/8d/falconi-NU.jpg</t>
  </si>
  <si>
    <t>1400 block North J Street</t>
  </si>
  <si>
    <t>Lake Worth</t>
  </si>
  <si>
    <t>33460</t>
  </si>
  <si>
    <t>Officers responded to a report of a domestic disturbance. They found a woman holding a knife to the throat of her boyfriend. The officers shot her when she refused commands to drop the knife and “turned to stab him.” She died from her injuries.</t>
  </si>
  <si>
    <t>http://www.palmbeachpost.com/news/news/crime-law/authorities-woman-holding-boyfriend-at-knifepoint-/nTp6r/</t>
  </si>
  <si>
    <t>Vincent Jimenez</t>
  </si>
  <si>
    <t>http://ksaz.images.worldnow.com/images/20529821_BG2.jpg</t>
  </si>
  <si>
    <t>29th Avenue and Madison</t>
  </si>
  <si>
    <t>Officers attempted to stop a driver who seemed impaired. The driver fled and led officers on a chase that ended at the suspect's home where he crashed into a retaining wall. When officers approached the driver, the suspect rammed two cruisers and accelerated towards officers who opened fire. The suspect was pronounced dead at the scene. A 6-year-old child was discovered unharmed in the passenger seat.</t>
  </si>
  <si>
    <t>http://www.kpho.com/story/20537937/phoenix-pd-officers-forced-to-shoot-man-who-tried-to-run-them-over</t>
  </si>
  <si>
    <t>Cedrick Chatman</t>
  </si>
  <si>
    <t>75th Street and Jeffery Boulevard</t>
  </si>
  <si>
    <t>Cedrick Chatman was seen driving a car suspected of being stolen at gunpoint. Officers pulled him over, and saw him reach for a "dark object" and run from the car. Officers pursued, and thinking the suspect held a gun an officer opened fire. Chatman was pronounced dead at Northwestern Memorial Hospital, no weapon was found on the scene. Chatman's accomplices Akeem Clarke, 22, of the 7600 block of South Essex Avenue; and Martel Odum, 23, of the 0-100 block of East 69th Street, were charged with his murder, as well as two counts of felony robbery and one count of felony vehicular hijacking.</t>
  </si>
  <si>
    <t>http://articles.chicagotribune.com/2013-01-08/news/chi-union-man-suspected-of-carjacking-shot-after-pointing-object-at-police-20130107_1_police-officers-ipra-spokesman-multiple-gunshot-wounds</t>
  </si>
  <si>
    <t>Jimmy L. Hamlin Jr.</t>
  </si>
  <si>
    <t>https://i0.wp.com/mi-cache.legacy.com/legacy/images/Cobrands/Macon/Photos/W0013752-1_20130110.jpg</t>
  </si>
  <si>
    <t>N. Jefferson St. and Coleman Dr.</t>
  </si>
  <si>
    <t>Lewisburg</t>
  </si>
  <si>
    <t>24901</t>
  </si>
  <si>
    <t>Greenbrier</t>
  </si>
  <si>
    <t>Hamlin was pulled over after report of domestic violence. He allegedly exited vehicle with a rifle, pointing it at himself and then police in a threatening gesture. Officers shot, killing Hamlin on the scene. Shooting was described by police as suicide by police officer. Greenbrier County Sheriff’s Department and officers with the Alderson Police Department and the Ronceverte Police Department were also on the scene.</t>
  </si>
  <si>
    <t>http://www.wvnstv.com/story/20524597/possible-shooting-in-lewisburg</t>
  </si>
  <si>
    <t>Daniel Brawley</t>
  </si>
  <si>
    <t>http://bloximages.chicago2.vip.townnews.com/billingsgazette.com/content/tncms/assets/v3/editorial/8/23/823bc787-0677-5e0f-9963-befdbe155c40/50ec2a24db180.preview-620.jpg</t>
  </si>
  <si>
    <t>807 Miles Avenue</t>
  </si>
  <si>
    <t>Billings Police responded to a burglary call where two suspects and a rifle were observed. Police negotiators were able to get the suspects to surrender. Upon being placed in the patrol car, Brawley was able to slip out of his handcuffs and attempted to commandeer the police vehicle and nearly ran over Officer Dave Punt. Punt fired nine shots, causing the vehicle to crash and fatally killing Brawley.</t>
  </si>
  <si>
    <t>http://missoulian.com/news/state-and-regional/billings-man-shot-killed-after-hitting-police-officer-with-patrol/article_aa79dfb2-58d5-11e2-b4eb-001a4bcf887a.html</t>
  </si>
  <si>
    <t>Spencer Rollins Mims III</t>
  </si>
  <si>
    <t>https://i0.wp.com/mi-cache.legacy.com/usercontent/guestbook/photos/2013-01/2013-01-11/68009996.jpgx?w=400&amp;h=335&amp;option=1</t>
  </si>
  <si>
    <t>300 block Cooper Drive</t>
  </si>
  <si>
    <t>28210</t>
  </si>
  <si>
    <t>Officers responded to a report from Mims stating that he was having trouble with his son. When officers arrived at his home, they found Mims holding a box-cutter to his own throat. An officer fired a stun gun intending to prevent Mims from harming himself. Mims instead lunged at the officers with the box cutter. An officer shot Mims at least once. Mims died at a local hospital.</t>
  </si>
  <si>
    <t>http://www.newsrt.us/news/police-shoot-kill-man-in-south-charlotte-858122.html</t>
  </si>
  <si>
    <t>Jeremy Rucinski</t>
  </si>
  <si>
    <t>6900 block Rattalee Lake Road</t>
  </si>
  <si>
    <t>Independence Charter Township</t>
  </si>
  <si>
    <t>48348</t>
  </si>
  <si>
    <t>Oakland County Sheriff's Office</t>
  </si>
  <si>
    <t>Poice responded to a 911 call from the homeowner that her live-in boyfriend had threatened her with a switchblade. She also stated that Rucinski had been agitated for days and was on medication. Arriving on the scene the two deputies found the suspect in the garage where he allegedly threatened them. One deputy tasered the suspect, when it did not stop him, the other deputy shot him once in the chest.</t>
  </si>
  <si>
    <t>http://www.theoaklandpress.com/general-news/20130107/deputy-shoots-kills-independence-township-man-armed-with-knife</t>
  </si>
  <si>
    <t>Daniel Autenrieth</t>
  </si>
  <si>
    <t>http://blog.lehighvalleylive.com/nazareth_impact/2009/06/large_daniel-autenrieth-horiz.jpg</t>
  </si>
  <si>
    <t>Route 611</t>
  </si>
  <si>
    <t>Coolbaugh Township</t>
  </si>
  <si>
    <t>18466</t>
  </si>
  <si>
    <t>Pennsylvania State Police, Nazareth Police Department, Tatamy Police Department</t>
  </si>
  <si>
    <t>Officers responded to a report that the suspect had abducted his 9-year-old son and was armed. A 40 mile chase ended following unspecified police intervention. Officers and the suspect exchanged gunfire which killed one officer and the suspect.</t>
  </si>
  <si>
    <t>http://www.lehighvalleylive.com/nazareth/index.ssf/2009/06/trooper_joshua_miller_describe.html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</si>
  <si>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</si>
  <si>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</si>
  <si>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</si>
  <si>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</si>
  <si>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</si>
  <si>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</si>
  <si>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</si>
  <si>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</si>
  <si>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http://philadelphia.cbslocal.com/2013/01/11/deptford-cop-charged-with-first-degree-murder-in-jan-5th-shooting-incident/</t>
  </si>
  <si>
    <t>Chuckie Stowers</t>
  </si>
  <si>
    <t>N. 51st Ave and W. Indian School Rd.</t>
  </si>
  <si>
    <t>A Wal-Mart store employee observed Stowers opening packages with a knife. Stowers removed a pistol BB gun from one package and stuck it in his waistband. Police were called and confronted Stowers, who pulled the BB pistol from his pants and pointed it at officers. Several officers opened fire and Stowers was shot.</t>
  </si>
  <si>
    <t>http://blogs.phoenixnewtimes.com/valleyfever/2013/01/phoenix_pd_fatally_shoots_man.php</t>
  </si>
  <si>
    <t>Sonny Archuleta</t>
  </si>
  <si>
    <t>http://cbsdenver.files.wordpress.com/2013/01/sonny-archuleta.jpg</t>
  </si>
  <si>
    <t>16098 East Ithaca Place</t>
  </si>
  <si>
    <t>Officers responded to a report of multiple homicides. A woman had escaped from a home and called police after discovering that three people in the home appeared to be dead. A six-hour standoff ensued with the home surrounded by SWAT officers. A man in the home was killed when he shot at police.</t>
  </si>
  <si>
    <t>http://denver.cbslocal.com/2013/01/06/officer-told-neighbor-standoff-gunman-was-on-meth-binge/</t>
  </si>
  <si>
    <t>Bernard Rowley</t>
  </si>
  <si>
    <t>http://thedailynews.cc/2013/01/08/out-of-character-family-searching-for-answers-after-shootout/</t>
  </si>
  <si>
    <t>M-44 and Hawley Highway</t>
  </si>
  <si>
    <t>Belding</t>
  </si>
  <si>
    <t>48809</t>
  </si>
  <si>
    <t>Belding Police Department</t>
  </si>
  <si>
    <t>Suspect allegedly fired shots from his van through the window of an empty police car outside the Belding Police Department. Officer on duty gave chase, called in State police. Low-speed chase resulted in suspect stopping, being ordered out of van, and allegedly firing on officers. Belding Officer Jason Cooper cleared of wrongdoing. Suspect "not intentionally violent" according to family.</t>
  </si>
  <si>
    <t>http://www.mlive.com/news/grand-rapids/index.ssf/2013/02/belding_police_officer_who_sho.html</t>
  </si>
  <si>
    <t>Theodore Keiper</t>
  </si>
  <si>
    <t>https://scontent-sea.xx.fbcdn.net/hphotos-xap1/v/t1.0-9/1425725_316489791827182_402222712_n.jpg?oh=31a6068a763d5c068097fe1f185b6f4c&amp;oe=55E00BDB</t>
  </si>
  <si>
    <t>5504 Padre Juan Canyon Rd</t>
  </si>
  <si>
    <t>Suspect was observed riding a motorcycle, speeding on the southbound side of old Pacific Coast Highway. Officers pursued Keiper onto Hobson Road and then Padre Juan Canyon Road, where he crashed down an embankment. California Highway Patrol Officers Michael Trenery and Frank Paramo feared for their lives, and shot Keiper. Shooting was ruled justified.</t>
  </si>
  <si>
    <t>http://www.vcstar.com/news/police-replica-gun-found-at-scene-of-officer-chp</t>
  </si>
  <si>
    <t>Joel Byne</t>
  </si>
  <si>
    <t>http://media2.abc15.com//photo/2013/01/06/KNXV_Joel_Byne_20130106165926_640_480.JPG</t>
  </si>
  <si>
    <t>15000 W. Aster Drive</t>
  </si>
  <si>
    <t>Surprise</t>
  </si>
  <si>
    <t>85379</t>
  </si>
  <si>
    <t>Surprise Police Department</t>
  </si>
  <si>
    <t>Police responded to a report of a man threatening suicide with a gun. Byne made comments that he was going to get police to shoot him. Police attempted to negotiate with Byne and use less lethal means to stop him from shooting himself, but were unsuccessful. At some point during negotiations, Byne was shot by police and later died at hospital.</t>
  </si>
  <si>
    <t>http://www.azcentral.com/community/surprise/articles/20130105man-shot-altercation-surprise-police.html?nclick_check=1</t>
  </si>
  <si>
    <t>Xavier Tyrell Johnson</t>
  </si>
  <si>
    <t>SW 56th Street and 117th Avenue</t>
  </si>
  <si>
    <t>Westwood Lakes</t>
  </si>
  <si>
    <t>Yolanda Thomas and Xavier Tyrell Johnson had just allegedly stolen from a drugstore and fled in a vehicle, with Thomas driving, but lost control of the car and crashed into a median barricade. Apparently unarmed Thomas tried to flee, which police interpreted as threatening, and both were shot to death.</t>
  </si>
  <si>
    <t>Yolanda Thomas</t>
  </si>
  <si>
    <t>http://miami.cbslocal.com/2013/01/07/family-of-man-killed-in-police-involved-shooting-demands-answers/</t>
  </si>
  <si>
    <t>Darrell Banks</t>
  </si>
  <si>
    <t>2400 block Cleveland Street</t>
  </si>
  <si>
    <t>Plain clothes officers in an alley were investigating an armed home invasion when they spotted a man who matched the suspect's description. The man fled. Police report they fatally shot him when he pointed an object at them. No weapons were recovered at the scene. Family members report Banks was walking home from a birthday party.</t>
  </si>
  <si>
    <t>http://www.nbcphiladelphia.com/news/local/Family-Outraged-After-Police-Shoot-Kill-Man-in-North-Philly-185826572.html; https://www.paed.uscourts.gov/documents/opinions/15D0726P.pdf</t>
  </si>
  <si>
    <t>Joseph Blake Powell</t>
  </si>
  <si>
    <t>http://wbbh.images.worldnow.com/images/20501310_BG3.jpg</t>
  </si>
  <si>
    <t>US-41 and Alico Road</t>
  </si>
  <si>
    <t>Fort Myers</t>
  </si>
  <si>
    <t>33908</t>
  </si>
  <si>
    <t>Deputies were responding to calls of a fight in the parking lot of Cadillac Jack's on US-41 near Island Park Road. They arrived to find 25-50 people fighting and heard a report of a vehicle fleeing the scene. Deputies pursued, caught up with suspects at US-41 and Alico Road. Joseph Blake Powell allegedly exited the vehicle with a gun in his hand and started firing at deputies. Witnesses reported hearing over a dozen gunshots from Powell and deputies. Powell was killed, no officers were injured. Powell had a warrant for probation violation. Deputy Jeff Pierot, Lee County Sheriff’s Office and Deputy Russell Park, Lee County Sheriff’s Office were awarded 2013 Officers of the Year Award.</t>
  </si>
  <si>
    <t>http://www.nbc-2.com/story/20501310/2013/01/04/1-dead-after-deputy-involved-shooting; http://www.sheriffleefl.org/main/index.php?r=news/index&amp;id=11648</t>
  </si>
  <si>
    <t>Barry Cloninger</t>
  </si>
  <si>
    <t>http://altondailynews.interactivemediapartners.net/shared/inc/client/17/articles/images/1081342834-BarryCloninger.JPG</t>
  </si>
  <si>
    <t>7100 block IL-140</t>
  </si>
  <si>
    <t>Edwardsville</t>
  </si>
  <si>
    <t>62025</t>
  </si>
  <si>
    <t>Police responded to a report by a neighbor (part of an ongoing dispute) that flammable liquid might have been poured down a chimney. On arrival, the Madison County Sheriff's Office alleges that the suspect pointed a shotgun in Sgt. Bill Marconi's direction and refused to drop it. Marconi fired several shots, suspect ran and was later found dead behind his house. Cloninger's widow filed lawsuit stating that Marconi did not identify himself as a sheriff’s deputy and no cause to suspect him of wrongdoing.</t>
  </si>
  <si>
    <t>http://www.stltoday.com/news/local/crime-and-courts/widow-sues-madison-county-deputy-sheriff-who-shot-her-husband/article_2c67e04f-5acb-5007-8035-ce4638d5420e.html</t>
  </si>
  <si>
    <t>Seth W. O'Donnell</t>
  </si>
  <si>
    <t>http://cbspittsburgh.files.wordpress.com/2012/02/sethodonnell.jpg?w=420&amp;h=316&amp;crop=1</t>
  </si>
  <si>
    <t>819 Cross Roads Plaza</t>
  </si>
  <si>
    <t>Mt. Pleasant</t>
  </si>
  <si>
    <t>15666</t>
  </si>
  <si>
    <t>O'Donnell was well known to police for prior assaults. State troopers were called to a grocery store for O'Donnell's disturbing behavior and attempted to Taser him into submission. After assaulting and wounding a trooper with a pair of scissors, he was shot multiple times, ran out the front door, and collapsed in the parking lot.</t>
  </si>
  <si>
    <t>http://www.post-gazette.com/local/westmoreland/2013/01/05/Man-killed-by-Pennsylvania-State-Police-had-crazed-look/stories/201301050308; http://triblive.com/news/adminpage/3725729-74/cope-donnell-store#axzz3nGfNl2an</t>
  </si>
  <si>
    <t>Peter Jourdan</t>
  </si>
  <si>
    <t>Fort Hamilton Parkway &amp; 62nd Street</t>
  </si>
  <si>
    <t>11219</t>
  </si>
  <si>
    <t>NYPD plainclothes transit police approached Jourdan after seeing him move from one subway car to another, a violation. Jourdan responded by pulling a 9mm pistol and firing on both officers, wounding one seriously. The other returned fire and shot Jourdan to death. He'd had significant mental health issues and an extensive arrest record, unknown to the officers.</t>
  </si>
  <si>
    <t>http://articles.mcall.com/2013-01-04/news/mc-c-allentown-gunman-killed-on-ny-subway-20130104_1_lukasz-kozicki-officer-michael-levay-allentown-man; http://www.foxnews.com/us/2013/01/04/3-nypd-officers-shot-in-one-hour-span-in-separate-incidents/</t>
  </si>
  <si>
    <t>Amber Nashay Carter</t>
  </si>
  <si>
    <t>https://localtvwghp.files.wordpress.com/2013/01/amber_carter_t_01.jpeg?w=373</t>
  </si>
  <si>
    <t>Pinecroft Road and Kilbourne Drive</t>
  </si>
  <si>
    <t>Carter attracted police attention on the interstate because she was driving her black Deville too slow -- 51 in a 60 MPH zone -- and refused to pass him. She fled an attempt to stop her, exited the interstate, blew through three red lights, and fatally crashed the Cadillac. She'd had an expired license.</t>
  </si>
  <si>
    <t>http://myfox8.com/2013/01/04/police-id-woman-killed-in-crash-following-police-chase/</t>
  </si>
  <si>
    <t>Hunter Jacob Todd</t>
  </si>
  <si>
    <t>http://ak-cache.legacy.net/legacy/Images/Cobrands/DignityMemorial/Photos/59c43772-643e-42c2-b704-fdffa91a9e43.jpg</t>
  </si>
  <si>
    <t>8000 block Debbie Ann Court</t>
  </si>
  <si>
    <t>Police responded to a report of a possible car burglary at the Glen Alta Way and Debbie Ann Court intersection in Citrus Heights. On arriving the first officer on the scene saw a man matching suspect's description and ordered him to show his hands. Suspect allegedly refused officer's commands and "was aggressively reaching for something" causing the officer to "fear for his life" and shoot the suspect. Suspect's alleged accomplice, Richard Martin Duran, was arrested on the scene.</t>
  </si>
  <si>
    <t>http://www.news10.net/news/article/224031/2/Investigation-continues-into-officer-involved-shooting</t>
  </si>
  <si>
    <t>Kenneth Morrow</t>
  </si>
  <si>
    <t>259 High Bridge Rd</t>
  </si>
  <si>
    <t>Ormond Beach</t>
  </si>
  <si>
    <t>32174</t>
  </si>
  <si>
    <t>Deputies discovered a suicidal Morrow and his parked motorcycle on a remote road. As they approached he held a handgun to his own head and threatened to shoot. After hours of negotiations and text messages back and forth Morrow advanced on the police in a threatening way, and they shot him to death.</t>
  </si>
  <si>
    <t>http://www.clickorlando.com/news/Deputies-shoot-kill-armed-man-near-Ormond-Beach/17990842</t>
  </si>
  <si>
    <t>Tyree Bell</t>
  </si>
  <si>
    <t>http://content.omaha.com/media/maps/ps/2013/jan/bell.jpg</t>
  </si>
  <si>
    <t>3727 N. 42nd St.</t>
  </si>
  <si>
    <t>68111</t>
  </si>
  <si>
    <t>Omaha Police Department responded to a 911 domestic disturbance call around 2am which indicated that the suspect had a shotgun. Suspect's girlfriend left the house when police arrived but two children, suspects son and daughter were still inside. Daughter later was freed, but suspect allegedly used 3-year-old son as a shield multiple times when pointing shotgun at officers. Suspect threatened officers and made suicidal statements. Around 6:30am suspect put his son back in the house and came back out with shotgun and rifle, and was shot multiple times by four officers. Suspect had criminal history and mental issues. One gun was later found to be a pellet gun, and the other was unloaded.</t>
  </si>
  <si>
    <t>http://www.ketv.com/news/Police-chief-details-officer-involved-shooting/17983680; http://www.omaha.com/news/omaha-police-chief-describes-dead-suspect-as-suicidal-mentally-ill/article_d0d3c6c8-701a-51ab-85c1-738e06e9f5a8.html</t>
  </si>
  <si>
    <t>Abel Gurrola</t>
  </si>
  <si>
    <t>http://www.bakersfieldnow.com/news/local/A-26-year-old-man-shot-by-police-is-in-critical-condition-185383592.html</t>
  </si>
  <si>
    <t>720 Terrace Way</t>
  </si>
  <si>
    <t>Officers responded to reports of gunshots at an apartment complex and allegedly saw Abel Gurrola carrying a rifle. Family members state that Abel Gurrola and his brother were shooting the rifle in a nearby empty lot to celebrate the New Year but did nothing to warrant being shot. Officers ordered him to drop the gun, but he refused and ran. Officers were found to be within department policy and state and federal guidelines. Family has filed wrongful death suit. Gurrola left behind a wife and six young children.</t>
  </si>
  <si>
    <t>http://www.bakersfieldcalifornian.com/local/breaking-news/x837004059/Review-Board-Officers-actions-within-department-policy-in-fatal-Jan-1-shooting</t>
  </si>
  <si>
    <t>Mark Chavez</t>
  </si>
  <si>
    <t>912 Loma Linda Ave.</t>
  </si>
  <si>
    <t>An officer responded to a report by Chavez that he had killed a woman. Chavez aggressively approached the officer with a blunt impact weapon. The officer used a Taser, which was ineffective. The officer then shot Chavez in the leg and torso. Chavez died at a local hospital. Investigators could not find evidence of a woman having been killed and suspect that Chavez made the call to lure police to his residence.</t>
  </si>
  <si>
    <t>http://www.daily-times.com/farmington-news/ci_22299125/farmington-officer-who-shot-killed-man-has-history?source=email</t>
  </si>
  <si>
    <t>Christopher Tavares</t>
  </si>
  <si>
    <t>http://www.krdo.com/image/view/-/17980228/medRes/1/-/nq7qay/-/Man-Killed-After-Shooting-Pueblo-Police-Officer.jpg</t>
  </si>
  <si>
    <t>Highway 50 and North Elizabeth Street</t>
  </si>
  <si>
    <t>81008</t>
  </si>
  <si>
    <t>Christopher was with two others in a car. Pueblo police officers attempted to pull them over after reports of gunshots in the area. They did not pull over to the side of the road, but then crashed the car. All three fled on foot. Christopher shot at the officers after getting out of the car, and struck one of them in the shoulder. They found his about an hour later and he did not cooperate with the officers. Police said Tavares was shot and killed after he refused to listen to a detective's commands and tried to flee.</t>
  </si>
  <si>
    <t>http://www.krdo.com/news/Pueblo-Police-shoot-kill-man-suspected-of-shooting-officer/17963954</t>
  </si>
  <si>
    <t>Andrew L. Closson</t>
  </si>
  <si>
    <t>http://www.superiortelegram.com/sites/default/files/styles/full_1000/public/fieldimages/30/obits/1205/andrewclosson.jpg?itok=UeptfkX5</t>
  </si>
  <si>
    <t>U.S. Highway 53</t>
  </si>
  <si>
    <t>54838</t>
  </si>
  <si>
    <t>Deputies responded to a 911 call of shots fired in the suspect's home. They set up a perimeter, however the suspect was able to escape through the back of the house. Lt. Christopher Hoyt, driving to the scene, saw a man hitchhiking on the northbound shoulder of U.S. Highway 53 just north of Gordon. Hoyt turned on lights, exited the vehicle, drew his weapon, and demanded suspect show his hands. Andrew Closson allegedly raised a long gun by his leg, pointing it at the deputy. Hoyt shot three times, killing Closson. Shooting was deemed justified by Douglas County District Attorney Dan Blank.</t>
  </si>
  <si>
    <t>http://www.superiortelegram.com/content/deputy-cleared-new-years-shooting</t>
  </si>
  <si>
    <t>Andrew Layton</t>
  </si>
  <si>
    <t>http://bloximages.chicago2.vip.townnews.com/mankatofreepress.com/content/tncms/assets/v3/editorial/b/b8/bb88d269-74de-5761-bb54-ed38bbea3b58/54055cc8c004e.image.jpg</t>
  </si>
  <si>
    <t>410 S Riverfront Drive</t>
  </si>
  <si>
    <t>56001</t>
  </si>
  <si>
    <t>Blue Earth</t>
  </si>
  <si>
    <t>Mankato Department of Public Safety</t>
  </si>
  <si>
    <t>Former combat medic Layton was found unconscious at 4:45 a.m. on New Year's Day in the entryway of a grocery store. Combative and resistive to officers rousing him, he was tasered twice, which stopped his heart. He was revived but lapsed into coma and died five days later. Friends held that he'd been injured in a fight; police refused to be open about details.</t>
  </si>
  <si>
    <t>http://www.tmcnet.com/usubmit/2013/02/21/6938855.htm; http://www.mankatofreepress.com/news/local_news/north-mankato-man-tasered-by-police-before-death-mankato-city/article_a7b201ba-6abe-5ed4-8fb6-2dd122f64c80.html</t>
  </si>
  <si>
    <t>Yvens Seide</t>
  </si>
  <si>
    <t>http://www.sun-sentinel.com/local/broward/fl-pedestrian-fatal-20151031-story.html</t>
  </si>
  <si>
    <t>Deaunte Lamar Bell</t>
  </si>
  <si>
    <t>http://www.dispatch.com/content/stories/local/2015/10/29/Officer-involved-shooting.html</t>
  </si>
  <si>
    <t>Jerry Michael Graham Jr.</t>
  </si>
  <si>
    <t>http://www.news4jax.com/news/policeinvolved-shooting-in-east-arlington/36098444</t>
  </si>
  <si>
    <t>200 Century St</t>
  </si>
  <si>
    <t>Tyrie Cuyler</t>
  </si>
  <si>
    <t>http://www.wtoc.com/story/30372168/gbi-releases-new-details-on-officer-involved-shooting-in-savannah</t>
  </si>
  <si>
    <t>37th St Connector and Ogeechee Rd</t>
  </si>
  <si>
    <t>Anthony Ashford</t>
  </si>
  <si>
    <t>http://www.nbcsandiego.com/news/local/San-Diego-Harbor-Police-Shooting-Fatal-Officer-Involved-337915742.html</t>
  </si>
  <si>
    <t>4800 N Harbor Dr</t>
  </si>
  <si>
    <t>San Diego Harbor Police Department</t>
  </si>
  <si>
    <t>Marquesha McMillan</t>
  </si>
  <si>
    <t>http://www.nbcwashington.com/news/local/1-Injured-in-NW-DC-Shooting-337103121.html</t>
  </si>
  <si>
    <t>7700 Georgia Ave NW</t>
  </si>
  <si>
    <t>Washington Metropolitan Police Department</t>
  </si>
  <si>
    <t>Kobvey Igbuhay</t>
  </si>
  <si>
    <t>http://www.tampabay.com/news/publicsafety/crime/one-suspect-shot-two-in-custody-and-tampa-police-hunting-for-a-fourth/2251265</t>
  </si>
  <si>
    <t>Kevin T. Brunson</t>
  </si>
  <si>
    <t>http://www.fredericknewspost.com/news/crime_and_justice/cops_and_crime/maryland-state-trooper-involved-in-shooting-at-east-patrick-street/article_f815b31a-5e20-5a00-9136-c0a71d2c7be7.html</t>
  </si>
  <si>
    <t>1300 E Patrick St</t>
  </si>
  <si>
    <t>Rolly Thomas</t>
  </si>
  <si>
    <t>1518 NE 43rd Ln</t>
  </si>
  <si>
    <t>Dominic Hutchinson</t>
  </si>
  <si>
    <t>http://www.desertsun.com/story/news/crime_courts/2015/10/25/cathedral-city-officer-shooting/74582286/</t>
  </si>
  <si>
    <t>68200 33rd Ave</t>
  </si>
  <si>
    <t>Cathedral City</t>
  </si>
  <si>
    <t>Cathedral City Police Department</t>
  </si>
  <si>
    <t>Charles A. Pettit</t>
  </si>
  <si>
    <t>http://newsok.com/article/5456285</t>
  </si>
  <si>
    <t>6420 Southeast 15th Street</t>
  </si>
  <si>
    <t>Adriene Jamarr Ludd</t>
  </si>
  <si>
    <t>Carmichael</t>
  </si>
  <si>
    <t>Lawrence Green</t>
  </si>
  <si>
    <t>451 Clyde Fant Pkwy</t>
  </si>
  <si>
    <t>Lamontez Jones</t>
  </si>
  <si>
    <t>6th Ave and F St</t>
  </si>
  <si>
    <t>Corey Jones</t>
  </si>
  <si>
    <t>Dequan L. Williams</t>
  </si>
  <si>
    <t>York Police Department</t>
  </si>
  <si>
    <t>Rayshaun Cole</t>
  </si>
  <si>
    <t>http://www.sandiegouniontribune.com/news/2015/oct/17/chula-vista-shooting/</t>
  </si>
  <si>
    <t>1310 Santa Rita E</t>
  </si>
  <si>
    <t>Paterson Brown Jr.</t>
  </si>
  <si>
    <t>http://www.richmond.com/news/local/chesterfield/article_c725c915-9977-5246-be48-5a2b51f13953.html</t>
  </si>
  <si>
    <t>7559 Midlothian Turnpike</t>
  </si>
  <si>
    <t>Ricky Javenta Ball</t>
  </si>
  <si>
    <t>21st St N &amp; 15th Ave N</t>
  </si>
  <si>
    <t>Kaleb Alexander</t>
  </si>
  <si>
    <t>2660 Noe Bixby Rd</t>
  </si>
  <si>
    <t>Martin Ryans</t>
  </si>
  <si>
    <t>http://abc13.com/news/one-dead-in-officer-involved-shooting-in-nw-houston/1035019/</t>
  </si>
  <si>
    <t>7844 W Tidwell Rd</t>
  </si>
  <si>
    <t>Leslie Portis</t>
  </si>
  <si>
    <t>Evergreen</t>
  </si>
  <si>
    <t>Conecuh County Sheriff's Office, Alabama Department of Public Safety</t>
  </si>
  <si>
    <t>Bernard Brandon Powers</t>
  </si>
  <si>
    <t>Jason Day</t>
  </si>
  <si>
    <t>Mario Martinez</t>
  </si>
  <si>
    <t>http://crimeblog.dallasnews.com/2015/10/gunman-killed-by-police-after-overnight-chase-standoff-in-mesquite.html/</t>
  </si>
  <si>
    <t>N Town E Blvd and I-635</t>
  </si>
  <si>
    <t>Omar Miguel Lopez</t>
  </si>
  <si>
    <t>Video shows struggle with SEPTA cop that left man dead: http://6abc.com/news/police-suspect-dead-after-assaulting-septa-officer-in-kensington/1051327/</t>
  </si>
  <si>
    <t>Kensington Ave and Huntingdon St</t>
  </si>
  <si>
    <t>Southeastern Pennsylvania Transportation Authority Police Department</t>
  </si>
  <si>
    <t>Juan Eliseo Ulloa</t>
  </si>
  <si>
    <t>http://www.pe.com/articles/riverside-784400-officers-stop.html</t>
  </si>
  <si>
    <t>E La Cadena Dr and Iowa Ave</t>
  </si>
  <si>
    <t>Jeremy Galvez</t>
  </si>
  <si>
    <t>http://www.wesh.com/news/fhp-investigating-fatal-crash-in-casselberry/36003338</t>
  </si>
  <si>
    <t>Miguel Angel Marin Galena</t>
  </si>
  <si>
    <t>200 East First Street</t>
  </si>
  <si>
    <t>Calexico</t>
  </si>
  <si>
    <t>Ryan Rodriguez</t>
  </si>
  <si>
    <t>Joel Lopes</t>
  </si>
  <si>
    <t>http://krqe.com/2015/10/20/police-officer-involved-in-shooting-at-elephant-butte/</t>
  </si>
  <si>
    <t>Truth or Consequences</t>
  </si>
  <si>
    <t>Sierra County Sheriff's Office</t>
  </si>
  <si>
    <t>Silviano Ortiz</t>
  </si>
  <si>
    <t>Gino Paredes</t>
  </si>
  <si>
    <t>4000 E Briggsmore Ave</t>
  </si>
  <si>
    <t>Johnny Angel Rangel</t>
  </si>
  <si>
    <t>Herbert Benitez</t>
  </si>
  <si>
    <t>Market St and 8th St</t>
  </si>
  <si>
    <t>Jorge Santiago Tapia</t>
  </si>
  <si>
    <t>http://www.miamiherald.com/news/local/community/miami-dade/article39262830.html</t>
  </si>
  <si>
    <t>SW 137th Ave and SW 280th St</t>
  </si>
  <si>
    <t>Jonathan Peña</t>
  </si>
  <si>
    <t>http://ktla.com/2015/10/16/1-dead-3-injured-in-deputy-involved-crash-in-west-hollywood/</t>
  </si>
  <si>
    <t>Santa Monica Blvd and San Vicente Blvd</t>
  </si>
  <si>
    <t>Samuel Villarreal</t>
  </si>
  <si>
    <t>Robert Humberto Medellin</t>
  </si>
  <si>
    <t>http://www.oaoa.com/news/article_56304b5e-70eb-11e5-b3b8-73e54f868fb5.html</t>
  </si>
  <si>
    <t>Ector County Sheriff's Office</t>
  </si>
  <si>
    <t>Joe Pasquez Ortiz</t>
  </si>
  <si>
    <t>http://www.sbsun.com/general-news/20151011/san-bernardino-police-officer-fatally-shoots-suspect</t>
  </si>
  <si>
    <t>Unknown name</t>
  </si>
  <si>
    <t>http://www.muskogeephoenix.com/news/man-dead-after-cherokee-county-deputy-forced-to-shoot-him/article_3f61699f-87c3-5576-ac6c-47ec84673edb.html</t>
  </si>
  <si>
    <t>http://www.click2houston.com/news/breaking-3-shot-in-northwest-harris-county-life-flight-on-scene/36144374</t>
  </si>
  <si>
    <t>Larry Busby</t>
  </si>
  <si>
    <t>Jon Ployhar</t>
  </si>
  <si>
    <t>Stephen H. Brock</t>
  </si>
  <si>
    <t>1138 Nealy Creek Rd</t>
  </si>
  <si>
    <t>Pine Top</t>
  </si>
  <si>
    <t>Mario Perdigone</t>
  </si>
  <si>
    <t>http://www.kristv.com/story/30317738/man-dies-in-corpus-christi-pd-custody</t>
  </si>
  <si>
    <t>Leopard St</t>
  </si>
  <si>
    <t>400 W 111th St</t>
  </si>
  <si>
    <t>Jason Foreman</t>
  </si>
  <si>
    <t>http://www.ajc.com/news/news/crime-law/gbi-murder-suspect-believed-killed-by-hall-county-/nn5PY/</t>
  </si>
  <si>
    <t>Jarek Kozlowski</t>
  </si>
  <si>
    <t>http://www.rgj.com/story/news/crime/2015/10/17/police-gardnerville-man-killed-mother-dies-hospital/74121444/</t>
  </si>
  <si>
    <t>http://www.houstonchronicle.com/news/houston-texas/houston/article/Police-fatally-shoot-man-barricaded-in-house-6575018.php</t>
  </si>
  <si>
    <t>900 Panama St</t>
  </si>
  <si>
    <t>Michael Clark</t>
  </si>
  <si>
    <t>3 Geary Plaza</t>
  </si>
  <si>
    <t>http://www.necn.com/news/new-england/Man-Dies-Following-Struggle-With-Police-332162782.html</t>
  </si>
  <si>
    <t>Anthony L. Aguilar Sr.</t>
  </si>
  <si>
    <t>Lisle</t>
  </si>
  <si>
    <t>Lisle Police Department</t>
  </si>
  <si>
    <t>Margaret Wagner</t>
  </si>
  <si>
    <t>http://www.pe.com/articles/shooting-782957-information-officer.html</t>
  </si>
  <si>
    <t>Aguanga</t>
  </si>
  <si>
    <t>Noah Jacob Harpham</t>
  </si>
  <si>
    <t>Floyd Ray Cook</t>
  </si>
  <si>
    <t>6800 KY-61</t>
  </si>
  <si>
    <t>Burkesville</t>
  </si>
  <si>
    <t>Kentucky State Police, United States Marshals Service</t>
  </si>
  <si>
    <t>Andrew G. Dehart</t>
  </si>
  <si>
    <t>http://www.kgw.com/story/news/local/2015/10/29/police-chase-hwy-26-ends-crash-man-hospitalized/74787522/</t>
  </si>
  <si>
    <t>Dennis L. Edwards Tunnel</t>
  </si>
  <si>
    <t>Forest Grove</t>
  </si>
  <si>
    <t>Allen Quintez Swader</t>
  </si>
  <si>
    <t>Ricky Keith Keeton</t>
  </si>
  <si>
    <t>http://www.clarionledger.com/story/news/2015/10/28/fatal-deputy-involved-shooting-monroe-county/74730994/</t>
  </si>
  <si>
    <t>60021 Sizemore Rd</t>
  </si>
  <si>
    <t>Smithville</t>
  </si>
  <si>
    <t>Jasper Levi Adams</t>
  </si>
  <si>
    <t>http://www.statesmanjournal.com/story/news/crime/2015/10/28/-5-southbound-traffic-detourced-kuebler/74775822/</t>
  </si>
  <si>
    <t>Bendetta L. Miller</t>
  </si>
  <si>
    <t>http://www.heraldstandard.com/news/hsnewsnow/woman-injured-in-bute-road-police-pursuit-has-died/article_d2b0eb60-ca0c-5a25-9600-76e7263fa5db.html</t>
  </si>
  <si>
    <t>John Harley Turner</t>
  </si>
  <si>
    <t>http://www.11alive.com/story/news/local/2015/10/24/two-deputies-shot-pickens-county/74569260/</t>
  </si>
  <si>
    <t>1600 Carver Mill Rd</t>
  </si>
  <si>
    <t>Talking Rock</t>
  </si>
  <si>
    <t>Arthur W. West Jr.</t>
  </si>
  <si>
    <t>http://www.zanesvilletimesrecorder.com/story/news/crime/2015/10/25/sheriff-one-dead-officer-involved-shooting/74581242/</t>
  </si>
  <si>
    <t>2800 Pinkerton Ln</t>
  </si>
  <si>
    <t>Zanesville</t>
  </si>
  <si>
    <t>Muskingum County Sheriff's Office</t>
  </si>
  <si>
    <t>Darren Myron Fude</t>
  </si>
  <si>
    <t>6107 236th Ave</t>
  </si>
  <si>
    <t>Timothy Richard Arnold</t>
  </si>
  <si>
    <t>1400 Hidden Valley Dr SE</t>
  </si>
  <si>
    <t>Kentwood</t>
  </si>
  <si>
    <t>Kentwood Police Department</t>
  </si>
  <si>
    <t>Jonathan Tyler Gossman</t>
  </si>
  <si>
    <t>3200 Ravenwood Terrace NW</t>
  </si>
  <si>
    <t>Cedar Rapids</t>
  </si>
  <si>
    <t>Cedar Rapids Police Department</t>
  </si>
  <si>
    <t>Darien Greenwood</t>
  </si>
  <si>
    <t>Mandeville</t>
  </si>
  <si>
    <t>Kenneth Darryl Schick</t>
  </si>
  <si>
    <t>http://www.osagecountyonline.com/archives/18642</t>
  </si>
  <si>
    <t>11651 S Jordan Rd</t>
  </si>
  <si>
    <t>Wakarusa</t>
  </si>
  <si>
    <t>Roger D. Hall</t>
  </si>
  <si>
    <t>Jeffersontown Police Department</t>
  </si>
  <si>
    <t>Danny Leroy Hammond</t>
  </si>
  <si>
    <t>http://www.startribune.com/Security-guard-fatally-shot-in-St.-Cloud-Hospital/333868281/</t>
  </si>
  <si>
    <t>Krikor Ekizian</t>
  </si>
  <si>
    <t>Linda Lee Lush</t>
  </si>
  <si>
    <t>Michael Brennan</t>
  </si>
  <si>
    <t>Robert Burgess</t>
  </si>
  <si>
    <t>11500 NE 120th St</t>
  </si>
  <si>
    <t>Kirkland</t>
  </si>
  <si>
    <t>Kirkland Police Department</t>
  </si>
  <si>
    <t>David Elwood Shurtz Jr.</t>
  </si>
  <si>
    <t>http://www.davisenterprise.com/?p=602436&amp;preview_id=602436</t>
  </si>
  <si>
    <t>Brent Andrew Brannon</t>
  </si>
  <si>
    <t>Emerson Police Department</t>
  </si>
  <si>
    <t>Michelle Marie Burg</t>
  </si>
  <si>
    <t>http://www.abc-7.com/story/30262286/ccso-suspect-dies-after-deputy-involved-shooting</t>
  </si>
  <si>
    <t>Tamiami Trail East</t>
  </si>
  <si>
    <t>Naples</t>
  </si>
  <si>
    <t>Collier County Sheriff's Office</t>
  </si>
  <si>
    <t>Rudolph Smith</t>
  </si>
  <si>
    <t>Brookhaven</t>
  </si>
  <si>
    <t>Brookhaven Police Department</t>
  </si>
  <si>
    <t>William Daniel Combs</t>
  </si>
  <si>
    <t>Pinon Hills</t>
  </si>
  <si>
    <t>Christopher Whitmarsh</t>
  </si>
  <si>
    <t>Balch St</t>
  </si>
  <si>
    <t>Beverly Police Department</t>
  </si>
  <si>
    <t>http://www.killedbypolice.net/victims/150906.jpg</t>
  </si>
  <si>
    <t>http://www.killedbypolice.net/victims/150898.jpg</t>
  </si>
  <si>
    <t>http://www.killedbypolice.net/victims/150899.jpg</t>
  </si>
  <si>
    <t>http://www.killedbypolice.net/victims/150920.jpg</t>
  </si>
  <si>
    <t>http://www.killedbypolice.net/victims/150938.jpg</t>
  </si>
  <si>
    <t>http://www.killedbypolice.net/victims/150929.jpg</t>
  </si>
  <si>
    <t>http://www.killedbypolice.net/victims/150944.jpg</t>
  </si>
  <si>
    <t>http://www.killedbypolice.net/victims/150951.jpg</t>
  </si>
  <si>
    <t>http://www.killedbypolice.net/victims/150914.jpg</t>
  </si>
  <si>
    <t>http://www.killedbypolice.net/victims/150994.jpg</t>
  </si>
  <si>
    <t>http://www.killedbypolice.net/victims/150990.jpg</t>
  </si>
  <si>
    <t>http://www.killedbypolice.net/victims/150986.jpg</t>
  </si>
  <si>
    <t>http://www.killedbypolice.net/victims/150982.jpg</t>
  </si>
  <si>
    <t>http://www.killedbypolice.net/victims/150985.jpg</t>
  </si>
  <si>
    <t>http://www.killedbypolice.net/victims/150975.jpg</t>
  </si>
  <si>
    <t>http://www.killedbypolice.net/victims/150970.jpg</t>
  </si>
  <si>
    <t>http://www.killedbypolice.net/victims/150971.jpg</t>
  </si>
  <si>
    <t>http://www.killedbypolice.net/victims/150963.jpg</t>
  </si>
  <si>
    <t>http://www.killedbypolice.net/victims/150957.jpg</t>
  </si>
  <si>
    <t>http://www.killedbypolice.net/victims/150956.jpg</t>
  </si>
  <si>
    <t>http://www.killedbypolice.net/victims/150958.jpg</t>
  </si>
  <si>
    <t>http://www.killedbypolice.net/victims/150953.jpg</t>
  </si>
  <si>
    <t>http://www.killedbypolice.net/victims/150949.jpg</t>
  </si>
  <si>
    <t>http://www.killedbypolice.net/victims/150950.jpg</t>
  </si>
  <si>
    <t>http://www.killedbypolice.net/victims/150931.jpg</t>
  </si>
  <si>
    <t>http://www.killedbypolice.net/victims/150932.jpg</t>
  </si>
  <si>
    <t>http://www.killedbypolice.net/victims/150934.jpg</t>
  </si>
  <si>
    <t>http://www.killedbypolice.net/victims/150935.jpg</t>
  </si>
  <si>
    <t>http://www.killedbypolice.net/victims/150923.jpg</t>
  </si>
  <si>
    <t>http://www.killedbypolice.net/victims/150924.jpg</t>
  </si>
  <si>
    <t>http://www.killedbypolice.net/victims/150922.jpg</t>
  </si>
  <si>
    <t>http://www.killedbypolice.net/victims/150915.jpg</t>
  </si>
  <si>
    <t>http://www.killedbypolice.net/victims/150913.jpg</t>
  </si>
  <si>
    <t>http://www.killedbypolice.net/victims/150955.jpg</t>
  </si>
  <si>
    <t>http://www.killedbypolice.net/victims/150960.jpg</t>
  </si>
  <si>
    <t>http://www.killedbypolice.net/victims/150959.jpg</t>
  </si>
  <si>
    <t>http://www.killedbypolice.net/victims/150967.jpg</t>
  </si>
  <si>
    <t>http://www.killedbypolice.net/victims/150976.jpg</t>
  </si>
  <si>
    <t>http://www.killedbypolice.net/victims/2797.jpg</t>
  </si>
  <si>
    <t>http://www.killedbypolice.net/victims/150916.jpg</t>
  </si>
  <si>
    <t>http://www.killedbypolice.net/victims/150937.jpg</t>
  </si>
  <si>
    <t>http://www.killedbypolice.net/victims/150930.jpg</t>
  </si>
  <si>
    <t>http://www.killedbypolice.net/victims/150943.jpg</t>
  </si>
  <si>
    <t>http://www.killedbypolice.net/victims/150947.jpg</t>
  </si>
  <si>
    <t>http://www.killedbypolice.net/victims/150988.jpg</t>
  </si>
  <si>
    <t>http://www.killedbypolice.net/victims/150984.jpg</t>
  </si>
  <si>
    <t>http://www.killedbypolice.net/victims/150983.jpg</t>
  </si>
  <si>
    <t>http://www.killedbypolice.net/victims/150981.jpg</t>
  </si>
  <si>
    <t>http://www.killedbypolice.net/victims/150977.jpg</t>
  </si>
  <si>
    <t>http://www.killedbypolice.net/victims/150979.jpg</t>
  </si>
  <si>
    <t>http://www.killedbypolice.net/victims/150969.jpg</t>
  </si>
  <si>
    <t>http://www.killedbypolice.net/victims/150972.jpg</t>
  </si>
  <si>
    <t>http://www.killedbypolice.net/victims/150968.jpg</t>
  </si>
  <si>
    <t>http://www.killedbypolice.net/victims/150965.jpg</t>
  </si>
  <si>
    <t>http://www.killedbypolice.net/victims/150964.jpg</t>
  </si>
  <si>
    <t>http://www.killedbypolice.net/victims/150954.jpg</t>
  </si>
  <si>
    <t>http://www.killedbypolice.net/victims/150948.jpg</t>
  </si>
  <si>
    <t>http://www.killedbypolice.net/victims/150945.jpg</t>
  </si>
  <si>
    <t>http://www.killedbypolice.net/victims/150946.jpg</t>
  </si>
  <si>
    <t>Knox County Sheriff’s Department</t>
  </si>
  <si>
    <t>Missouri State Highway Patrol, St. Louis County Police Department, Eureka Police Department, and the Franklin County Sheriff’s Department</t>
  </si>
  <si>
    <t>San Mateo Sheriff's Department</t>
  </si>
  <si>
    <t>St. Louis Park Police Department</t>
  </si>
  <si>
    <t>St. Cloud Police Department</t>
  </si>
  <si>
    <t>Comanche `</t>
  </si>
  <si>
    <t>36401</t>
  </si>
  <si>
    <t>Conecuh</t>
  </si>
  <si>
    <t>43232</t>
  </si>
  <si>
    <t>39701</t>
  </si>
  <si>
    <t>23225</t>
  </si>
  <si>
    <t>Richmond City</t>
  </si>
  <si>
    <t>17404</t>
  </si>
  <si>
    <t>95608</t>
  </si>
  <si>
    <t>Collier</t>
  </si>
  <si>
    <t>Johnson allegedly killed a former co-worker in Georgia and then drove 500 miles before police shot him in West Virginia, according to authorities. Police said Johnson got out of his car with a gun pointed at officers when they opened fire.</t>
  </si>
  <si>
    <t>Officers were executing a search warrant when Powers began shooting, police said. Deputies returned fire, killing Powers and injuring another person, according to authorities. A deputy was also injured in the exchange of gunfire.</t>
  </si>
  <si>
    <t>Officers responded to a report of a man waving a gun, police said. Police shot Day after a "brief encounter" with him, according to authorities. No additional details have been released.</t>
  </si>
  <si>
    <t>Portis barricaded himself in a house after assaulting someone in a nearby city, police said. He eventually exited the home firing at officers who returned fire and killed him, according to authorities.</t>
  </si>
  <si>
    <t>Police killed Alexander after he robbed a convenience store at gunpoint, according to authorities. The store was being watched because he had robbed it on the two previous nights. Alexander allegedly refused to drop his gun when police confronted him outside the store.</t>
  </si>
  <si>
    <t>Ball was reportedly shot several times by police after getting out of a car and fleeing an attempted traffic stop. He was said to have been a passenger in a car being driven by a woman.</t>
  </si>
  <si>
    <t>An off-duty police officer shot Brown dead after he got into the officer's car at a gas station and began driving it while the officer was waiting for it to be washed. A witness told reporters that the officer identified himself as a police officer and ordered Brown to get out of the car. The officer then opened fire when Brown made a sudden movement, according to the witness.</t>
  </si>
  <si>
    <t>Police said Williams was shot after officers arrived at a home in response to a report of a man with a knife behaving threateningly. Officers tried to subdue him with a Taser before shots were fired, according to authorities.</t>
  </si>
  <si>
    <t>Jones was shot and killed by an on-duty, plainclothes officer in an unmarked car, according to authorities. Jones had stopped on the side of the road because of car troubles, according to his family. Police said the officer approached what he thought was an abandoned car and that Jones was carrying a gun.</t>
  </si>
  <si>
    <t>Jones was causing a disturbance downtown and took off running when police approached him, according to authorities. Police shot him when he aimed a gun at them and fired a second time when he continued to point his weapon at officers, officials said. Police later said that Jones's gun was a replica.</t>
  </si>
  <si>
    <t>Deputies attempted to stop Ludd while he was driving because his car's registration was expired, according to authorities. Ludd stopped to allow a passenger to exit the car and then sped away, police said. He eventually stopped and exited his car before pointing his gun at officers, officials said.</t>
  </si>
  <si>
    <t>Police shot Green after he approached an officer with a knife and ignored commands to drop it, police said. Officers came to the area in response to reports about an armed person, according to authorities.</t>
  </si>
  <si>
    <t>Thomas allegedly shot at officers who were responding to a report of a domestic disturbance, and officers returned fire. Two other people were found in the home and were taken to hospital for treatment, according to police.</t>
  </si>
  <si>
    <t>Cuyler allegedly shot at officers after they stopped him while he was driving. Officers returned fire, killing Cuyler, police said. Two officers were hit by Cuyler's shots and have been released from the hospital after receiving treatment for their injuries, according to authorities.</t>
  </si>
  <si>
    <t>Police stopped a suspicious car with three people in it, including Bell, according to authorities. Officers shot Bell when he reached for a gun, police said.</t>
  </si>
  <si>
    <t>Officer Gary Paul Evelyn, 51, of Big Cypress struck Seide as he drove westbound in his marked Seminole police pick-up truck. Evelyn was driving along the inner westbound lane when he came upon Seide, who was also in the inside westbound lane, the Florida Highway Patrol report said. Seide was hit with the truck's left front, according to the Florida Highway Patrol.</t>
  </si>
  <si>
    <t>A man died while in the custody of Raleigh police Monday morning, the department said, and 911 calls released later in the day reveal a woman desperately calling for police to come to the scene.</t>
  </si>
  <si>
    <t>The Hutchinson News reports an inmate from the Hutchinson Correctional Facility died Friday at the hospital after allegedly getting into an altercation with another inmate and then becoming combative with officers.</t>
  </si>
  <si>
    <t>500 Reformatory St</t>
  </si>
  <si>
    <t>Kansas Department of Corrections</t>
  </si>
  <si>
    <t>3032 Slippery Elm Dr</t>
  </si>
  <si>
    <t>Bennie Lee Tignor</t>
  </si>
  <si>
    <t>http://bloximages.newyork1.vip.townnews.com/oanow.com/content/tncms/assets/v3/editorial/4/24/42460824-81ce-11e5-8788-17b5c2efa76d/563814cfd1a5a.image.jpg?resize=300%2C169</t>
  </si>
  <si>
    <t>400 block Comanchee Dr</t>
  </si>
  <si>
    <t>Opelika</t>
  </si>
  <si>
    <t>36804</t>
  </si>
  <si>
    <t>Opelika Police Department</t>
  </si>
  <si>
    <t>An officer pursued Tignor after he refused to stop his car, according to authorities. The officer shot Tignor while trying to take him into custody, police said. No additional details have been released.</t>
  </si>
  <si>
    <t>http://www.ledger-enquirer.com/news/article42133281.html</t>
  </si>
  <si>
    <t>Alonzo Smith</t>
  </si>
  <si>
    <t>http://www.bet.com/news/national/2015/11/05/another-police-custody-death-alonzo-smith-dies-after-being-handcuffed-in-d-c/_jcr_content/featuredMedia/newsitemimage.newsimage.dimg/110515-national-Alonzo-Smith.jpg</t>
  </si>
  <si>
    <t>2300 Good Hope Rd SE</t>
  </si>
  <si>
    <t>Special police, Washington DC</t>
  </si>
  <si>
    <t>Smith died shortly after he was found unconscious and handcuffed while in the custody of special police officers, according to authorities. Special police officers are armed security guards licensed by the city. DC police are investigating the incident.</t>
  </si>
  <si>
    <t>https://www.washingtonpost.com/local/public-safety/dc-police-investigate-death-of-man-found-unconscious-and-in-handcuffs/2015/11/04/205105a8-8317-11e5-9afb-0c971f713d0c_story.html</t>
  </si>
  <si>
    <t>James Covington Jr.</t>
  </si>
  <si>
    <t>2800 Gainesville St SE</t>
  </si>
  <si>
    <t>Prince George's County Police Department, Forest Heights Police Department</t>
  </si>
  <si>
    <t>Covington, an alleged carjacker, died after exchanging gunfire with police, according to authorities. Officers followed Covington after he assaulted a driver and stole his vehicle, police said.</t>
  </si>
  <si>
    <t>http://www.wusa9.com/story/news/local/dc/2015/11/02/police-involved-shooting-reported-southeast-dc/75070140/</t>
  </si>
  <si>
    <t>John Edward Allen</t>
  </si>
  <si>
    <t>http://www.boydmortuary.com/fh_live/14900/14906/images/obituaries/3375053_wlpp.jpg</t>
  </si>
  <si>
    <t>Drew St and Nettleton St</t>
  </si>
  <si>
    <t>77004</t>
  </si>
  <si>
    <t>Car was stopped for running a red light and a broken taillight. Officers approached, and instructions to roll down the windows were met with Allen pulling a pistol from his pocket. The officers responded with gunfire. Eyewitness accounts dispute this, and the 4-year veteran is under investigation by internal affairs.</t>
  </si>
  <si>
    <t>http://abc13.com/news/officer-shoots-kills-man-accused-of-pulling-gun-on-police/1067399/</t>
  </si>
  <si>
    <t>Delvin Tyrell Simmons</t>
  </si>
  <si>
    <t>http://whns.images.worldnow.com/images/9218557_G.jpg</t>
  </si>
  <si>
    <t>1000 Powell Mill Road</t>
  </si>
  <si>
    <t>29301</t>
  </si>
  <si>
    <t>Spartanburg Methodist College Campus Safety Department</t>
  </si>
  <si>
    <t>Campus police at Spartanburg Methodist College shot Simmons after he struck an officer with his vehicle, according to authorities. Police were investigating a report of a car break-in and were pursuing Simmons when he got in his car, police said. Officers said they took another man into custody.</t>
  </si>
  <si>
    <t>http://www.foxcarolina.com/story/30476491/spartanburg-methodist-college-burglary-suspect-talks-to-fox-carolina</t>
  </si>
  <si>
    <t>Ryan Quinn Martin</t>
  </si>
  <si>
    <t>https://blackopswiki.s3.amazonaws.com/uploads/article/avatar/498/large_avatar_ryan_quinn_martin.jpg</t>
  </si>
  <si>
    <t>3700 block Oakmont Ave</t>
  </si>
  <si>
    <t>Two officers working on an unrelated investigation confronted Martin when they saw he was carrying a gun, according to authorities. Martin shot one of the officers in the leg and was fatally struck when both returned fire.</t>
  </si>
  <si>
    <t>http://www.baltimoresun.com/news/maryland/baltimore-city/bs-md-ci-officer-involved-shoot-1112-20151111-story.html</t>
  </si>
  <si>
    <t>Jamar Clark</t>
  </si>
  <si>
    <t>http://a.abcnews.go.com/images/US/ap_jamar_clark_police_shooting_float_jc_151119_4x3_992.jpg</t>
  </si>
  <si>
    <t>1600 block Plymouth Ave N</t>
  </si>
  <si>
    <t>55411</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</si>
  <si>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</si>
  <si>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</si>
  <si>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Demetrius Shelley Bryant</t>
  </si>
  <si>
    <t>http://wach.com/resources/media/283f8404-c162-47c2-aafc-8a93d8b6df7b-large16x9_DemtriusBryant.jpg?1447798547635</t>
  </si>
  <si>
    <t>1900 Lorick St</t>
  </si>
  <si>
    <t>Cayce</t>
  </si>
  <si>
    <t>29033</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</si>
  <si>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</si>
  <si>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</si>
  <si>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http://www.wltx.com/story/news/2015/11/17/overnight-officer-involved-shooting-cayce/75914374/</t>
  </si>
  <si>
    <t>Jeray Chatham</t>
  </si>
  <si>
    <t>https://www.poncacitynow.com/8/images/media/JerayChatham.png</t>
  </si>
  <si>
    <t>Veterans Memorial Dr &amp; Blue Bell Rd</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</si>
  <si>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</si>
  <si>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</si>
  <si>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Yohans Leon</t>
  </si>
  <si>
    <t>http://www.local10.com/image/view/-/36526126/medRes/3/-/maxh/360/maxw/640/-/10fwv3w/-/Yohans-Leon-stock-mug-jpg.jpg</t>
  </si>
  <si>
    <t>W 127th Ave and SW 206th St</t>
  </si>
  <si>
    <t>Police were pursuing Leon after he robbed a fast-food restaurant at gunpoint, according to authorities. Leon was shot after he pulled out a gun, police said.</t>
  </si>
  <si>
    <t>http://www.miamiherald.com/news/local/community/miami-dade/article45170145.html</t>
  </si>
  <si>
    <t>Cornelius Brown</t>
  </si>
  <si>
    <t>http://www.fatalencounters.org/wp-content/uploads/2013/10/Cornelius-Brown-e1448418750146.jpg</t>
  </si>
  <si>
    <t>NW 135th St and Sesame St</t>
  </si>
  <si>
    <t>Opa-locka</t>
  </si>
  <si>
    <t>33054</t>
  </si>
  <si>
    <t>Police said they shot and killed the man after he hit the windshield of a patrol car and ignored commands from police.</t>
  </si>
  <si>
    <t>http://www.wsvn.com/story/30546376/police-involved-shooting-in-opa-locka-1-dead</t>
  </si>
  <si>
    <t>Marcus Deon Meridy</t>
  </si>
  <si>
    <t>http://www.homefacts.com/images/offenders/michigan/thumb/2013445.jpg</t>
  </si>
  <si>
    <t>1950 E Napier Ave</t>
  </si>
  <si>
    <t>49022</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</si>
  <si>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</si>
  <si>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</si>
  <si>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Randy Allen Smith</t>
  </si>
  <si>
    <t>http://www.bradenton.com/news/local/crime/hgcvb4/picture45462828/ALTERNATES/FREE_320/Randy%20Allen%20Smith.jpg</t>
  </si>
  <si>
    <t>1010 53rd Ave 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</si>
  <si>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</si>
  <si>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</si>
  <si>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</si>
  <si>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</si>
  <si>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</si>
  <si>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34947</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</si>
  <si>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</si>
  <si>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</si>
  <si>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</si>
  <si>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Nathaniel Pickett</t>
  </si>
  <si>
    <t>112 E Main St</t>
  </si>
  <si>
    <t>92311</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</si>
  <si>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</si>
  <si>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</si>
  <si>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Darick Napper</t>
  </si>
  <si>
    <t>5300 Dix St NE</t>
  </si>
  <si>
    <t>According to police, Darick Napper, 34, was shot after he charged at a sixth-district officer with a large hunting knife. The officer fired once at Napper and hit him.</t>
  </si>
  <si>
    <t>http://www.wusa9.com/story/news/local/dc/2015/11/19/police-shooting-reported-northeast-dc/76057818/</t>
  </si>
  <si>
    <t>Stephen L. Tooson</t>
  </si>
  <si>
    <t>11th Court North and Center Street</t>
  </si>
  <si>
    <t>The accident occurred on 11th Court North and Center Street at about 12:05 a.m. Thursday. An officer collided with a citizen’s SUV while responding to a call. “He was in route to a call. It was a domestic call and as he was traveling to that call, as he entered into the intersection, he collided with the individual in the intersection,” said Birmingham Police Lt Sean Edwards.</t>
  </si>
  <si>
    <t>http://wiat.com/2015/11/12/birmingham-pd-officer-injured-after-crash-victim-identified/</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</si>
  <si>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</si>
  <si>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</si>
  <si>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</si>
  <si>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</si>
  <si>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</si>
  <si>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Chandra Weaver</t>
  </si>
  <si>
    <t>http://www.killedbypolice.net/victims/151043.jpg</t>
  </si>
  <si>
    <t>83rd Street and Paseo</t>
  </si>
  <si>
    <t>Police said two officers were driving south on Paseo in a marked patrol car when a woman driving a Pontiac Grand Am east on 83rd Street pulled in front of them. The officers attempted to avoid the vehicle, however they struck the Grand Am on the driver's side. The woman driving the Grand Am was killed. Investigators said she was not wearing a seat belt.</t>
  </si>
  <si>
    <t>http://www.kmbc.com/news/woman-killed-in-collision-involving-police-car/36492688</t>
  </si>
  <si>
    <t>Michael Lee Marshall</t>
  </si>
  <si>
    <t>http://www.killedbypolice.net/victims/151060.jpg</t>
  </si>
  <si>
    <t>10500 E Smith Rd</t>
  </si>
  <si>
    <t>Denver County Sheriff's Office</t>
  </si>
  <si>
    <t>A mentally ill inmate who apparently posed no physical threat when three sheriff’s deputies restrained him into unconsciousness at the Denver jail has died after nine days on life support.</t>
  </si>
  <si>
    <t>http://www.coloradoindependent.com/156299/denver-inmate-dies-after-sheriffs-deputies-restrained-him</t>
  </si>
  <si>
    <t>DeOntre L. Dorsey</t>
  </si>
  <si>
    <t xml:space="preserve">St. Charles Parkway </t>
  </si>
  <si>
    <t>White Plains</t>
  </si>
  <si>
    <t>Charles County Sheriff’s Office</t>
  </si>
  <si>
    <t>https://www.washingtonpost.com/local/family-asks-for-federal-review-of-sons-death-after-tasering/2015/12/01/0ce7834e-9856-11e5-b499-76cbec161973_story.html</t>
  </si>
  <si>
    <t>Dorsey lost control of the car. It came to rest against a tree in a median. Witnesses who called 911 said Dorsey was “flopping like a fish.”
The Charles County Mobile Intensive Care Unit responded to the scene “for the motor vehicle accident with a person having seizures,” according to sheriff’s records.
“He had just gotten off the phone with his girlfriend,” said attorney Timothy F. Maloney, who is representing the family in the Justice Department matter. Maloney said it was Dorsey’s second seizure in two months. He had not been prescribed anti-seizure medication, Maloney said.
In a police report prepared days after the accident and Tasering, Dorsey’s girlfriend told investigators he had texted her and said, “I’m ready to pass out behind the wheel.</t>
  </si>
  <si>
    <t>Tuan Hoang</t>
  </si>
  <si>
    <t>E Alameda Pkwy and E Kentucky Ave</t>
  </si>
  <si>
    <t>http://www.denverpost.com/news/ci_29182697/aurora-accident-triggers-officer-involved-shooting-closes-roads</t>
  </si>
  <si>
    <t>Darius Smith</t>
  </si>
  <si>
    <t>300 Spring St NW</t>
  </si>
  <si>
    <t>http://www.ajc.com/news/news/crime-law/officer-involved-shooting-reported-near-downtown-a/npY4J/</t>
  </si>
  <si>
    <t>Ralph Aguilar</t>
  </si>
  <si>
    <t>NW Grand Ave and N 111th Ave</t>
  </si>
  <si>
    <t>http://www.kpho.com/story/30624737/mcso-deputy-shoots-kills-suicidal-man-who-pulled-out-gun</t>
  </si>
  <si>
    <t>Hugo Fernando Celio</t>
  </si>
  <si>
    <t>1702 18th St</t>
  </si>
  <si>
    <t>http://www.turnto23.com/news/breaking-news/officer-involved-shooting-near-downtown-restaurant-11292015</t>
  </si>
  <si>
    <t>Lionel Kerns</t>
  </si>
  <si>
    <t>US-36 and SW Thornton Road</t>
  </si>
  <si>
    <t>Stewartsville</t>
  </si>
  <si>
    <t>Dekalb County Sheriff's Department, Missouri State Highway Patrol</t>
  </si>
  <si>
    <t>http://www.kshb.com/news/crime/man-dead-in-officer-involved-shooting-in-dekalb-county-missouri</t>
  </si>
  <si>
    <t>Zachary Grigsby</t>
  </si>
  <si>
    <t>2931 N 73rd St</t>
  </si>
  <si>
    <t>http://journalstar.com/news/local/911/one-dead-five-in-custody-after-officer-involved-shooting/article_e4cfd9fb-e157-53ad-a637-cfa8b1b1468f.html</t>
  </si>
  <si>
    <t>Justin D. McHenry</t>
  </si>
  <si>
    <t>Main St and Livingston St</t>
  </si>
  <si>
    <t>Celina</t>
  </si>
  <si>
    <t>Ohio State Highway Patrol</t>
  </si>
  <si>
    <t>http://www.whio.com/news/news/crime-law/person-shot-during-altercation-with-trooper-in-cel/npYFP/</t>
  </si>
  <si>
    <t>600 Fran St</t>
  </si>
  <si>
    <t>Seagoville</t>
  </si>
  <si>
    <t>Seagoville Police Department</t>
  </si>
  <si>
    <t>http://www.wfaa.com/story/news/local/dallas-county/2015/11/28/police-kill-suspect-seagoville/76491256/</t>
  </si>
  <si>
    <t>Rick Gullickson</t>
  </si>
  <si>
    <t>366 Persimmon Hill Ln</t>
  </si>
  <si>
    <t>Lampe</t>
  </si>
  <si>
    <t>http://www.ky3.com/news/local/man-shot-dead-in-confrontation-with-stone-county-deputies/21048998_36683524</t>
  </si>
  <si>
    <t>Somer Brook Speer</t>
  </si>
  <si>
    <t>305 N 2nd Ave</t>
  </si>
  <si>
    <t>Ozark Police Department, Christian County Sheriff's Department, Nixa Police Department, Greene County Sheriff's Department</t>
  </si>
  <si>
    <t>http://www.ky3.com/news/local/law-enforcement-work-standoff-near-ozarks-square/21048998_36658518</t>
  </si>
  <si>
    <t>Magnum Edgar Phillips</t>
  </si>
  <si>
    <t>2260 N Golden Ave</t>
  </si>
  <si>
    <t>http://www.news-leader.com/story/news/crime/2015/11/26/man-killed-officer-involved-shooting/76409078/</t>
  </si>
  <si>
    <t>Douglas R. Slade</t>
  </si>
  <si>
    <t>66 W 3rd Ave</t>
  </si>
  <si>
    <t>Eagar Police Department</t>
  </si>
  <si>
    <t>http://www.wmicentral.com/officer-involved-shooting-in-eagar/article_3c603f82-9534-11e5-99b8-63c3ec52f2de.html</t>
  </si>
  <si>
    <t>Freddy Baez</t>
  </si>
  <si>
    <t>3200 Rutledge Walk</t>
  </si>
  <si>
    <t>http://philadelphia.cbslocal.com/2015/11/24/camden-county-prosecutor-investigating-fatal-shooting-involving-two-police-officers/</t>
  </si>
  <si>
    <t>Thomas Joseph McEniry</t>
  </si>
  <si>
    <t>Cambridge St and E Katie Ave</t>
  </si>
  <si>
    <t>http://lasvegas.cbslocal.com/2015/11/24/officer-involved-shooting-in-las-vegas/</t>
  </si>
  <si>
    <t>Michael Gerald Ray Kirvelay</t>
  </si>
  <si>
    <t>700 40th Ave NE</t>
  </si>
  <si>
    <t>Columbia Heights</t>
  </si>
  <si>
    <t>Columbia Heights Police Department, Fridley Police Department</t>
  </si>
  <si>
    <t>http://minnesota.cbslocal.com/2015/11/24/reports-of-shots-fired-in-columbia-heights-police-say/</t>
  </si>
  <si>
    <t>Henry Reyna</t>
  </si>
  <si>
    <t>5000 Concord St</t>
  </si>
  <si>
    <t>http://www.kristv.com/story/30582358/concord-st-closed-off</t>
  </si>
  <si>
    <t>Barry Kirk</t>
  </si>
  <si>
    <t>90 S Terrace Ave</t>
  </si>
  <si>
    <t>http://nbc4i.com/2015/11/23/3-people-reported-dead-after-reported-shooting-on-citys-west-side/</t>
  </si>
  <si>
    <t>Miguel Angel Martinez</t>
  </si>
  <si>
    <t>305 S Alcott St</t>
  </si>
  <si>
    <t>http://www.denverpost.com/news/ci_29154811/denver-police-fatally-shoot-gunman-during-standoff</t>
  </si>
  <si>
    <t>Mathew Grows</t>
  </si>
  <si>
    <t>220 E Grove St</t>
  </si>
  <si>
    <t>http://www.kolotv.com/home/headlines/Reno-Police-One-Person-Shot-on-Grove-St-352960401.html</t>
  </si>
  <si>
    <t>James Daniel Hall</t>
  </si>
  <si>
    <t>10510 Sierra Ave</t>
  </si>
  <si>
    <t>http://www.pe.com/articles/report-787263-suspect-officers.html</t>
  </si>
  <si>
    <t>Christopher Lynn Nichols</t>
  </si>
  <si>
    <t>US-75 and Oklahoma Highway 91</t>
  </si>
  <si>
    <t>Colbert Police Department</t>
  </si>
  <si>
    <t>http://www.kxii.com/home/headlines/New-details-released-in-officer-involved-shooting-in-Colbert-352955771.html</t>
  </si>
  <si>
    <t>Tangelo Ave &amp; San Jacinto Ct</t>
  </si>
  <si>
    <t>http://ktla.com/2015/11/20/fontana-officer-fatally-shoots-allegedly-armed-man/</t>
  </si>
  <si>
    <t>Chase Alan Sherman</t>
  </si>
  <si>
    <t>Interstate 85</t>
  </si>
  <si>
    <t>Palmetto</t>
  </si>
  <si>
    <t>Coweta County Sheriffâ€™s Department</t>
  </si>
  <si>
    <t>http://www.ajc.com/news/news/local/coweta-man-dies-after-being-tasered-by-deputies/npSZB/</t>
  </si>
  <si>
    <t>William Tarrant</t>
  </si>
  <si>
    <t>200 Mt Vernon Church Rd</t>
  </si>
  <si>
    <t>Paulding County Sheriff's Office</t>
  </si>
  <si>
    <t>http://www.wsbtv.com/news/news/local/gbi-investigates-deadly-officer-involved-shooting-/npR4n/</t>
  </si>
  <si>
    <t>Highway 99</t>
  </si>
  <si>
    <t>Lane County Sheriff's Office</t>
  </si>
  <si>
    <t>http://eugenedailynews.com/2015/11/lane-county-sheriffs-deputy-hits-kills-bicyclist/</t>
  </si>
  <si>
    <t>Michael Tindall</t>
  </si>
  <si>
    <t>Bethel Rd and Thompson Rd</t>
  </si>
  <si>
    <t>http://www.wfaa.com/story/news/crime/2015/11/17/weatherford-officer-fatally-shoots-man-in-patrol-vehicle/75931948/</t>
  </si>
  <si>
    <t>Francis Hartnett</t>
  </si>
  <si>
    <t>510 Wild Oaks Ct</t>
  </si>
  <si>
    <t>Little Egg Harbor Township</t>
  </si>
  <si>
    <t>Little Egg Harbor Police Department</t>
  </si>
  <si>
    <t>http://www.pressofatlanticcity.com/news/police-shoot-kill-man-in-little-egg-harbor-township/article_a155067e-8d51-11e5-820c-8f51f462e0d1.html</t>
  </si>
  <si>
    <t>Derry Eugene Touchstone</t>
  </si>
  <si>
    <t>17017 Highland Ave S</t>
  </si>
  <si>
    <t>Early County Sheriff's Office</t>
  </si>
  <si>
    <t>http://www.walb.com/story/30540752/gbi-one-dead-in-officer-involved-shooting</t>
  </si>
  <si>
    <t>Brett Kelby Noblitt</t>
  </si>
  <si>
    <t>Maddox Mill Rd SE and Chatsworth Hwy</t>
  </si>
  <si>
    <t>Dalton</t>
  </si>
  <si>
    <t>Whitfield County Sheriff's Office</t>
  </si>
  <si>
    <t>http://www.wdef.com/news/story/Whitfield-Deputy-Fatally-Shoots-Suspect-After-Car/2cVdW_rl30uLVjQAHyWeKw.cspx</t>
  </si>
  <si>
    <t>400 W School House Ln</t>
  </si>
  <si>
    <t>Philadelphia Housing Authority Police Department</t>
  </si>
  <si>
    <t>http://6abc.com/news/police-off-duty-pha-officer-shot-killed-robbery-suspect-/1085987/</t>
  </si>
  <si>
    <t>John Livingston</t>
  </si>
  <si>
    <t>425 Stage Rd</t>
  </si>
  <si>
    <t>Spring Lake</t>
  </si>
  <si>
    <t>Harnett County Sheriff's Office</t>
  </si>
  <si>
    <t>http://www.wral.com/one-dead-in-officer-involved-shooting-in-harnett-county/15110806/</t>
  </si>
  <si>
    <t>Ramon Salazar</t>
  </si>
  <si>
    <t>2985 Rubidoux Blvd</t>
  </si>
  <si>
    <t>http://www.pe.com/articles/riverside-786361-area-deputies.html</t>
  </si>
  <si>
    <t>Ernesto Gamino</t>
  </si>
  <si>
    <t>Rouselle Dr and Wysocki Ln</t>
  </si>
  <si>
    <t>http://www.pe.com/articles/responding-786289-involved-sheriff.html</t>
  </si>
  <si>
    <t>Michael Joseph Bartkiewicz</t>
  </si>
  <si>
    <t>26 Petty Ln</t>
  </si>
  <si>
    <t>Gibson County Sheriff's Office</t>
  </si>
  <si>
    <t>http://www.jacksonsun.com/story/news/crime/2015/11/14/tbi-investigating-officer-involved-shooting-trenton/75775108/</t>
  </si>
  <si>
    <t>Matthew Eric Coleman</t>
  </si>
  <si>
    <t>1200 US-80</t>
  </si>
  <si>
    <t>http://www.wjcl.com/news/local-news/effingham-co-sheriff-deputy-shot-suspect-killed-after-deputy-involved-shooting/94554359/story</t>
  </si>
  <si>
    <t>Moises Nerio</t>
  </si>
  <si>
    <t>1200 Ayala Dr</t>
  </si>
  <si>
    <t>Sunnyvale Bureau of Police Services</t>
  </si>
  <si>
    <t>http://www.mercurynews.com/bay-area-news/ci_29109035/sunnyvale-police-shoot-armed-male-at-apartment-complex</t>
  </si>
  <si>
    <t>Javier Lopez Garcia</t>
  </si>
  <si>
    <t>3555 Cesar Chavez St</t>
  </si>
  <si>
    <t>http://sanfrancisco.cbslocal.com/2015/11/11/reports-of-gunman-on-construction-site-near-san-francisco-hospital/</t>
  </si>
  <si>
    <t>Joseph Jaramillo</t>
  </si>
  <si>
    <t>San Ygnacio Rd SW and Tapia Blvd SW</t>
  </si>
  <si>
    <t>http://www.abqjournal.com/673935/abqnewsseeker/bcso-investigates-south-valley-shooting.html</t>
  </si>
  <si>
    <t>Brian H. Gavin Sr.</t>
  </si>
  <si>
    <t>1304 Pine Dr NW</t>
  </si>
  <si>
    <t>http://www.live5news.com/story/30496764/sled-investigating-deputy-involved-shooting-in-aiken</t>
  </si>
  <si>
    <t>Eddie Gabriel Sanchez Jr.</t>
  </si>
  <si>
    <t>800 Pomona Ave</t>
  </si>
  <si>
    <t>http://www.krcrtv.com/news/local/shooting-in-chico-leaves-one-dead/36369296</t>
  </si>
  <si>
    <t>Jason Leanard Mesaros</t>
  </si>
  <si>
    <t>US-85 and W Bromley Ln</t>
  </si>
  <si>
    <t>http://www.dailycamera.com/news/boulder/ci_29097757/suspects-reported-armed-robbery-high-speed-chase-boulder</t>
  </si>
  <si>
    <t>Andrew Blake</t>
  </si>
  <si>
    <t>Frontage Rd and I-15</t>
  </si>
  <si>
    <t>Dillon</t>
  </si>
  <si>
    <t>Beaverhead County Sheriff's Office</t>
  </si>
  <si>
    <t>http://www.nbcmontana.com/news/beaverhead-co-sheriffs-office-says-dillon-man-dies-after-officerinvolved-shooting/36485584</t>
  </si>
  <si>
    <t>Leonel Acevedo</t>
  </si>
  <si>
    <t>4400 Camden Ave</t>
  </si>
  <si>
    <t>http://www.mercurynews.com/crime-courts/ci_29098278/san-jose-authorities-identify-gunman-victim-deadly-cambrian</t>
  </si>
  <si>
    <t>Cesar Cuellar Jr.</t>
  </si>
  <si>
    <t>Kirby Dr and Eskimo Dr</t>
  </si>
  <si>
    <t>http://www.lmtonline.com/front-news/article_2cdd3578-870c-11e5-96b2-1fbfed068503.html</t>
  </si>
  <si>
    <t>Miguel Cano</t>
  </si>
  <si>
    <t>Andasol Ave and Elkwood St</t>
  </si>
  <si>
    <t>http://ktla.com/2015/11/09/authorities-responding-to-possible-police-shooting-in-lake-balboa/</t>
  </si>
  <si>
    <t>State Road 417 and Lake Mary Boulevard</t>
  </si>
  <si>
    <t>Oveido</t>
  </si>
  <si>
    <t>http://www.wftv.com/news/news/local/crash-heavy-law-enforcement-presence-causes-delays/npJ6S/</t>
  </si>
  <si>
    <t>Dale Maverick Hudson</t>
  </si>
  <si>
    <t>Three Lick Rd</t>
  </si>
  <si>
    <t>West Virginia State Police, US Marshals</t>
  </si>
  <si>
    <t>http://wvmetronews.com/2015/11/09/one-dead-one-injured-in-police-search-for-fugitives/</t>
  </si>
  <si>
    <t>Raymond Davis</t>
  </si>
  <si>
    <t>500 Tradewinds Dr</t>
  </si>
  <si>
    <t>http://www.wftv.com/news/news/local/deputies-deland-police-officer-shoots-kills-uncle-/npHzw/</t>
  </si>
  <si>
    <t>Michael Gregory Johnson</t>
  </si>
  <si>
    <t>1015 NW 22nd Ave</t>
  </si>
  <si>
    <t>http://www.oregonlive.com/portland/index.ssf/2015/11/police_activity_closes_streets.html</t>
  </si>
  <si>
    <t>Kim Lee Long</t>
  </si>
  <si>
    <t>Stanback Ferry Ice Plant Rd</t>
  </si>
  <si>
    <t>Wadesboro</t>
  </si>
  <si>
    <t>Anson County Sheriff's Office</t>
  </si>
  <si>
    <t>http://yourdailyjournal.com/news/18292/sbi-anson-deputy-shot-killed-domestic-violence-suspect</t>
  </si>
  <si>
    <t>James Francis Smyth</t>
  </si>
  <si>
    <t>S Maryland Pkwy and E Wigwam Ave</t>
  </si>
  <si>
    <t>Clark County School District Police Department</t>
  </si>
  <si>
    <t>http://www.reviewjournal.com/news/las-vegas/school-police-shoot-kill-threatening-driver-south-valley-park</t>
  </si>
  <si>
    <t>James Wayne Bigley</t>
  </si>
  <si>
    <t>Oklahoma Hwy 20</t>
  </si>
  <si>
    <t>Hominy</t>
  </si>
  <si>
    <t>Skiatook Police Department</t>
  </si>
  <si>
    <t>http://www.newson6.com/story/30447866/osbi-investigating-officer-involved-shooting-in-osage-county</t>
  </si>
  <si>
    <t>Laura Lemieux</t>
  </si>
  <si>
    <t>Whisper Way</t>
  </si>
  <si>
    <t>Berkeley County Sheriff's Office</t>
  </si>
  <si>
    <t>http://www.postandcourier.com/article/20151105/PC16/151109561</t>
  </si>
  <si>
    <t>David Michael Romanoski</t>
  </si>
  <si>
    <t>1043 Charles Ave</t>
  </si>
  <si>
    <t>Monongalia County Sheriffâ€™s Office</t>
  </si>
  <si>
    <t>http://www.wdtv.com/wdtv.cfm?func=view§ion=5-News&amp;item=BREAKING-NEWS-One-Person-Killed-in-Police-Involved-Shooting-26608</t>
  </si>
  <si>
    <t>Jacob Hohman</t>
  </si>
  <si>
    <t>10100 Puttington Dr</t>
  </si>
  <si>
    <t>Lakeshire</t>
  </si>
  <si>
    <t>Lakeshire Police Department, St Louis County Police Department</t>
  </si>
  <si>
    <t>http://www.kmov.com/story/30452751/police-open-fire-on-suspect-charging-at-them-with-weapon</t>
  </si>
  <si>
    <t>Faisal Mohammad</t>
  </si>
  <si>
    <t>5200 Lake Rd</t>
  </si>
  <si>
    <t>University of California Police Department</t>
  </si>
  <si>
    <t>http://www.mercedsunstar.com/news/local/education/uc-merced/article42944028.html</t>
  </si>
  <si>
    <t>Timothy Gene Smith</t>
  </si>
  <si>
    <t>Grand Ave and Jewell St</t>
  </si>
  <si>
    <t>http://www.sandiegouniontribune.com/news/2015/nov/04/officer-involved-shooting-pacific-beach/</t>
  </si>
  <si>
    <t>Joseph M. Tyndall</t>
  </si>
  <si>
    <t>2000 E Kearney St</t>
  </si>
  <si>
    <t>http://www.ozarksfirst.com/news/one-man-dead-in-officer-involved-shooting</t>
  </si>
  <si>
    <t>Jeremy David Mardis</t>
  </si>
  <si>
    <t>Martin Luther King Dr</t>
  </si>
  <si>
    <t>Marksville</t>
  </si>
  <si>
    <t>http://www.katc.com/story/30434244/6-year-old-dead-another-in-critical-after-officer-involved-shooting-in-marksville</t>
  </si>
  <si>
    <t>Matthew Stephen Colligan</t>
  </si>
  <si>
    <t>200 Lakeshore Dr</t>
  </si>
  <si>
    <t>Klamath County Sheriff's Office</t>
  </si>
  <si>
    <t>http://www.oregonlive.com/pacific-northwest-news/index.ssf/2015/11/klamath_county_officials_ident.html</t>
  </si>
  <si>
    <t>Killian O’Quinn</t>
  </si>
  <si>
    <t>4th Street and Q Street</t>
  </si>
  <si>
    <t>http://www.times-standard.com/20151101/chp-officer-shot-alleged-shooter-dead-after-eureka-traffic-stop</t>
  </si>
  <si>
    <t>Jack Yantis</t>
  </si>
  <si>
    <t>US-95</t>
  </si>
  <si>
    <t>Council</t>
  </si>
  <si>
    <t>http://www.kivitv.com/news/idaho-state-police-investigating-officer-involved-shooting</t>
  </si>
  <si>
    <t>Luverne Roy Christensen</t>
  </si>
  <si>
    <t>500 Harmony Ln SW</t>
  </si>
  <si>
    <t>Hutchinson Police Department, McLeod County Sheriff's Office, Minnesota State Patrol</t>
  </si>
  <si>
    <t>http://www.kare11.com/story/news/2015/11/01/bca-investigating-hutchinson-officer-involved-shooting/75021264/</t>
  </si>
  <si>
    <t>http://www.killedbypolice.net/victims/151012.jpg</t>
  </si>
  <si>
    <t>http://www.killedbypolice.net/victims/151038.jpg</t>
  </si>
  <si>
    <t>http://www.killedbypolice.net/victims/150997.jpg</t>
  </si>
  <si>
    <t>http://www.killedbypolice.net/victims/151005.jpg</t>
  </si>
  <si>
    <t>http://www.killedbypolice.net/victims/151018.jpg</t>
  </si>
  <si>
    <t>http://www.killedbypolice.net/victims/151016.jpg</t>
  </si>
  <si>
    <t>http://www.killedbypolice.net/victims/151025.jpg</t>
  </si>
  <si>
    <t>http://www.killedbypolice.net/victims/151032.jpg</t>
  </si>
  <si>
    <t>http://www.killedbypolice.net/victims/151035.jpg</t>
  </si>
  <si>
    <t>http://www.killedbypolice.net/victims/151070.jpg</t>
  </si>
  <si>
    <t>http://www.killedbypolice.net/victims/151000.jpg</t>
  </si>
  <si>
    <t>http://www.killedbypolice.net/victims/151002.jpg</t>
  </si>
  <si>
    <t>http://www.killedbypolice.net/victims/151006.jpg</t>
  </si>
  <si>
    <t>http://www.killedbypolice.net/victims/151029.jpg</t>
  </si>
  <si>
    <t>http://www.killedbypolice.net/victims/151061.jpg</t>
  </si>
  <si>
    <t>http://www.killedbypolice.net/victims/151063.jpg</t>
  </si>
  <si>
    <t>http://www.killedbypolice.net/victims/151030.jpg</t>
  </si>
  <si>
    <t>http://www.killedbypolice.net/victims/151049.jpg</t>
  </si>
  <si>
    <t>http://www.killedbypolice.net/victims/151054.jpg</t>
  </si>
  <si>
    <t>http://www.killedbypolice.net/victims/151062.jpg</t>
  </si>
  <si>
    <t>http://www.killedbypolice.net/victims/151066.jpg</t>
  </si>
  <si>
    <t>http://www.killedbypolice.net/victims/151075.jpg</t>
  </si>
  <si>
    <t>http://www.killedbypolice.net/victims/150998.jpg</t>
  </si>
  <si>
    <t>http://www.killedbypolice.net/victims/150996.jpg</t>
  </si>
  <si>
    <t>http://www.killedbypolice.net/victims/151003.jpg</t>
  </si>
  <si>
    <t>http://www.killedbypolice.net/victims/151008.jpg</t>
  </si>
  <si>
    <t>http://www.killedbypolice.net/victims/151007.jpg</t>
  </si>
  <si>
    <t>http://www.killedbypolice.net/victims/151011.jpg</t>
  </si>
  <si>
    <t>http://www.killedbypolice.net/victims/151019.jpg</t>
  </si>
  <si>
    <t>http://www.killedbypolice.net/victims/151015.jpg</t>
  </si>
  <si>
    <t>http://www.killedbypolice.net/victims/151020.jpg</t>
  </si>
  <si>
    <t>http://www.killedbypolice.net/victims/151040.jpg</t>
  </si>
  <si>
    <t>http://www.killedbypolice.net/victims/151024.jpg</t>
  </si>
  <si>
    <t>http://www.killedbypolice.net/victims/151023.jpg</t>
  </si>
  <si>
    <t>http://www.killedbypolice.net/victims/151027.jpg</t>
  </si>
  <si>
    <t>http://www.killedbypolice.net/victims/151026.jpg</t>
  </si>
  <si>
    <t>http://www.killedbypolice.net/victims/151031.jpg</t>
  </si>
  <si>
    <t>http://www.killedbypolice.net/victims/151058.jpg</t>
  </si>
  <si>
    <t>http://www.killedbypolice.net/victims/151064.jpg</t>
  </si>
  <si>
    <t>http://www.killedbypolice.net/victims/151067.jpg</t>
  </si>
  <si>
    <t>http://www.killedbypolice.net/victims/151069.jpg</t>
  </si>
  <si>
    <t>http://www.killedbypolice.net/victims/151072.jpg</t>
  </si>
  <si>
    <t>http://www.killedbypolice.net/victims/151074.jpg</t>
  </si>
  <si>
    <t>http://www.killedbypolice.net/victims/151079.jpg</t>
  </si>
  <si>
    <t>http://www.killedbypolice.net/victims/151082.jpg</t>
  </si>
  <si>
    <t>http://www.killedbypolice.net/victims/151080.jpg</t>
  </si>
  <si>
    <t>http://www.killedbypolice.net/victims/151078.jpg</t>
  </si>
  <si>
    <t>http://www.killedbypolice.net/victims/151084.jpg</t>
  </si>
  <si>
    <t>Cleveland County Sheriff's Department</t>
  </si>
  <si>
    <t>Cleveland TN Police Department</t>
  </si>
  <si>
    <t>Columbus GA Police Department</t>
  </si>
  <si>
    <t>Jerome County Sheriff’s Office</t>
  </si>
  <si>
    <t>DC Metropolitan Police Department</t>
  </si>
  <si>
    <t>Mohave County Sheriff’s Office Arizona Department of Public Safety</t>
  </si>
  <si>
    <t>Montgomery County OH Sheriff’s Office</t>
  </si>
  <si>
    <t>Montgomery County KS Sheriff’s Department/ Kansas Highway Patrol</t>
  </si>
  <si>
    <t>Richmond CA Police Department</t>
  </si>
  <si>
    <t>U.S. Marshals Task Force, Tempe Police Department, Chandler Police Department, Mesa Police Department</t>
  </si>
  <si>
    <t>U.S. Capitol Police and uniformed Secret Service</t>
  </si>
  <si>
    <t>U.S. Customs, Border Protection and California Highway Patrol, El Centro Police Department</t>
  </si>
  <si>
    <t>U.S. Forest Service</t>
  </si>
  <si>
    <t>U.S. Immigration and Customs Enforcement</t>
  </si>
  <si>
    <t>http://www.citizen-times.com/story/news/crime/2015/07/14/sbi-investigating-custody-death-henderson-jail/30124137/</t>
  </si>
  <si>
    <t>Authorities say the incident began around 3 a.m. when Moreno Valley police responded to a call of a mentally ill person assaulting a family member. When officers arrived, the suspect attacked an officer and fled.Then around 6 a.m., police responded to a stabbing call in the area of Webster and Perris and found the victim. Within minutes, officers encountered Smith near Perris and Sunnymead boulevards. The suspect was holding a hand tool and refused to drop it. When he advanced toward police, he was shot and killed.</t>
  </si>
  <si>
    <t>http://www.nbclosangeles.com/news/local/Fatal-Deputy-Involved-Shooting-in-Moreno-Valley-315985111.html</t>
  </si>
  <si>
    <t>Godinez was a suspect in a burglary when officers apprehended him, police said. A medical examiner said Godinez died of cocaine and alcohol poisoning and that the physical stress of police restraint was a "significant contributing factor" to his death. Police have not released additional details about the circumstances surrounding Godinez's arrest.</t>
  </si>
  <si>
    <t>Lawrence Blackburn died after reportedly engaging in a shootout with law enforcement agents at an apartment complex in Baton Rouge. Officials said Blackburn was armed and that the US Marshal Task Force was involved in the shooting. About 25 law enforcement vehicles responded to the scene from multiple agencies. Investigators had been trying to catch up with Blackburn for days in connection with a shooting in Lafayette that left Dravin Stevenson, 18, dead and sent a 19-year-old man to the hospital. The victim who survived was listed in critical condition at the time Blackburn was killed. A woman in the area was also shot in the leg during the shootout.</t>
  </si>
  <si>
    <t>http://www.kansascity.com/news/local/crime/article27006070.html</t>
  </si>
  <si>
    <t>http://www.wlwt.com/image/view/-/35034924/highRes/2/-/maxh/630/maxw/1200/-/wo4taiz/-/James-Carney-III-jpg.jpg</t>
  </si>
  <si>
    <t>http://ak-cache.legacy.net/legacy/images/Cobrands/Ledger-Enquirer/Photos/LE0040243-1_20150901.jpg</t>
  </si>
  <si>
    <t>http://images1.westword.com/imager/u/745xauto/7095329/william.rippley.facebook.4.jpg</t>
  </si>
  <si>
    <t>http://1.bp.blogspot.com/-xOS3t4XLRDc/VegsAfvOjmI/AAAAAAABEY4/q1TEtNlCyyQ/s1600/jamesbrownIII.jpg</t>
  </si>
  <si>
    <t>http://media.ksat.com/photo/2015/09/02/Roger-Albrecht-shot-by-SAPD_1441236920219_158947_ver1.0_1280_720.jpg</t>
  </si>
  <si>
    <t>http://kltv.images.worldnow.com/images/8689606_G.jpg</t>
  </si>
  <si>
    <t>http://ww3.hdnux.com/photos/40/54/31/8570490/3/920x920.jpg</t>
  </si>
  <si>
    <t>http://img.deseretnews.com/images/article/midres/1589560/1589560.jpg</t>
  </si>
  <si>
    <t>http://crimeblog.dallasnews.com/files/2015/08/Bertrand.jpg</t>
  </si>
  <si>
    <t>http://www.chattanoogan.com/photos/2015/8/article.307038.large.jpg</t>
  </si>
  <si>
    <t>http://img01.funeralnet.com/obit_photo.php?fullsize=1&amp;id=1540231&amp;clientid=jenkins-soffe&amp;iid=889565</t>
  </si>
  <si>
    <t>http://www.gannett-cdn.com/-mm-/ba9b0cd1ff1977f0469200d5bdba66aed4208811/c=0-37-720-578&amp;r=x404&amp;c=534x401/local/-/media/2015/08/27/Nashville/Nashville/635762774997799576-SteveDoddBDay.JPG</t>
  </si>
  <si>
    <t>http://media.philly.com/images/180*200/20150826_inq_sshooting26z-f.JPG</t>
  </si>
  <si>
    <t>https://lintvkrqe.files.wordpress.com/2015/08/marvin.png?w=351</t>
  </si>
  <si>
    <t>https://localtvwhnt.files.wordpress.com/2015/08/christopher-tompkins.jpg?w=770</t>
  </si>
  <si>
    <t>http://www.gannett-cdn.com/-mm-/2feee69581913188b2cf299f4cee3495a99e38ea/r=537&amp;c=0-0-534-712/http/cdn.tegna-tv.com/-mm-/79df8fa93a29cda0ccbefa9253fdd7143b4ca437/c=16-0-399-511/local/-/media/2015/08/24/WTLV/WTLV/635760223283433872-110.jpg</t>
  </si>
  <si>
    <t>http://www.news3lv.com/media/lib/166/1/2/5/1253516c-7ddf-4dd7-8c51-c93e9f588679/Original.jpg</t>
  </si>
  <si>
    <t>http://bloximages.chicago2.vip.townnews.com/grandrapidsmn.com/content/tncms/assets/v3/editorial/8/3b/83b1ca04-4ffc-11e5-ad77-6f83536a09fe/55e47f70cd36f.image.jpg?resize=300%2C213</t>
  </si>
  <si>
    <t>http://bloximages.chicago2.vip.townnews.com/fredericksburg.com/content/tncms/assets/v3/editorial/c/6a/c6a518a6-4a8f-11e5-9867-e704cb5d9455/55db6586f3aca.image.jpg</t>
  </si>
  <si>
    <t>http://www.kansas.com/news/local/crime/r08yss/picture32105475/ALTERNATES/FREE_320/Nicholas%20Garner%201</t>
  </si>
  <si>
    <t>https://lintvwivb.files.wordpress.com/2015/08/thaddeus-faison.jpg</t>
  </si>
  <si>
    <t>https://localtvwghp.files.wordpress.com/2015/08/untitled-213.jpg?w=770</t>
  </si>
  <si>
    <t>http://cdn.abclocal.go.com/content/kabc/images/cms/automation/vod/951884_630x354.jpg</t>
  </si>
  <si>
    <t>http://www.gannett-cdn.com/-mm-/a2664058176a9ff4cae92b8cdc4e8763a554b8c9/c=50-20-609-440&amp;r=x404&amp;c=534x401/local/-/media/2015/08/20/DetroitFreePress/DetroitFreePress/635756876412518122-leviere-ransom.JPG</t>
  </si>
  <si>
    <t>http://i.dailymail.co.uk/i/pix/2015/08/20/08/2B838CE700000578-3203849-image-a-8_1440056342444.jpg</t>
  </si>
  <si>
    <t>http://whns.images.worldnow.com/images/8617596_G.jpg</t>
  </si>
  <si>
    <t>https://blackopswiki.s3.amazonaws.com/uploads/article/avatar/367/large_avatar_frederick_roy.jpg</t>
  </si>
  <si>
    <t>http://www.trbimg.com/img-55d4fdaf/turbine/la-me-inmate-killed-by-guards-in-third-prison--002/550/309x550</t>
  </si>
  <si>
    <t>http://pbs.twimg.com/media/CMxQAW5VEAAvMJF.jpg</t>
  </si>
  <si>
    <t>http://funds.gfmcdn.com/5696790_1439869229.992.jpg</t>
  </si>
  <si>
    <t>http://www.fresnobee.com/news/local/crime/h2le4i/picture31453181/ALTERNATES/FREE_640/Allen%20Matthew%20Baker%20III</t>
  </si>
  <si>
    <t>http://www.trbimg.com/img-55d0c66a/turbine/la-ashley-la0030492077-20150816/378/378x213</t>
  </si>
  <si>
    <t>http://www.sgvtribune.com/apps/pbcsi.dll/storyimage/LC/20150819/NEWS/150819459/AR/0/AR-150819459.jpg&amp;maxh=400&amp;maxw=667</t>
  </si>
  <si>
    <t>http://www.trbimg.com/img-55d2252a/turbine/hc-bolton-chase-update-0818-20150817-001/900/900x506</t>
  </si>
  <si>
    <t>http://assets.dnainfo.com/generated/photo/2015/08/garland-tyree-1439558833.jpg/extralarge.jpg</t>
  </si>
  <si>
    <t>https://cbssanfran.files.wordpress.com/2015/08/nathaniel_wilks_081415.jpg</t>
  </si>
  <si>
    <t>http://woio.images.worldnow.com/images/7942214_G.jpg</t>
  </si>
  <si>
    <t>http://bloximages.chicago2.vip.townnews.com/wacotrib.com/content/tncms/assets/v3/editorial/4/82/48227766-7587-5e01-bab0-26e1b520923e/55cbc329cd5f0.image.jpg?resize=300%2C376</t>
  </si>
  <si>
    <t>http://bloximages.newyork1.vip.townnews.com/oaoa.com/content/tncms/assets/v3/editorial/3/b1/3b1e4ae8-4132-11e5-bdc3-0b12b6b90913/55cbaf23977b2.image.jpg?resize=300%2C225</t>
  </si>
  <si>
    <t>http://www.gannett-cdn.com/-mm-/50bfa768de97848c37c1fb3e15502aa34121135b/c=0-164-480-435&amp;r=x633&amp;c=1200x630/local/-/media/2015/08/11/Phoenix/Phoenix/635749053959669052-Richard-Tyler-Young.jpg</t>
  </si>
  <si>
    <t>http://www.gannett-cdn.com/-mm-/02917320db0bb106be0fa752e1f70cf8886fb7bf/c=96-0-673-434&amp;r=x404&amp;c=534x401/local/-/media/2015/08/10/Indianapolis/Indianapolis/635747915088190620-andre-green-fox59.jpg</t>
  </si>
  <si>
    <t>http://media.graytvinc.com/images/EricTompkins.jpg</t>
  </si>
  <si>
    <t>http://www.mcleanfuneral.com/obituary/Jeffery-Clyde-Jeff-Wilkes/Gastonia-NC/1535971</t>
  </si>
  <si>
    <t>http://khq.images.worldnow.com/images/8550850_G.jpg</t>
  </si>
  <si>
    <t>http://www.postandcourier.com/storyimage/CP/20150810/PC16/150819946/EP/1/1/EP-150819946.jpg&amp;MaxW=520&amp;q=85</t>
  </si>
  <si>
    <t>http://www.fresnobee.com/news/local/crime/e474cp/picture30449874/ALTERNATES/FREE_960/080715%20Aaron%20Allen%20Marchese</t>
  </si>
  <si>
    <t>http://www.reviewjournal.com/sites/default/files/styles/large/public/field/media/1003395444%2520OISBRIEFING_0815.jpg?itok=K0Dq-QFt</t>
  </si>
  <si>
    <t>https://img.washingtonpost.com/wp-apps/imrs.php?src=https://img.washingtonpost.com/rf/image_908w/2010-2019/Wires/Images/2015-08-08/AP/Killings_by_Police-Football_Player-01655.jpg&amp;w=1484</t>
  </si>
  <si>
    <t>https://cbsla.files.wordpress.com/2015/08/derrick_hunt.jpg?w=1280</t>
  </si>
  <si>
    <t>https://mgtvwnct.files.wordpress.com/2015/08/tsombe-clark.jpg</t>
  </si>
  <si>
    <t>http://extras.mnginteractive.com/live/media/site525/2015/0814/20150814_040907_unnamed.jpg</t>
  </si>
  <si>
    <t>https://blackopswiki.s3.amazonaws.com/uploads/article/avatar/351/large_avatar_gustavvo_ponce-galon.jpg</t>
  </si>
  <si>
    <t>https://ioneadwnews.files.wordpress.com/2015/08/troy.jpg?w=221&amp;h=228</t>
  </si>
  <si>
    <t>https://tacomastories.files.wordpress.com/2015/08/jasongalaviz.jpg?w=300&amp;h=300</t>
  </si>
  <si>
    <t>https://localtvwtvr.files.wordpress.com/2015/08/shooter.jpg?w=770&amp;h=433</t>
  </si>
  <si>
    <t>http://img.huffingtonpost.com//asset/scalefit_630_noupscale/55cd530e1d00002f00144c8d.jpeg?cache=aG1Q941U8e</t>
  </si>
  <si>
    <t>http://www.killedbypolice.net/victims/150696.jpg</t>
  </si>
  <si>
    <t>http://s3.reutersmedia.net/resources/r/?m=02&amp;d=20150806&amp;t=2&amp;i=1069792663&amp;w=976&amp;fh=&amp;fw=&amp;ll=&amp;pl=&amp;sq=&amp;r=LYNXNPEB75047</t>
  </si>
  <si>
    <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t>
  </si>
  <si>
    <t>http://extras.mnginteractive.com/live/media/site568/2015/0807/20150807__ois~1.JPG</t>
  </si>
  <si>
    <t>https://mgtvwric.files.wordpress.com/2015/08/frank-short.jpg</t>
  </si>
  <si>
    <t>https://mgtvwhtm.files.wordpress.com/2015/08/55c248d06dc55-image.jpg?w=300</t>
  </si>
  <si>
    <t>http://www.gannett-cdn.com/-mm-/4a642aabe5f985a52bba9ddf24c8c1b9c310561c/c=0-58-401-593&amp;r=537&amp;c=0-0-534-712/local/-/media/2015/08/03/Muncie/B9318324335Z.1_20150803220258_000_GL1BHGGFA.1-0.jpg</t>
  </si>
  <si>
    <t>http://ak-cache.legacy.net/legacy/images/cobrands/dignitymemorial/photos/ecf6168a-835c-4498-a00e-86434b125335.jpgx?w=130&amp;h=180&amp;option=1&amp;v=0x000000003111f297</t>
  </si>
  <si>
    <t>Cops intervened when they heard/saw Carney assaulting a woman in a car at an ATM. Cops tasered him twice and he died from his injuries.</t>
  </si>
  <si>
    <t>http://www.wlwt.com/news/police-id-robbery-suspect-who-died-after-taser-shock/35034920</t>
  </si>
  <si>
    <t>http://www.wtvm.com/story/29926838/teen-dies-after-police-tasing-incident</t>
  </si>
  <si>
    <t>Rippley threw a bicycle into traffic when police were called. He then ran into a Pizza Ranch restaurant, police suspected he had a knife. Rippley grabbed a customer and was fatally shot by an officer.</t>
  </si>
  <si>
    <t>http://www.westword.com/news/william-rippley-before-cop-killed-him-theres-going-to-be-a-human-sacrifice-7091421</t>
  </si>
  <si>
    <t>Leon was shot when he pulled out a gun while being pursued by officers on a bicycle. He matched the description of a man who attempted to burglarize a home earlier that morning.</t>
  </si>
  <si>
    <t>http://www.kvoa.com/story/29916976/officer-involved-shooting-near-park-and-drexel</t>
  </si>
  <si>
    <t>Police were called because of an "unwanted person" at a home. When officers arrived, Hall aimed his gun at a group of about six people and an officer shot him.</t>
  </si>
  <si>
    <t>http://www.tulsaworld.com/homepagelatest/cushing-police-officer-cleared-in-fatal-shooting/article_1bc89125-2051-5cb1-9dde-62c9791231cd.html</t>
  </si>
  <si>
    <t>Brown was shot during when he turned toward a police officer with a gun.</t>
  </si>
  <si>
    <t>http://www.reviewjournal.com/news/las-vegas/man-dies-after-metro-involved-shooting-north-las-vegas</t>
  </si>
  <si>
    <t>Authorities were on patrol when they someone firing shots from one vehicle into another. Cruz reversed in his vehicle, attempting to hit the officers. Officers then fired their weapons, hitting at least one of the vehicle’s occupants. The driver tried to get away, but was arrested after the vehicle hit other parked vehicles. Cruz was pronounced dead at the scene.</t>
  </si>
  <si>
    <t>http://www.chicagotribune.com/news/local/breaking/ct-chicago-police-involved-shooting-20150829-story.html</t>
  </si>
  <si>
    <t>Officers responded to a robbery, Albrecht charged at them with a knife and was shot by both of the two officers once.</t>
  </si>
  <si>
    <t>http://www.mysanantonio.com/news/local/article/Officer-involved-shooting-leaves-one-dead-on-6473238.php</t>
  </si>
  <si>
    <t>An off-duty officer called for backup when he spotted Dial in the parking lot of a Walgreens wearing a mask, police said. Dial reportedly got out of his car with a gun visible when a responding officer shot him.</t>
  </si>
  <si>
    <t>Under investigation</t>
  </si>
  <si>
    <t>http://www.kltv.com/story/29931923/man-shot-by-longview-officer-dies</t>
  </si>
  <si>
    <t>Kumi was an innocent bystander during a sting, he was shot by an undercover officer while standing directly behind the suspect.</t>
  </si>
  <si>
    <t>http://www.nydailynews.com/new-york/bystander-dies-hit-nypd-bullets-article-1.2341345</t>
  </si>
  <si>
    <t>Flores was shot dead in a confrontation with two deputies outside a house. They were responding to reports of a domestic disturbance and found an injured woman. Authorities suggested Flores had a knife but cellphone video of the encounter indicated his hands were empty and raised in the moments before he was shot. Police radio traffic reportedly identified Flores as suicidal.</t>
  </si>
  <si>
    <t>http://www.nbcnews.com/news/us-news/gilbert-flores-shooting-bexar-county-deputies-near-san-antonio-sparks-n420061</t>
  </si>
  <si>
    <t>Officers called to CVS because Hober was threatening employees with a boxcutter. Officer shot Hober when he approached him with box cutter.</t>
  </si>
  <si>
    <t>http://www.nbcsandiego.com/news/local/Robert-Hober-Eric-Oberndorfer-Fatal-Officer-Involved-Shooting-IDd-323528221.html</t>
  </si>
  <si>
    <t>Evans was shot outside a church after being tracked down by a police officer, according to authorities. Police said they had been searching for him after a friend reported he was armed, had made suicidal threats on social media, and may have taken drugs. Authorities initially said it was unclear whether Evans pointed or fired his handgun.</t>
  </si>
  <si>
    <t>http://www.deseretnews.com/article/865635615/Man-shot-killed-by-Spanish-Fork-police-officer-in-church-parking-lot.html?pg=all</t>
  </si>
  <si>
    <t>Officers responded to a robbery, they attempted to subdue Davis with a Taser but when that failed, and officer saw a gun in his hand, he was shot.</t>
  </si>
  <si>
    <t>http://www.dallasnews.com/news/metro/20150903-dallas-police-man-killed-by-officer-had-pellet-gun.ece</t>
  </si>
  <si>
    <t>Police came to the scene after a report of a dispute between neighbors, according to authorities. Police shot Soriano after he allegedly attacked officers with an "unknown hard object." Two officers are being treated for moderate injuries, police said.</t>
  </si>
  <si>
    <t>http://www.dailynews.com/general-news/20150901/man-fatally-shot-by-police-in-van-nuys-was-homeless-coroner-says</t>
  </si>
  <si>
    <t>Hall was a passenger in a vehicle that turned left into an officer's path and the passenger's side was struck. Alcohol was reported to be involved.</t>
  </si>
  <si>
    <t>http://www.kansascity.com/news/local/article32618871.html</t>
  </si>
  <si>
    <t>Alehegne allegedly attacked an officer with a metal bicycle chain before she returned fire, according to authorities. Police said the officer was treated for injuries to her face and head and released from the hospital.</t>
  </si>
  <si>
    <t>http://www.mercurynews.com/crime-courts/ci_28734820/oakland-police-release-name-suspect-officer-fatal-shooting</t>
  </si>
  <si>
    <t>Pickard was leading officers on a car chase after a report of disorder with a weapon when Pickard crashed his car, police said. Pickard exited his car and allegedly brandished his weapon before police shot him.</t>
  </si>
  <si>
    <t>http://www.timesfreepress.com/news/local/story/2015/aug/27/police-highway-153-blocked-after-fatal-shooting-hixson/322021/</t>
  </si>
  <si>
    <t>Lambrose's wife told police her husband was suicidal and had barricaded herself and their three children inside their house, according to authorities. An officer was rescuing Lambrose's children from an upstairs room when Lambrose entered the room and allegedly fired a shot toward the officer, prompting the officer to return fire, police said.</t>
  </si>
  <si>
    <t>http://www.sltrib.com/home/2880568-155/police-west-jordan-man-dead-after</t>
  </si>
  <si>
    <t>Dodd, who was reportedly suicidal, was standing on the overpass of a bridge and told officers he had a gun, police said. An officer shot Dodd in the leg when he allegedly pulled a gun out of his pocket, causing him to fall from the overpass onto the boulevard below, police said. Officials later said that Dodd was carrying a pellet gun.</t>
  </si>
  <si>
    <t>http://www.tennessean.com/story/news/local/hendersonville/2015/08/26/hendersonville-police-investigating-incident/32386959/</t>
  </si>
  <si>
    <t>http://articles.philly.com/2015-08-27/news/65891377_1_county-courthouse-smith-deputy-sheriff-shot</t>
  </si>
  <si>
    <t>Officers attempted to pull over Maestas for speeding, but ended up in a car chase that ended in an exchange of gunfire, according to police. New Mexico state police said multiple agencies were involved in the incident and have not released the agency of the officer who fired the fatal shot.</t>
  </si>
  <si>
    <t>http://www.santafenewmexican.com/news/high-speed-chase-ends-in-fatal-officer-involved-shooting/article_4c2bd7f0-4b29-11e5-bb0e-cbe70da6c311.html</t>
  </si>
  <si>
    <t>Detectives were investigating a separate shooting when Arroliga shot at them and the officers returned fire, police said.</t>
  </si>
  <si>
    <t>http://www.miamiherald.com/news/local/crime/article32465772.html</t>
  </si>
  <si>
    <t>Police said they approached a residence where they believed Randolph, who was wanted on a felony drug warrant, was staying. Officers spoke with Randolph through a window and fired when he revealed a weapon, according to police.</t>
  </si>
  <si>
    <t>http://www.azcentral.com/story/news/local/phoenix/breaking/2015/08/25/phoenix-pd-working-active-shooting-scene/32360753/</t>
  </si>
  <si>
    <t>Deputies responded to a domestic call and found Tomlinson armed, police said. Officers shot Tomlinson after he allegedly ignored repeated requests to drop his weapon and raised it toward the officers. His brother, Scott Tomlinson, was found dead from gunshot wounds inside the residence, according to authorities.</t>
  </si>
  <si>
    <t>http://www.tampabay.com/news/publicsafety/crime/hillsborough-deputy-involved-in-shooting-one-suspect-wounded-deputy/2242748</t>
  </si>
  <si>
    <t>Police claim that they responded to a domestic disturbance report. Norris was armed with a gun and confronted police outside his house. Police say Norris pointed his weapon in their direction and they returned fire. Norris died at the scene.</t>
  </si>
  <si>
    <t>http://www.wfmynews2.com/story/news/local/2015/08/24/one-dead-archdale-officer-involved-shooting/32252479/</t>
  </si>
  <si>
    <t>Tompkins stole a truck and engaged in a car chase with police, and there was a female in the vehicle's passenger seat. Police pursued Tompkins to County Road 1825 where both suspects jumped out of the truck, ran and hid behind a chicken house. Tompkins died of multiple gunshot wounds, and the woman was taken into custody.</t>
  </si>
  <si>
    <t>http://www.wvtm13.com/news/cullman-county-authorities-identify-man-shot-by-arab-police/34883830</t>
  </si>
  <si>
    <t>Hoffman was shot and killed outside his home by police. Police arrived at the home based on a disturbance call. Hoffman was armed at the time and when police asked Hoffman to drop his weapon, he refused. Hoffman's father said there was proof his son was surrendering before he was shot.</t>
  </si>
  <si>
    <t>http://www.nj.com/ocean/index.ssf/2015/08/family_says_emotional_goodbye_to_brick_man_shot_by.html</t>
  </si>
  <si>
    <t>Officers were responding to a domestic violence call by Compo's wife, who had ran to a nearby church to contact police. Compo's wife directed police back to her home where police set up a perimeter to try and get Compo to come out of the house. Compo was uncooperative and when he raised his rifle as if he were about to shot, the police started firing. Compo was pronounced dead at the scene.</t>
  </si>
  <si>
    <t>http://www.firstcoastnews.com/story/news/crime/2015/08/23/jso-officer-involved-incident-reported-west-jacksonville/32231241/</t>
  </si>
  <si>
    <t>There were reports of gunshots fired in the area around 7:30 a.m. Snider was carrying a firearm, repeatedly entering and leaving the neighborhood while shouting and firing his rifle. Police tried to negotiate with Snider without success, and when Snider pointed the firearm at police, he was fired upon.</t>
  </si>
  <si>
    <t>http://www.scrippsmedia.com/ktnv/news/Man-shot-by-Las-Vegas-police-following-barricade-near-Buffalo-Alta-drives-322625862.html</t>
  </si>
  <si>
    <t>Officers were called about a disturbance, when they arrived Schneider was standing in front of his home with a gun. Officers ordered him to put his gun down, he pointed it at officers and was then shot and killed.</t>
  </si>
  <si>
    <t>http://www.startribune.com/man-fatally-shot-by-itasca-county-deputy-is-id-d/322626551/</t>
  </si>
  <si>
    <t>Officers were on a scene of an unrelated investigation when they saw a robbery taking place in a Subway. The man appeared to be armed, and officers fired shot and killed him.</t>
  </si>
  <si>
    <t>http://www.bakersfieldnow.com/news/local/Family-demands-investigation-after-police-shooting-322761581.html</t>
  </si>
  <si>
    <t>Morgan was shot at his home after authorities said he approached a deputy with a knife. Morgan was living in a group home at the time and had barricaded himself in his room after a dispute over a bill. Police spent over an hour trying to get Morgan to leave his room peacefully without success. After they forcefully entered the room, Morgan charged at authorities with a knife and was then shot.</t>
  </si>
  <si>
    <t>http://www.fredericksburg.com/news/crime_courts/king-george-sheriff-deputy-gave-man-every-opportunity-to-surrender/article_5b6e9432-4a75-11e5-8dd2-cb62e7e351c0.html</t>
  </si>
  <si>
    <t>Garner attempted to flee traffic stop and was shot by officer.</t>
  </si>
  <si>
    <t>http://www.kansas.com/news/local/crime/article32105529.html</t>
  </si>
  <si>
    <t>Authorities received reports of an attempted carjacking. An officer who was in the area went to the intersection and saw Faison who fit the description of the suspected carjacker. The officer followed Faison while he waited for backup and when another officer joined him, they approached the Faison. The latter fired on both officers with a handgun and the officers fired back, hitting the man. Faison was later pronounced dead at the hospital.</t>
  </si>
  <si>
    <t>http://wivb.com/2015/08/23/troy-officers-hospitalized-after-shootout-gunman-dead/</t>
  </si>
  <si>
    <t>Rushton barricaded himself in a room, then charged police with a kitchen knife when they tried to take him into custody.</t>
  </si>
  <si>
    <t>http://www.wral.com/police-wake-forest-man-charged-officers-with-knife-before-being-shot/14847812/</t>
  </si>
  <si>
    <t>Police officer recognized Hall as someone with a warrant, when he tried to arrest him a struggle began. Hall managed to get into his car to drive away and the officer shot him in the upper torso.</t>
  </si>
  <si>
    <t>http://www.baltimoresun.com/news/maryland/bs-md-police-shooting-north-east-20150822-story.html</t>
  </si>
  <si>
    <t>http://www.ifiberone.com/news/masoncounty/man-fatally-shot-by-mason-county-sheriff-s-deputy/article_3efae09e-4db8-11e5-a8f9-ff9b94dd2298.html</t>
  </si>
  <si>
    <t>Police responded to an assault call, Tevis hit the officer and the two fought. Officer used a Taser but it had no effect. As Tevis came at the officer with a large metal spoon raised, the officer shot him twice.</t>
  </si>
  <si>
    <t>http://www.al.com/news/birmingham/index.ssf/2015/08/man_fatally_shot_by_tuscaloosa.html</t>
  </si>
  <si>
    <t>After Herrera robbed a Jack-In-The-Box, he got on his skateboard and pointed a gun at people while shouting he had a gun. Officers confronted him, Herrera pointed his gun at them, and he was shot.</t>
  </si>
  <si>
    <t>http://www.dailybulletin.com/general-news/20150821/ontario-police-identify-teen-killed-in-officer-involved-shooting</t>
  </si>
  <si>
    <t>Gerken was killed after a standoff with county deputies, police said. Gerken allegedly opened fire on deputies before they returned fire and killed him.</t>
  </si>
  <si>
    <t>http://www.thenewscenter.tv/home/headlines/new-details.html</t>
  </si>
  <si>
    <t>Police chased Ransom until he pulled into a parking lot, pulled out a handgun, and officers opened fire.</t>
  </si>
  <si>
    <t>http://www.freep.com/story/news/local/michigan/oakland/2015/08/20/police-chase-troy-bloomfield-hills-warren-absconder-shooting/32056645/</t>
  </si>
  <si>
    <t>Authorities received reports of a man (Hale) walking around with a gun. One of the callers said he was threatened by Hale after trying to take his keys, and Hale told the victim he had a gun and was suicidal. After Hale was found by police, a physical altercation ensued. When Hale pulled his gun on authorities, he was shot in the jaw and died of his injuries.</t>
  </si>
  <si>
    <t>https://spokane-news.com/2015/08/26/sirr-team-update-stevens-county-deputys-officer-involved-shooting-in-hunters-wa/</t>
  </si>
  <si>
    <t>http://www.stltoday.com/news/local/crime-and-courts/fires-set-off-police-confront-crowds-hours-after-st-louis/article_9eae9155-9f8e-5296-b836-45326918fda3.html</t>
  </si>
  <si>
    <t>Authorities responded to a church after receiving a call reporting that four people had been shot. Police said Baker, an Army veteran suffering from PTSD, died after exchanging gunfire with law enforcement at the church. Authorities said no one else was shot as the caller had reported.</t>
  </si>
  <si>
    <t>http://www.startribune.com/man-shot-in-gunfire-exchange-with-officers-in-north-carolina/322391871/</t>
  </si>
  <si>
    <t>The officer was responding to a report of a shooting when he approached Roy, who pulled a revolver out of his waistband, police said. The two struggled over the gun prompting the officer to fire his own weapon, police said.</t>
  </si>
  <si>
    <t>Police were chasing Jacquez when he crashed the vehicle and ran toward a home, unarmed, when police shot him once in the back and once when he turned around.</t>
  </si>
  <si>
    <t>http://www.latimes.com/local/crime/la-me-san-jose-police-20150822-story.html</t>
  </si>
  <si>
    <t>Police were investigating a recent homicide when two officers fired at Castillo, a suspect, after he reached for a handgun, according to police.</t>
  </si>
  <si>
    <t>http://www.nbcbayarea.com/news/local/Officer-Involved-Shooting-in-San-Jose-322019022.html?utm_source=dlvr.it&amp;utm_medium=twitter</t>
  </si>
  <si>
    <t>Norton allegedly assaulted his wife before she fled the residence with her two children. Officers returned fire when Norton fired a shot as he exited his home, police said.</t>
  </si>
  <si>
    <t>http://www.mysanantonio.com/news/local/article/Kerrville-police-shoot-kill-man-who-fired-rifle-6448471.php</t>
  </si>
  <si>
    <t>Baker was shot while fleeing a Motel 6 with another man after officers arrived to investigate 'suspicious activity,' according to authorities. Police initially said Baker fired at officers but now say he refused to drop his weapon. The other man escaped and was reported to be armed and dangerous.</t>
  </si>
  <si>
    <t>http://www.sfgate.com/crime/article/Prostitution-call-preceded-fatal-Sunnyvale-police-6448999.php</t>
  </si>
  <si>
    <t>Authorities said Ashley, a homeless man wanted for murder, was shot dead after he pointed a gun at two deputies behind a mini-mart. Ashley had been the subject of an intense manhunt and the deputies were responding to a tip-off about his location.</t>
  </si>
  <si>
    <t>http://www.latimes.com/local/lanow/la-me-ln-kern-county-shooting-20150815-story.html</t>
  </si>
  <si>
    <t>Authorities said Unsworth was shot after refusing to stop advancing towards officers at a home despite being shocked with a stun gun. Police were responding to an early-morning report that Unsworth was acting out of control and had attacked relatives.</t>
  </si>
  <si>
    <t>http://www.madisoncourier.com/Content/News/News/Article/Hanover-man-dead-in-officer-involved-shooting/178/961/92193</t>
  </si>
  <si>
    <t>Pope was fatally shot by deputy Carl Howell at a home during an exchange of gunfire that also killed the deputy. Howell, a nine-year veteran of the department, had been called to respond to an early-morning domestic disturbance. A woman was found with injuries and three children were evacuated.</t>
  </si>
  <si>
    <t>http://www.nevadaappeal.com/news/17729220-113/several-popping-noises-right-consecutive</t>
  </si>
  <si>
    <t>Ruiz became unresponsive after being shocked with a Taser and handcuffed, according to authorities. He had been pursued and intercepted by officers after allegedly stealing a large flagpole and swinging it at motorists and passersby.</t>
  </si>
  <si>
    <t>http://www.sgvtribune.com/general-news/20150816/suspect-dies-after-being-shot-with-taser-by-police</t>
  </si>
  <si>
    <t>Officer heard a car crash, and when he went to investigate he saw Manley fleeing the crash. The officer caught up to Manley and shot him during a struggle over his gun. Second officer arrived and stunned him with a Taser, but it wasn't until a third officer arrived that he was restrained.</t>
  </si>
  <si>
    <t>http://www.wusa9.com/story/news/local/maryland/2015/08/15/suspect-shot-police-after-struggle-over-officers-gun/31772861/</t>
  </si>
  <si>
    <t>Anderson is accused of robbing a bank and leading multiple police departments on a car chase that ended when he crashed his vehicle, police said. Anderson exited and continued to approach police with a box cutter after multiple requests to halt and an officer deployed his Taser, according to police. Anderson was previously shot by police nine years ago after a standoff with officers, authorities said.</t>
  </si>
  <si>
    <t>http://www.courant.com/breaking-news/hc-bolton-chase-update-0818-20150817-story.html</t>
  </si>
  <si>
    <t>Gonzalez was shot at an apartment complex after refusing several commands to drop a gun that he was brandishing at an officer, according to authorities. The officer was responding to reports of a domestic disturbance and a man with a gun.</t>
  </si>
  <si>
    <t>http://www.mysanantonio.com/news/local/article/Man-brandishes-gun-at-Boerne-police-is-shot-and-6446247.php</t>
  </si>
  <si>
    <t>A person released on parole was shot and killed by authorities after he emerged from his pickup following a brief pursuit and pointed a gun at law enforcement. Authorities attempted to pull him over, but the parolee sped off; police only chased after him for a short distance before he crashed into a fence then exited his vehicle while pointing a gun at police. There was a brief standoff before he was shot and killed.</t>
  </si>
  <si>
    <t>http://www.pe.com/articles/vallejo-776889-convicted-shot.html</t>
  </si>
  <si>
    <t>Police were pursuing Wilks in a car chase when Wilks crashed his vehicle. He then attempted to carjack another car, pointed a gun at police, and was shot by three officers.</t>
  </si>
  <si>
    <t>http://www.sfgate.com/bayarea/article/Calls-for-justice-at-vigil-for-man-killed-by-6445927.php</t>
  </si>
  <si>
    <t>http://abc7.com/news/armed-woman-shot-by-police-in-crenshaw-district/925223/</t>
  </si>
  <si>
    <t>Officers chased Marshall in a stolen vehicle, when he got out of the vehicle he went into the crawlspace of a home on Earl St. Officers sent a K-9 officer into the crawlspace, and Marshall shot him which led an officer to shoot Marshall.</t>
  </si>
  <si>
    <t>http://www.cleveland19.com/story/29210147/cleveland-fugitive-reginald-marshall-killed-in-toledo-standoff</t>
  </si>
  <si>
    <t>Smith was a passenger in a car that fled from law enforcement officials, authorities said. Multiple officers fired at Smith when the car chase ended on a dead-end street. Police said a gun was found near Smith and that the driver of the car was taken into custody.</t>
  </si>
  <si>
    <t>http://www.kob.com/article/stories/s3879034.shtml#.VgXutctVikp</t>
  </si>
  <si>
    <t>Officials said police were trying to serve an arrest warrant when there was a struggle between the officers and Alarcon. Alarcon allegedly fired twice at the officers before being shot dead. Two officers received minor injuries, according to police</t>
  </si>
  <si>
    <t>http://www.spokesman.com/stories/2015/aug/11/man-dies-after-police-shooting-sandpoint/</t>
  </si>
  <si>
    <t>After Hughes allegedly tried to steal $80 worth of brisket from a grocery store, police said he threatened officers with a knife when they attempted to handcuff him. Police said they shot Hughes after first attempting to subdue him with a Taser.</t>
  </si>
  <si>
    <t>http://www.kwtx.com/home/headlines/Shooting-Reported-At-Local-H-E-B-Store-321470271.html</t>
  </si>
  <si>
    <t>Law enforcement officers were tracking Shull, who police say was wanted in the area, and gunfire broke out when they found him at a gas station, according to authorities. Two troopers were wounded in the gunfight.</t>
  </si>
  <si>
    <t>http://www.oaoa.com/news/crime_justice/article_0d1cc546-4094-11e5-b2c0-67fa1d7ef932.html</t>
  </si>
  <si>
    <t>A motorcycle officer stopped Young for speeding in a school zone, police said. While the officer completed his citation, Young reportedly reversed his car and struck the officer and the motorcycle, and then accelerated his car toward the officer when the officer shot him, police said.</t>
  </si>
  <si>
    <t>http://www.azcentral.com/story/news/local/gilbert/breaking/2015/08/10/officer-involved-shooting-scene--gilbert-abrk/31414861/</t>
  </si>
  <si>
    <t>Multiple San Jose police officers fatally shot the man after he allegedly stabbed someone. Officers fired their guns while attempting to detain the man after locating him about a mile away from the scene of the stabbing.</t>
  </si>
  <si>
    <t>http://www.sfgate.com/crime/article/San-Jose-police-shoot-and-kill-stabbing-suspect-6434653.php</t>
  </si>
  <si>
    <t>Tompkins allegedly refused to keep his hands out of his pockets while talking to officers who had been dispatched to respond to reports of a suicidal man. Police said Tomkins then pulled out what appeared to be a handgun, prompting officers to fire. Police said they subsequently discovered that Tompkins had ingested a large quantity of rat poison.</t>
  </si>
  <si>
    <t>http://www.kxii.com/home/headlines/Suspect-in-Ardmore-officer-involved-shooting-dies-321179871.html</t>
  </si>
  <si>
    <t>Quinn, in a motorized wheelchair outside his "apartment complex for elderly, disabled and low-income residents" and flourishing a pellet gun, was shot to death by local police after refusing 15 to 20 commands to drop his weapon.</t>
  </si>
  <si>
    <t>http://timesleader.com/news/local/376876/disabled-man-waving-gun-killed-by-police-in-pittston</t>
  </si>
  <si>
    <t>Wilkes was fatally shot by police after getting into a firefight with police. Officers believe Wilkes shot and killed Charles Dean Thompson, a former Gaston County police officer. The shooting took place in someone's home. Two officers and a bystander were shot in the encounter, but sustained non-fatal injuries.</t>
  </si>
  <si>
    <t>http://www.charlotteobserver.com/news/local/crime/article30532512.html</t>
  </si>
  <si>
    <t>McDaniel entered a standoff with police when they found McDaniel man in a house. He then started firing a gun from inside the house toward officers. Then he came out of the house shooting and was shot and killed.</t>
  </si>
  <si>
    <t>http://www.khq.com/story/29771812/man-killed-in-officer-involved-shooting-identified</t>
  </si>
  <si>
    <t>Officers were called to 3rd Street after receiving reports of Burr and his brother arguing outside. One of the brothers shot at the police car when they showed up to the scene. The officer returned to the car, pulled out an AR-15, fired a few shots at the brothers. Burr was pronounced dead at the scene.</t>
  </si>
  <si>
    <t>http://www.khou.com/story/news/local/2015/08/09/man-killed-in-officer-involved-shooting-in-waller-county/31363535/</t>
  </si>
  <si>
    <t>Palmer's death has been ruled as a suicide as he confided to a friend that he "wasn't going back to jail." His confrontation with the police was intentional and Palmer suffered multiple gunshot wounds, including a fatal one in his chest. Palmer was shot eight times by police.</t>
  </si>
  <si>
    <t>http://www.postandcourier.com/article/20150810/PC16/150819946</t>
  </si>
  <si>
    <t>Marchese was shot in front of his house after police saw him pull a toy gun out of his pocket. Police were called about an armed man walking around the street. Marchese had been released on drug possessions charges the evening before.</t>
  </si>
  <si>
    <t>http://abc30.com/news/fresno-county-officer-involved-shooting-leaves-suspect-dead/910392/</t>
  </si>
  <si>
    <t>Correa was apparently found hiding in a closet of a home police were investigating for a broken window. Police said Correa lunged at officers with a sharp object.</t>
  </si>
  <si>
    <t>http://www.reviewjournal.com/news/las-vegas/police-shoot-kill-man-holding-sharp-object</t>
  </si>
  <si>
    <t>Taylor had broken into a car dealership after hours and in security surveillance footage can be seen jumping on cars and smashing the windows of several vehicles. A security guard on duty that night called police about the break in. Six Arlington police arrived and Brad Miller, a rookie cop, fatally shot Taylor. Has since been fired from his station.</t>
  </si>
  <si>
    <t>http://www.washingtonpost.com/news/morning-mix/wp/2015/08/12/christian-taylors-father-feels-for-fired-cop-there-isnt-a-winner-in-this-we-are-both-losers/</t>
  </si>
  <si>
    <t>Hunt died in a confrontation with police after someone had called 911 about a stabbing occurring near the Artesia Courts apartment complex. Hunt had allegedly stabbed his 29-year-old wife, her 25-year-old brother and a 24-year-old neighbor that lived in the complex. Hunt then allegedly left the complex and entered a convalescent home on the south side of the street, where he allegedly stabbed three female employees. Police arrived at the scene, and Hunt allegedly charged at police and was then shot.</t>
  </si>
  <si>
    <t>http://homicide.latimes.com/post/derrick-lee-hunt/</t>
  </si>
  <si>
    <t>Deputy Michael O'Brien shot and killed 53-year-old Mark Keckhaser after Keckhaser was driving erratically down an alley and swerved to hit O'Brien. Keckhafer/Keckhaser was allegedly intoxicated and attempted to flee police in a high speed pursuit.</t>
  </si>
  <si>
    <t>http://missoulian.com/news/local/mineral-county-releases-names-of-deputy-victim-in-fatal-shooting/article_b5fd7dbd-f901-5fba-b7d9-5260acaac37c.html</t>
  </si>
  <si>
    <t>Russo grew combative with police and EMS personnel when they were called to his home. Police tasered him and EMS gave Russo a sedative to calm him down. Russo began having trouble breathing, EMS officials administered medical aid. He was transported to Hartford Hospital, where he was later pronounced dead.</t>
  </si>
  <si>
    <t>http://foxct.com/2015/08/08/combative-man-hit-by-taser-in-hartford-dies/</t>
  </si>
  <si>
    <t>The officer, who was off duty, intervened when a fight broke out at a restaurant. Police said Clark pulled out a weapon and fired at the officer, and the officer returned fire.</t>
  </si>
  <si>
    <t>Police pulled over car, car pulled into back parking lot of sport's bar. Officer parked behind them and stepped out of his vehicle, as several people got out of the other vehicle. Officer spotted that one had a gun and focused attention on him. Suspect appeared to reach into back window of car and officer pulled his weapon. Suspect backed up and was struck.</t>
  </si>
  <si>
    <t>Cops received a call and went to home to find Montano in a bathroom stabbing his wife with a butcher knife. Police repeatedly told him to put down the knife, but he did not. He then charged at the cop with the knife and was shot.</t>
  </si>
  <si>
    <t>http://www.cincinnati.com/story/news/2015/08/07/ksp-investigating-officer-involved-elsmere-shooting/31273817/</t>
  </si>
  <si>
    <t>Robinson ran from an officer after a traffic stop. The office deployed his Taser, and Robinson fell from an eight-foot wall, sustaining fatal injuries.</t>
  </si>
  <si>
    <t>http://atlantadailyworld.com/2015/08/21/rally-to-protest-taser-death-of-troy-robinson-by-police-at-dekalb-courthouse/</t>
  </si>
  <si>
    <t>Galaviz knocked a woman down at a bus stop and stole her cellphone. He then ran towards his truck and pulled out a gun. An off-duty police officer happened by the scene and identified himself.The police officer asked Galaviz to drop his gun. When he refused, the police officer shot him once.</t>
  </si>
  <si>
    <t>Police responded to a report of a suicidal man at an apartment complex. They tried to talk him down for over an hour. Officers decided to try going into his apartment. When they approached him, he threatened officers and attempted to stab one of them. An officer shot Dieringer in response.</t>
  </si>
  <si>
    <t>Cops were called to area after reports of an armed male. During an on-foot pursuit, Hargrove fired first, after police told him to drop his weapon, he did not comply, and the two cops fired.</t>
  </si>
  <si>
    <t>http://bigstory.ap.org/article/591758407e704e56a35001a00033f9cd/white-officer-recovering-after-shootout-black-suspect</t>
  </si>
  <si>
    <t>Officers got call about man with fake police badge. Upon questioning he got agitated and walked away, then turned around and opened fire on police. Officers shot back and took cover, hitting him with 11 bullets.</t>
  </si>
  <si>
    <t>http://mauinow.com/2015/08/10/man-killed-in-keopuolani-shootout-identified/</t>
  </si>
  <si>
    <t>Dattilo said something to two officers while walking by, and they noticed he had a knife. Dattilo swung the knife at the officers. As the officer backed away, Dattilo charged at them while waving the knife. Police shot him multiple times.</t>
  </si>
  <si>
    <t>http://www.whas11.com/story/news/crime/2015/08/06/man-fatally-shot-after-attacking-officers--knife/31203233/</t>
  </si>
  <si>
    <t>Police were called when Montano started attacking people with a hatchet and pepper spray in a movie theatre. When officers and SWAT arrived, shots were exchanged. Montano left through back entrance but was greeted by more officers waiting outside who shot him.</t>
  </si>
  <si>
    <t>http://www.tennessean.com/story/news/2015/08/06/police-describe-scene-inside-antioch-theater/31202637/</t>
  </si>
  <si>
    <t>The incident occurred when an Orange County Sheriff's Department officer found Aliva distressed and acting strangely pulled over on Las Pulgas Road. When the Deputy approached Aliva began aggressively pointing and yelling at the deputy. An hour-long standoff ensued as the man said that he was armed. When Aliva emerged from his car he had a black shirt wrapped around his hand, extending it as if it was a weapon. A deputy fired a bean bag round at Aliva, but it did not subdue him, then three OCSD officers and two border patrol agents fired their guns killing Aliva.</t>
  </si>
  <si>
    <t>Police went to Graves hotel after identifying him as a suspect in a robbery. Graves refused to come out of the room and after a six hour standoff, police shot tear gas in the room to force him to come. He came out holding something metallic which officers believed was a weapon so they shot him.</t>
  </si>
  <si>
    <t>Clements was suspected of sexual assault, and when officers arrived at his residence, he came out and shot an officer in the chest. Then, officers shot him to death.</t>
  </si>
  <si>
    <t>Officers responded to a call regarding a domestic situation, when they arrived they encountered Short with a firearm and was shot by a deputy.</t>
  </si>
  <si>
    <t>Pending investigaton</t>
  </si>
  <si>
    <t>http://wric.com/2015/08/04/state-police-armed-man-killed-after-officer-involved-shooting-in-powhatan-county/</t>
  </si>
  <si>
    <t>Malave attempted to burglarize the Horseshoe Pike Gun Shop, in Campbelltown, Pennsylvania, early Monday. A burglary alarm went off and law enforcement responded to the scene, which is about 15 minutes away from Harrisburg. Malave, carrying a rifle, fled into a nearby soybean field with bags and backpacks filled with guns. He was fatally shot by police during the encounter.</t>
  </si>
  <si>
    <t>Parole officers attempted to arrest Ruble when he attempted to leave his home, when they told him to stop he took out a gun and pointed it at officers before entering a detached garage which began a standoff. Negotiators tried to end the standoff peacefully but after multiple phone conversations with Ruble he allegedly started a fire in the garage before jumping from the second story of the building. Police say that Rubles gun was pointed at authorities when they engaged in gunfire, and Ruble was killed.</t>
  </si>
  <si>
    <t>Reynolds was driving the wrong way on a highway hitting other cars and eventually police cars when they arrived. Officers reported that Reynolds tried to back over them when they shot him. His daughter said that Reynolds had battled with mental illness and drug addiction.</t>
  </si>
  <si>
    <t>http://www.click2houston.com/news/driver-shot-killed-after-leading-police-on-chase-across-sw-houston/34492804</t>
  </si>
  <si>
    <t>Serrano was spotted with another woman at the site of recent homicide. When police arrived the man fled and was shot after gunfire was exchanged.</t>
  </si>
  <si>
    <t>http://tucson.com/news/blogs/police-beat/man-killed-in-tucson-police-shooting-linked-to-slaying/article_760fd780-3bd7-11e5-9927-0f42f589a5ea.html</t>
  </si>
  <si>
    <t>Cook was reportedly involved in a domestic dispute but fled the scene before an officer arrived. He was found at a nearby boat ramp where he shot at an officer, before the officer returned fire, according to police.</t>
  </si>
  <si>
    <t>Hutcheson ran into the lobby of a jail asking for help because his wife was out to kill him. Sheriff's officers were witnessed to have put a knee on his body and on his neck, despite Hutcheson saying that he couldn't breath. He died shortly thereafter. He'd been incarcerated recently for drugs, but witnesses say that he was not aggressive towards officers at all.</t>
  </si>
  <si>
    <t>E Liberty St &amp; Walnut St</t>
  </si>
  <si>
    <t>45202</t>
  </si>
  <si>
    <t>31811</t>
  </si>
  <si>
    <t>3451 Mountain Lion Drive</t>
  </si>
  <si>
    <t>80537</t>
  </si>
  <si>
    <t>5800 block S Southland Blvd</t>
  </si>
  <si>
    <t>85706</t>
  </si>
  <si>
    <t>500 block S Little Ave</t>
  </si>
  <si>
    <t>19th Street and South Ashland Avenue</t>
  </si>
  <si>
    <t>78249</t>
  </si>
  <si>
    <t>75604</t>
  </si>
  <si>
    <t>Mt. Vernon</t>
  </si>
  <si>
    <t>10553</t>
  </si>
  <si>
    <t>78255</t>
  </si>
  <si>
    <t>92108</t>
  </si>
  <si>
    <t>300 E Center St</t>
  </si>
  <si>
    <t>3600 block Penelope St.</t>
  </si>
  <si>
    <t>75210</t>
  </si>
  <si>
    <t>14600 Valerio St</t>
  </si>
  <si>
    <t>91405</t>
  </si>
  <si>
    <t>6000 block N 7th St</t>
  </si>
  <si>
    <t>200 MacArthur Blvd and Van Buren Ave</t>
  </si>
  <si>
    <t>5900 TN-153</t>
  </si>
  <si>
    <t>37343</t>
  </si>
  <si>
    <t>6420 W 9500 S</t>
  </si>
  <si>
    <t>84081</t>
  </si>
  <si>
    <t>37075</t>
  </si>
  <si>
    <t>19380</t>
  </si>
  <si>
    <t>Cerrillos Road and Beckner Road</t>
  </si>
  <si>
    <t>New Mexico State Police, Santa Fe Police Department, Santa Fe County Sheriff's Office</t>
  </si>
  <si>
    <t>13200 NW 7th Ave</t>
  </si>
  <si>
    <t>33592</t>
  </si>
  <si>
    <t>104 Mae Matilda Ct</t>
  </si>
  <si>
    <t>27263</t>
  </si>
  <si>
    <t>35016</t>
  </si>
  <si>
    <t>08724</t>
  </si>
  <si>
    <t>32220</t>
  </si>
  <si>
    <t>400 block Lakehurst Rd</t>
  </si>
  <si>
    <t>89145</t>
  </si>
  <si>
    <t>400 block 2nd Street</t>
  </si>
  <si>
    <t>55721</t>
  </si>
  <si>
    <t>Itasca County Sheriff's Office</t>
  </si>
  <si>
    <t>1215 Olive Drive</t>
  </si>
  <si>
    <t>10000 block Tinsbloom Mill Lane</t>
  </si>
  <si>
    <t>22485</t>
  </si>
  <si>
    <t>6100 block West Kellogg Dr.</t>
  </si>
  <si>
    <t>67209</t>
  </si>
  <si>
    <t>12182</t>
  </si>
  <si>
    <t>1117 Chamberwell Ave.</t>
  </si>
  <si>
    <t>27587</t>
  </si>
  <si>
    <t>75 North East Plaza</t>
  </si>
  <si>
    <t>21901</t>
  </si>
  <si>
    <t>100 block E. Huckleberry Drive</t>
  </si>
  <si>
    <t>98546</t>
  </si>
  <si>
    <t>3202 University Boulevard East</t>
  </si>
  <si>
    <t>35404</t>
  </si>
  <si>
    <t>S Archibald Ave &amp; E Riverside Dr</t>
  </si>
  <si>
    <t>91761</t>
  </si>
  <si>
    <t>45715</t>
  </si>
  <si>
    <t>Woodward Avenue and Square Lake Road</t>
  </si>
  <si>
    <t>Bloomfield Hills</t>
  </si>
  <si>
    <t>48302</t>
  </si>
  <si>
    <t>Bloomfield Police Department, Warren Police Department</t>
  </si>
  <si>
    <t>Highway 25 and Lemon St</t>
  </si>
  <si>
    <t>99137</t>
  </si>
  <si>
    <t>St Louis</t>
  </si>
  <si>
    <t>28786</t>
  </si>
  <si>
    <t>77026</t>
  </si>
  <si>
    <t>Stoneyhaven Way and Kirkhaven Ct San Jose, California</t>
  </si>
  <si>
    <t>3100 block Senter Road</t>
  </si>
  <si>
    <t>78028</t>
  </si>
  <si>
    <t>700 block San Aleso Ave</t>
  </si>
  <si>
    <t>93527</t>
  </si>
  <si>
    <t>4012 W 400 S Rd</t>
  </si>
  <si>
    <t>47243</t>
  </si>
  <si>
    <t>89706</t>
  </si>
  <si>
    <t>12701 Schabarum Ave</t>
  </si>
  <si>
    <t>91706</t>
  </si>
  <si>
    <t>Los Angeles County Sheriff's Office, Baldwin Park Police Department</t>
  </si>
  <si>
    <t>Walker Mill Rd &amp; Marlboro Pike</t>
  </si>
  <si>
    <t>Spauldings</t>
  </si>
  <si>
    <t>20743</t>
  </si>
  <si>
    <t>Prince George's Police Department</t>
  </si>
  <si>
    <t>06043</t>
  </si>
  <si>
    <t>78006</t>
  </si>
  <si>
    <t>Cawston Ave. and Acacia Ave.</t>
  </si>
  <si>
    <t>92545</t>
  </si>
  <si>
    <t>27th Street and Martin Luther King Jr. Way</t>
  </si>
  <si>
    <t>94612</t>
  </si>
  <si>
    <t>1137 Earl St.</t>
  </si>
  <si>
    <t>43605</t>
  </si>
  <si>
    <t>225 E Teague Dr</t>
  </si>
  <si>
    <t>88242</t>
  </si>
  <si>
    <t>Lea County Sheriff's Office and Hobbs Police Department</t>
  </si>
  <si>
    <t>76708</t>
  </si>
  <si>
    <t>79762</t>
  </si>
  <si>
    <t>E Guadalupe Rd &amp; N Val Vista Dr.</t>
  </si>
  <si>
    <t>85234</t>
  </si>
  <si>
    <t>3300 block N Butler Ave</t>
  </si>
  <si>
    <t>95116</t>
  </si>
  <si>
    <t>101 North Main Street</t>
  </si>
  <si>
    <t>18640</t>
  </si>
  <si>
    <t>4908 Greenwood Drive</t>
  </si>
  <si>
    <t>600 block E Sanson Ave</t>
  </si>
  <si>
    <t>3rd street and Kenney street</t>
  </si>
  <si>
    <t>29483</t>
  </si>
  <si>
    <t>W Shaw Ave &amp; N Hayes Ave</t>
  </si>
  <si>
    <t>93723</t>
  </si>
  <si>
    <t>89147</t>
  </si>
  <si>
    <t>1400 I-20</t>
  </si>
  <si>
    <t>Fifth St. and Penn St.</t>
  </si>
  <si>
    <t>59872</t>
  </si>
  <si>
    <t>Mineral County Sheriff's Office</t>
  </si>
  <si>
    <t>27858</t>
  </si>
  <si>
    <t>4024 Dyer St</t>
  </si>
  <si>
    <t>79930</t>
  </si>
  <si>
    <t>41018</t>
  </si>
  <si>
    <t>2150 Flat Shoals Rd</t>
  </si>
  <si>
    <t>30032</t>
  </si>
  <si>
    <t>S. 56th and Washington Street</t>
  </si>
  <si>
    <t>9050 W. Waterford Square</t>
  </si>
  <si>
    <t>53228</t>
  </si>
  <si>
    <t>2100 block West Cary Street</t>
  </si>
  <si>
    <t>23220</t>
  </si>
  <si>
    <t>Keopuolani Regional Park</t>
  </si>
  <si>
    <t>96732</t>
  </si>
  <si>
    <t>300 S 1st St</t>
  </si>
  <si>
    <t>40202</t>
  </si>
  <si>
    <t>Las Pulgas Rd &amp; I-5</t>
  </si>
  <si>
    <t>92058</t>
  </si>
  <si>
    <t>Orange County Sheriff's Office, US Border Patrol</t>
  </si>
  <si>
    <t>801 W Champaign Ave</t>
  </si>
  <si>
    <t>61866</t>
  </si>
  <si>
    <t>3800 block Martin Luther King Jr. Way</t>
  </si>
  <si>
    <t>94609</t>
  </si>
  <si>
    <t>2100 block Urbine Rd</t>
  </si>
  <si>
    <t>23139</t>
  </si>
  <si>
    <t>Powhatan County Sheriff's Office</t>
  </si>
  <si>
    <t>17078</t>
  </si>
  <si>
    <t>2100 block S Pershing Dr</t>
  </si>
  <si>
    <t>47302</t>
  </si>
  <si>
    <t>9900 Beechnut St</t>
  </si>
  <si>
    <t>307 Broadway Ave</t>
  </si>
  <si>
    <t>25143</t>
  </si>
  <si>
    <t>75207</t>
  </si>
  <si>
    <t>Santino Burce</t>
  </si>
  <si>
    <t>500 block Watkins St</t>
  </si>
  <si>
    <t>55051</t>
  </si>
  <si>
    <t>An officer shot Christen after he began repeatedly punching her in the head, police said. Christen had previously called 911 to say he "intended to kill someone" at an address on Watkins Street and crashed his car near the address shortly after the officer arrived at the scene, according to authorities.</t>
  </si>
  <si>
    <t>http://www.startribune.com/sheriff-deputy-fatally-shoots-man-attacking-him-in-mora/330238731/</t>
  </si>
  <si>
    <t>25801</t>
  </si>
  <si>
    <t>http://www.wowktv.com/story/30144266/wv-turnpike-shut-down-following-shots-fired-near-north-beckley</t>
  </si>
  <si>
    <t>Police arrived at Lundstrom's home in response to a report of domestic violence, according to authorities. Officers forced their way inside after Lundstrom refused to open the door and shot him when he approached with a "blunt object," police said.</t>
  </si>
  <si>
    <t>http://www.keloland.com/newsdetail.cfm/fatal-officer-involved-shooting/?id=185571</t>
  </si>
  <si>
    <t>1100 block W San Ysidro Blvd</t>
  </si>
  <si>
    <t>Hernandez answered the door with what appeared to be a gun when police arrived at his home in response to a 911 call, according to authorities. Hernandez followed the officers out of the apartment building, continuing to point his gun and ignoring commands to drop it before he was shot, police said. Police later said that the gun was a replica and not an actual firearm.</t>
  </si>
  <si>
    <t>http://www.latimes.com/local/lanow/la-me-ln-san-diego-police-fatal-shooting-20150928-story.html</t>
  </si>
  <si>
    <t>NW 119th St &amp; I-95</t>
  </si>
  <si>
    <t>33168</t>
  </si>
  <si>
    <t>Prosper crashed the car he was driving, a cab, on the highway and was running from the scene when police arrived, according to authorities. An officer caught up with Prosper, and the two began struggling near the side of the highway, police said. The officer said he tasered and then shot Prosper after he bit the officer's finger.</t>
  </si>
  <si>
    <t>http://www.miamiherald.com/news/local/crime/article36802032.html</t>
  </si>
  <si>
    <t>25 Cochran Dr</t>
  </si>
  <si>
    <t>30741</t>
  </si>
  <si>
    <t>Shell left his home with a shotgun after deputies responded to a domestic violence call, police said. Deputies shot Shell after he ignored their commands to drop his weapon, according to authorities.</t>
  </si>
  <si>
    <t>http://www.wrcbtv.com/story/30127734/suspect-dead-in-officer-involved-shooting-in-walker-county</t>
  </si>
  <si>
    <t>90011</t>
  </si>
  <si>
    <t>Guzman was reportedly holding a knife. Police have provided no further details and have not confirmed how many officers opened fire or if Guzman wielded the weapon at police.</t>
  </si>
  <si>
    <t>http://abc7.com/news/woman-fatally-shot-by-lapd-in-south-los-angeles-identified/1006621/</t>
  </si>
  <si>
    <t>600 block Robinson Rd</t>
  </si>
  <si>
    <t>76259</t>
  </si>
  <si>
    <t>Police responded to a shots fired call and found Coronado-Martinez armed with a gun, according to authorities. Coronado-Martinez shot at the officer and the officer returned fire, killing him, police said.</t>
  </si>
  <si>
    <t>http://www.dentonrc.com/local-news/local-news-headlines/20150928-ponder-officer-kills-man.ece</t>
  </si>
  <si>
    <t>Officers were investigating reports of shots fired at a home when Lerma reportedly told officers he had a gun. Police said Lerma "presented a threat" and shot him after he refused to drop his gun, according to authorities.</t>
  </si>
  <si>
    <t>http://www.kob.com/article/stories/s3923423.shtml#.ViQiFitENIr</t>
  </si>
  <si>
    <t>6648 Maplewood Dr</t>
  </si>
  <si>
    <t>70812</t>
  </si>
  <si>
    <t>Deputies responded to the home after a woman called 911 and found McKinney stabbing the woman, police said. McKinney died at the scene after being shot and the woman is in critical condition, according to authorities.</t>
  </si>
  <si>
    <t>http://theadvocate.com/news/acadiana/13551773-123/east-baton-rouge-deputies-investigating</t>
  </si>
  <si>
    <t>US Hwy 27 &amp; Holly Springs Rd</t>
  </si>
  <si>
    <t>Georgia State Patrol</t>
  </si>
  <si>
    <t>Chinchilla and another girl, Kylie Lindsey, were passengers in a car that was struck by a trooper as it turned in front of the trooper's path, police said. The trooper, who has been fired, was driving about 30 mph over the posted speed limit seconds before hitting the car, according to authorities.</t>
  </si>
  <si>
    <t>http://www.al.com/news/index.ssf/2015/10/georgia_state_trooper_fired_fo.html</t>
  </si>
  <si>
    <t>Lindsey and another girl, Isabella Chinchilla, were passengers in a car that was struck by a trooper as it turned in front of the trooper's path, police said. The trooper, who has been fired, was driving about 30 mph over the posted speed limit seconds before hitting the car, according to authorities.</t>
  </si>
  <si>
    <t>60651</t>
  </si>
  <si>
    <t>Police said they were responding to a disturbance when they encountered Anderson, who allegedly refused to drop a box cutter. Police said they tried to shock him with a Taser two times before resorting to deadly force. Anderson's mother disputes the police account and says officers never attempted to use a Taser.</t>
  </si>
  <si>
    <t>http://wgntv.com/2015/09/26/man-killed-in-officer-involved-shooting-on-west-side/</t>
  </si>
  <si>
    <t>9200 block S. Steven Trail</t>
  </si>
  <si>
    <t>86332</t>
  </si>
  <si>
    <t>Deputies were responding to reports of a suspect firing shots at party. Authorities said when they arrived, Blood went to a car, grabbed a gun and began firing 'in a threatening manner.'</t>
  </si>
  <si>
    <t>http://www.azfamily.com/story/30135717/ycso-identifies-deputies-who-shot-killed-armed-suspect</t>
  </si>
  <si>
    <t>500 block North Main St</t>
  </si>
  <si>
    <t>44310</t>
  </si>
  <si>
    <t>Surveillance footage appears to show Lemmon and another man robbing a store and then running outside. Police confronted Lemmon behind a building and he was shot.</t>
  </si>
  <si>
    <t>http://www.wkyc.com/story/news/local/akron/2015/09/25/akron-police-shoot-kill-robbery-suspect/72829710/</t>
  </si>
  <si>
    <t>11201 SW 197th St</t>
  </si>
  <si>
    <t>33157</t>
  </si>
  <si>
    <t>Officers responding to a domestic disturbance arrived to find that a woman and a child, Lopez's wife and son, had been stabbed. Police said there was an altercation between Lopez and officers which led to him being shot.</t>
  </si>
  <si>
    <t>http://www.local10.com/news/policeinvolved-shooting-in-miami/35454894</t>
  </si>
  <si>
    <t>775 Legend Oak Dr</t>
  </si>
  <si>
    <t>Police have released few details about the shooting, but said that officers responded to a disturbance call and that they shot O'Grady, who was armed, after entering the house.</t>
  </si>
  <si>
    <t>http://gazette.com/fountain-police-officer-who-fatally-shot-teen-is-identified/article/1560162</t>
  </si>
  <si>
    <t>600 block S. Canton St</t>
  </si>
  <si>
    <t>55102</t>
  </si>
  <si>
    <t>Officers responded to a report of a suicidal man and shot Quinn when he allegedly advanced at them with a screwdriver and refused commands to stop.</t>
  </si>
  <si>
    <t>http://www.startribune.com/st-paul-man-killed-in-officer-involved-shooting-is-identified/329566071/</t>
  </si>
  <si>
    <t>46237</t>
  </si>
  <si>
    <t>An off-duty officer hit Bowling, who was walking on the road, with his patrol car, according to authorities. Bowling died from "multiple blunt force trauma," according to a local coroner.</t>
  </si>
  <si>
    <t>http://wishtv.com/2015/09/25/police-possibly-impaired-officer-hits-kills-pedestrian/</t>
  </si>
  <si>
    <t>1800 block Tulip Street</t>
  </si>
  <si>
    <t>19805</t>
  </si>
  <si>
    <t>Police responded to the area following reports that McDole had shot himself, according to authorities. Officers said they fatally shot the armed man, who was in a wheelchair, some time after arriving at his home. A bystander video depicts the man adjusting himself in his chair before officers open fire.</t>
  </si>
  <si>
    <t>http://www.delawareonline.com/story/news/local/2015/09/24/justice-dept-investigates-police-involved-shooting/72737332/</t>
  </si>
  <si>
    <t>75069</t>
  </si>
  <si>
    <t>Collin</t>
  </si>
  <si>
    <t>Khammash was allegedly holding his ex-wife and their child in a van against their will. Police were taking Khammash into custody when he pulled out a gun and shot at officers, prompting them to return fire, according to authorities.</t>
  </si>
  <si>
    <t>http://www.wfaa.com/story/news/crime/2015/09/24/mckinney-police-violence-shooting-officers-joseph-khammash/72761076/</t>
  </si>
  <si>
    <t>21136</t>
  </si>
  <si>
    <t>An employee at a pharmacy called police to report that McLeod had tried to use a fake prescription, police said. The responding officer spotted McLeod in a parking lot near the pharmacy and fatally shot him after he reached "around to the small of his back and abruptly [whipped] his hand around and [pointed] it toward the officer, as if with a weapon," according to authorities.</t>
  </si>
  <si>
    <t>http://www.baltimoresun.com/news/maryland/baltimore-county/bs-md-police-man-shot-reisterstown-20150923-story.html</t>
  </si>
  <si>
    <t>12000 block Comers Rock Rd</t>
  </si>
  <si>
    <t>24378</t>
  </si>
  <si>
    <t>Grayson</t>
  </si>
  <si>
    <t>A deputy arrived at Pinter's home to investigate two previous hit-and-runs, police said. While the deputy was interviewing Pinter, he pulled out a gun and fired a shot toward the deputy, who returned fire, according to authorities.</t>
  </si>
  <si>
    <t>http://wsls.com/2015/09/24/grayson-county-deputy-involved-deadly-shooting/</t>
  </si>
  <si>
    <t>838 S. Roberta St</t>
  </si>
  <si>
    <t>Berger allegedly broke into two homes and was stabbing a woman in the second when officers shot him. Police said the woman's condition is unknown.</t>
  </si>
  <si>
    <t>http://fox13now.com/2015/09/23/officer-kills-burglary-suspect-found-stabbing-woman-in-salt-lake-break-in/</t>
  </si>
  <si>
    <t>17199 E 14th St</t>
  </si>
  <si>
    <t>Osborne was killed in a shootout with police after alleged involvement in an attempted carjacking and a drive-by shooting earlier that morning. The man shot at officers before attempting to flee and engaged in the shootout with deputies, police said.</t>
  </si>
  <si>
    <t>http://www.sfgate.com/news/article/Man-shot-dead-by-deputies-in-San-Leandro-gun-6527763.php</t>
  </si>
  <si>
    <t>100 block Spur Ranch Ave</t>
  </si>
  <si>
    <t>Anderson was threatening people inside his house with a shotgun and later barricaded himself inside in a "hostage situation," police said. When a Swat team arrived, Anderson left his home and exchanged gunfire with officers, according to authorities. Two officers were treated for minor gunshot wounds.</t>
  </si>
  <si>
    <t>http://www.reviewjournal.com/news/las-vegas/man-killed-north-las-vegas-officers-shootout-idd</t>
  </si>
  <si>
    <t>32578</t>
  </si>
  <si>
    <t>Smith, who had been served a restraining order based on domestic abuse, was turning in his guns to a deputy when he shot the deputy from behind, police said. Smith fled the scene and barricaded himself in a hotel room, which he left firing after police arrived, according to authorities.</t>
  </si>
  <si>
    <t>http://www.nbcnews.com/news/us-news/gunman-fatally-shoots-florida-deputy-outside-law-office-n431866</t>
  </si>
  <si>
    <t>FL-40 &amp; Co Rd 3</t>
  </si>
  <si>
    <t>32180</t>
  </si>
  <si>
    <t>Deputies stopped the car that Wagner was riding in for a faulty tail light and were speaking with the driver, a pregnant woman, when Wagner began shooting at the deputies, police said. The officers returned fire, killing Wagner. The woman was shot in the shoulder during the exchange and is being treated for her injuries, police said.</t>
  </si>
  <si>
    <t>http://www.clickorlando.com/news/man-killed-pregnant-woman-injured-during-shootout/35407050</t>
  </si>
  <si>
    <t>1200 Dixie Drive</t>
  </si>
  <si>
    <t>33823</t>
  </si>
  <si>
    <t>Fuller fled the area after officers responded to reports of suspicious activity, police said. When police caught up with Fuller, a deputy shot him after he raised his right hand holding what the deputy thought was a gun, according to authorities. Police later learned Fuller was holding a stapler.</t>
  </si>
  <si>
    <t>http://www.orlandosentinel.com/news/breaking-news/os-polk-deputy-involved-shooting-death-20150922-story.html</t>
  </si>
  <si>
    <t>US-82 &amp; US-271</t>
  </si>
  <si>
    <t>A trooper was approaching McKenney to check on his well being when McKenney became angry and the two started to struggle, police said. The trooper used his Taser to no effect before fatally shooting McKenney, according to local media.</t>
  </si>
  <si>
    <t>http://www.kltv.com/story/30089332/identity-of-man-killed-in-altercation-with-dps-trooper-released</t>
  </si>
  <si>
    <t>75230</t>
  </si>
  <si>
    <t>Witnesses said Ramirez was firing a gun near an apartment complex, according to authorities. Officers said they shot Ramirez during a confrontation and that he was suicidal.</t>
  </si>
  <si>
    <t>http://crimeblog.dallasnews.com/2015/09/police-investigating-officer-involved-shooting-in-north-dallas.html/</t>
  </si>
  <si>
    <t>738 Canton Rd</t>
  </si>
  <si>
    <t>44312</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</si>
  <si>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</si>
  <si>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Officers were approached Money and a man, William Spaits, in the parking lot of a Target to serve outstanding warrants when the two ran to their car and began shooting at the officers, police said. The officers returned fire, killing both Spaits and Money, according to authorities. The officers sustained non-life threatening wounds.</t>
  </si>
  <si>
    <t>http://www.montereyherald.com/general-news/20150922/sand-city-shooting-mother-of-dead-suspect-recalls-sons-troubles</t>
  </si>
  <si>
    <t>Officers were approached Spaits and a woman, Tina Money, in the parking lot of a Target to serve outstanding warrants when the two ran to their car and began shooting at the officers, police said. The officers returned fire, killing both Spaits and Money, according to authorities. The officers sustained non-life threatening wounds.</t>
  </si>
  <si>
    <t>800 block W Washington St</t>
  </si>
  <si>
    <t>46176</t>
  </si>
  <si>
    <t>Police said the man was shot after walking out of a home and opening fire on officers following a nine-hour standoff. The officers were responding to reports of a dispute from a woman inside the house.</t>
  </si>
  <si>
    <t>http://fox59.com/2015/09/23/exclusive-video-neighbors-call-police-action-shooting-into-question/</t>
  </si>
  <si>
    <t>1200 block Pipestone Rd</t>
  </si>
  <si>
    <t>Bedford was crossing the street when she was hit by an officer's squad car, police said. The officer was responding to a domestic disturbance call, according to authorities.</t>
  </si>
  <si>
    <t>http://www.wsbt.com/news/local/police-benton-charter-twp-officer-strikes-kills-pedestrian/35391048</t>
  </si>
  <si>
    <t>22802</t>
  </si>
  <si>
    <t>Pierce allegedly refused to drop his gun after encountering officers who were responding to a report of a disturbance at a home.</t>
  </si>
  <si>
    <t>http://www.dnronline.com/article/hpd_officer_shooting</t>
  </si>
  <si>
    <t>6400 Marine Dr</t>
  </si>
  <si>
    <t>98271</t>
  </si>
  <si>
    <t>The man died after fighting with officers who had detained him and were trying to place him in a patrol car, according to authorities. The officers were responding to a report of a man walking in the road within a Native American reservation.</t>
  </si>
  <si>
    <t>http://www.komonews.com/news/local/Officials-Man-dies-during-altercation-with-police-in-Tulalip-328375921.html</t>
  </si>
  <si>
    <t>Gause Blvd &amp; I-10</t>
  </si>
  <si>
    <t>Slidell</t>
  </si>
  <si>
    <t>70461</t>
  </si>
  <si>
    <t>St. Tammany Parish Sheriff's Office, Louisiana State Police, Slidell Police Department</t>
  </si>
  <si>
    <t>Lucien Rolland was hit by 18 bullets and killed when he allegedly emerged armed from his pickup truck after a chase on I-10. A St. Tammany deputy had reportedly attempted to stop a white GMC Sierra traveling at a very low speed in the center lane of Pontchartrain Drive near Southside Cafe at around 2:30 a.m. The deputy turned on his lights, which apparently prompted Rolland, the driver, to accelerate toward the US 11 bridge over Lake Pontchartrain. A male passenger reportedly jumped out and ran away before the truck sped off, and later told investigators that he demanded to be let out as Rolland fired a gun at deputies. The chase entered Orleans Parish on the south side of the lake before the pickup looped onto I-10 and headed back toward the north shore with Rolland allegedly continuing to shoot at deputies. State troopers joined the chase as Rolland led officers back across the lake on I-10, where Slidell Police joined in the chase. Troopers deployed a stop strip on the highway near the Old Spanish Trail exit, puncturing one of the Sierra's tires. The pickup eventually came to a stop on the Gause Boulevard overpass. Rolland allegedly exited the truck holding a handgun and "challenged" the officers who "engaged the individual and neutralized the threat," Sheriff Jack Strain said. Officers from all three agencies fired shots, and Rolland died at the scene shortly after 3 a.m. St. Tammany Parish Coroner Dr. Charles Preston said Rolland suffered wounds to his chest, abdomen, pelvis and extremities. The extent of Rolland's internal injuries made it impossible to determine which shot was fatal, Preston said.</t>
  </si>
  <si>
    <t>http://www.nola.com/crime/index.ssf/2015/09/man_who_shot_at_police_during.html</t>
  </si>
  <si>
    <t>1420 Freeman Loop</t>
  </si>
  <si>
    <t>37051</t>
  </si>
  <si>
    <t>Dickson</t>
  </si>
  <si>
    <t>Deputies said they shot Herrell at his mother's house while they responded to a call from relatives reporting that he was distressed and had a gun. Family members said they disputed an allegation from authorities that Herrell reached for his shotgun.</t>
  </si>
  <si>
    <t>http://www.tennessean.com/story/news/local/dickson/2015/09/18/dickson-co-man-fatally-shot-interaction-deputy/72415822/</t>
  </si>
  <si>
    <t>19250 Co Rd 34</t>
  </si>
  <si>
    <t>St. Stephens</t>
  </si>
  <si>
    <t>36569</t>
  </si>
  <si>
    <t>Washington County Sheriff's Office, Chatom Police Department</t>
  </si>
  <si>
    <t>A deputy shot and killed Scott Beech when he allegedly pulled a gun on the officer during a traffic stop.</t>
  </si>
  <si>
    <t>http://raycomgroup.worldnow.com/story/30082367/washington-county-sheriff-says-deputy-justified-in-shooting</t>
  </si>
  <si>
    <t>34.198852, -117.371539</t>
  </si>
  <si>
    <t>San Bernardino County Sheriff's Office</t>
  </si>
  <si>
    <t>Johnson, a home burglary suspect, was shot by deputies from a helicopter during a high-speed chase. He collapsed after fleeing his SUV when he crashed into another vehicle.</t>
  </si>
  <si>
    <t>http://www.pe.com/articles/activity-780802-police-freeway.html</t>
  </si>
  <si>
    <t>40409</t>
  </si>
  <si>
    <t>Rockcastle</t>
  </si>
  <si>
    <t>Kentucky State Police, Rockcastle County Sheriff's Office</t>
  </si>
  <si>
    <t>Law enforcement arrived at Price's house in response to a domestic violence call, according to authorities. Price left his home waving a gun and exchanged shots with officers, police said.</t>
  </si>
  <si>
    <t>http://www.wkyt.com/home/headlines/KSP-investigating-deadly-officer-involved-shooting-in-Rockcastle-County-328144451.html</t>
  </si>
  <si>
    <t>48612</t>
  </si>
  <si>
    <t>Gladwin</t>
  </si>
  <si>
    <t>Michigan State Police</t>
  </si>
  <si>
    <t>When deputies responded to the scene, Gary fired shots at their car and retreated into his house and periodically fired shots out of windows, according to authorities. State police shot Gary when he pointed a gun at them and walked toward them, officials said.</t>
  </si>
  <si>
    <t>http://www.9and10news.com/story/30057906/gladwin-county-man-dead-after-shooting-at-deputies</t>
  </si>
  <si>
    <t>4400 block Lee St.</t>
  </si>
  <si>
    <t>71302</t>
  </si>
  <si>
    <t>A US Marshal shot and killed Bobby R. Anderson, who was allegedly armed and threatened officers as they attempted to arrest him. Members of a US Marshals Violent Offender Task Force were trying to serve Anderson around 3 p.m. with warrants charging him with two counts of attempted second-degree murder, burglary, two counts of forgery, unauthorized use of a motor vehicle and misrepresentation during booking. The warrants were from both Alexandria police and the Rapides Parish Sheriff's Office, both of which had members on the task force. A preliminary report said officers located Anderson at the Save More convenience store where, according to a news release, "Anderson was reportedly armed and threatened officers as they were attempting to take him into custody, resulting in a Task Force Member discharging his duty weapon, striking Anderson... Crime scene personnel did collect a firearm believed to be possessed by Anderson at the time of the shooting."</t>
  </si>
  <si>
    <t>http://www.cenlanow.com/news/local-news/apd-releases-statement-about-officer-involved-shooting</t>
  </si>
  <si>
    <t>4100 block Willimet St</t>
  </si>
  <si>
    <t>90039</t>
  </si>
  <si>
    <t>Officers responded to a report of shots fired and fatally wounded Wilhelm when he "engaged" with officers, police said. Wilhelm is suspected of killing a 55-year-old woman before he was shot by police, according to authorities.</t>
  </si>
  <si>
    <t>http://www.latimes.com/local/lanow/la-me-ln-lapd-homicide-suspect-dies-20150917-story.html</t>
  </si>
  <si>
    <t>57754</t>
  </si>
  <si>
    <t>According to authorities, Gunderman fired shots at sheriff's deputies during a pursuit on foot and the deputies fired back, injuring Gunderman. The chase ensued after Gunderman drove a reportedly stolen vehicle onto a dead-end road near a ski resort.</t>
  </si>
  <si>
    <t>http://www.ksfy.com/home/headlines/Suspect-shot-during-chase-near-ski-resort-in-Lead-dies-327960971.html</t>
  </si>
  <si>
    <t>St. Bernard Highway and Andres Street</t>
  </si>
  <si>
    <t>70043</t>
  </si>
  <si>
    <t>St. Bernard</t>
  </si>
  <si>
    <t>St. Bernard Parish Sheriff's Office</t>
  </si>
  <si>
    <t>Deputies shot and killed Tyrone Bass after he allegedly stabbed a deputy in the back of the head with a railroad spike during an altercation. At about 2 p.m., a deputy initiated a traffic stop. Shortly after, there was allegedly some kind of altercation during which the deputy was stabbed. The deputy called for backup and two other deputies arrived. Bass was shot and was pronounced dead on the scene. The injured deputy was treated and released from the hospital that day. Bass was shot three times, St. Bernard Parish Coroner Bryan Bertucci said.</t>
  </si>
  <si>
    <t>http://www.theneworleansadvocate.com/news/13509012-75/man-was-shot-by-st</t>
  </si>
  <si>
    <t>W 8th St &amp; Woodlawn Ave</t>
  </si>
  <si>
    <t>35150</t>
  </si>
  <si>
    <t>Talladega</t>
  </si>
  <si>
    <t>A Talladega County sheriff’s deputy shot and killed Derek Davis.</t>
  </si>
  <si>
    <t>http://wiat.com/2015/09/13/family-of-man-killed-in-deputy-involved-shooting-speaks-out/</t>
  </si>
  <si>
    <t>37931</t>
  </si>
  <si>
    <t>A SWAT team was sent to Stevens' house after he confronted a retired officer with a gun and then refused to turn himself in or leave his house, police said. The team responded to shots from Stevens with a chemical agent, but Stevens refused to leave, according to authorities. An officer shot Stevens after he pointed his gun at the Swat team when they entered his home, police said.</t>
  </si>
  <si>
    <t>http://www.wbir.com/story/news/2015/09/12/armed-suspect-shot-and-killed--kcso-swat-team/72174344/</t>
  </si>
  <si>
    <t>12175 W Dillon Rd</t>
  </si>
  <si>
    <t>80026</t>
  </si>
  <si>
    <t>Broomfield police officers responded to a robbery in progress at TCF Bank. Police got a report that the suspect was in a full-sized, white pickup truck leaving the area. A similar vehicle was spotted by an officer and the vehicle stopped. Gunfire was exchanged between the officer and the suspect, but police did not know who shot first.</t>
  </si>
  <si>
    <t>http://www.denverpost.com/news/ci_28818708/robbery-suspect-shot-friday-by-broomfield-pd-died</t>
  </si>
  <si>
    <t>Chestnut Street and Pleasant Avenue</t>
  </si>
  <si>
    <t>95240</t>
  </si>
  <si>
    <t>Detectives spotted a man outside a McDonald’s restaurant on West Lodi Avenue who was wanted in connection with a recent shooting. Reid brandished a handgun and exchanged gunfire with police as he ran west on West Lodi Avenue and south on South Pleasant Avenue.</t>
  </si>
  <si>
    <t>http://www.recordnet.com/article/20150910/NEWS/150919974</t>
  </si>
  <si>
    <t>6775 Dunsany Ln</t>
  </si>
  <si>
    <t>Indiana State Police</t>
  </si>
  <si>
    <t>Authorities were involved in a drug investigation at Eagle Pointe Apartments. The suspect, later identified as Brandon Foy, allegedly drew a gun on a trooper and a foot chase began, and Foy jumped over a fence. The trooper followed. Shots were fired, and Foy died at the scene.</t>
  </si>
  <si>
    <t>http://fox59.com/2015/09/10/officer-shot-in-hand-on-northwest-side/</t>
  </si>
  <si>
    <t>90240</t>
  </si>
  <si>
    <t>Los Angeles County Sheriff's Office</t>
  </si>
  <si>
    <t>Police said Tapia robbed a pharmacy of money at gunpoint, and was fatally shot minutes later after he pointed a gun at officers from his car during a brief pursuit.</t>
  </si>
  <si>
    <t>http://ktla.com/2015/09/11/suspected-carjacker-fatally-shot-by-deputies-after-taking-hostages-at-downey-restaurant-authorities/</t>
  </si>
  <si>
    <t>401 Swan St</t>
  </si>
  <si>
    <t>13676</t>
  </si>
  <si>
    <t>St. Lawrence</t>
  </si>
  <si>
    <t>Officers arrived at the scene to find the man repeatedly stabbing a woman and himself, police said. Officers fatally shot the man after he ignored commands to stop, according to authorities. Police said the woman died from her wounds.</t>
  </si>
  <si>
    <t>http://www.syracuse.com/state/index.ssf/2015/09/police_id_clarkson_students_who_died_in_stabbing_officer-involved_shooting.html?hootPostID=0d0dfea04a7259e481e5dcbb19168d52</t>
  </si>
  <si>
    <t>1978 Holmgren Way</t>
  </si>
  <si>
    <t>54304</t>
  </si>
  <si>
    <t>Kuik was identified as the suspect of an armed robbery and officers spotted his car and pulled him over in the parking lot of a hotel. Kuik got out of the driver's seat with a gun and refused to listen to officers' commands. He started entering the hotel, and gunfire was exchanged between him and officers.</t>
  </si>
  <si>
    <t>http://fox11online.com/news/local/green-bay/ashwaubenon-police-release-identity-of-armed-robbery-suspect</t>
  </si>
  <si>
    <t>4408 Monroe Avenue</t>
  </si>
  <si>
    <t>http://www.kansascity.com/news/local/crime/article34741230.html</t>
  </si>
  <si>
    <t>Bradway Road and Dennis Road</t>
  </si>
  <si>
    <t>99705</t>
  </si>
  <si>
    <t>Fairbanks North Star</t>
  </si>
  <si>
    <t>Troopers attempted to stop a car for failing to use a turn signal. Perdue was in the driver's seat with a 20-year-old woman in the passenger seat. The car didn't stop as directed by police. Instead, Perdue accelerated and headed eastbound on the Richardson Highway before turning onto Badger Road. During the chase, Perdue and the woman both leaned out the car’s windows to shoot at police. The chase finally came to an end when the car went into a ditch when the driver tried to avoid hitting a tire deflation device set up by police. But when Perdue and the woman passed Fairbanks police and troopers, striking a police vehicle, four troopers, and one police officer fired their guns at them.</t>
  </si>
  <si>
    <t>http://www.adn.com/article/20150910/troopers-identify-man-killed-shootout-police-fairbanks</t>
  </si>
  <si>
    <t>3900 block Glen Way</t>
  </si>
  <si>
    <t>91731</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</si>
  <si>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</si>
  <si>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http://www.sgvtribune.com/general-news/20150910/second-victim-in-el-monte-attack-dies-after-being-set-on-fire</t>
  </si>
  <si>
    <t>1000 block Abington Rd.</t>
  </si>
  <si>
    <t>Officers confronted Miller after a neighbor caught him trying to steal a Jeep. Officers used the stun gun twice as they tried to subdue Miller; once before he was handcuffed, and again after he was shackled. He stopped breathing at one point during the struggle.</t>
  </si>
  <si>
    <t>http://www.ohio.com/news/break-news/springfield-township-man-dies-after-confrontation-with-police-involving-taser-1.624097</t>
  </si>
  <si>
    <t>99709</t>
  </si>
  <si>
    <t>Tristan Vent was contacted by troopers during a traffic stop near the Davis Road ball fields when authorities saw he had been driving a stolen vehicle. Vent was armed, and officers opened fire when attempts to negotiate and use less-lethal force were unsuccessful.</t>
  </si>
  <si>
    <t>http://www.ktuu.com/news/news/troopers-named-in-fairbanks-shooting-of-man-driving-stolen-vehicle/35223554</t>
  </si>
  <si>
    <t>Casillas tried to elude officers when they attempted a routine traffic stop. Casillas sped away, and officers broke off a pursuit after Casillas drove through several traffic lights. Officers again tried to stop Casillas, but he drove to Clovis Avenue and Lansing Way, where he ran from the car. Several officers approached the home where Casillas was reportedly hiding. Officers found Casillas hiding in a backyard, holding a 2-foot-long metal pipe. He refused to surrender and ran toward a police officer with the pipe, so the officer fired his gun and struck Casillas.</t>
  </si>
  <si>
    <t>http://www.fresnobee.com/news/local/crime/article34390473.html</t>
  </si>
  <si>
    <t>8500 block Whitcomb Ave</t>
  </si>
  <si>
    <t>48228</t>
  </si>
  <si>
    <t>An off-duty officer was grilling in his backyard when his neighbor jumped the fence. The two men got into a physical fight, and the officer struck the man in the head, knocking him down. Wheeler was pronounced dead at the scene by a medic.</t>
  </si>
  <si>
    <t>http://www.wxyz.com/news/region/detroit/lathrup-village-police-officer-allegedly-kills-man-during-fight-on-detroits-west-side</t>
  </si>
  <si>
    <t>Police arrived at Verrett after they were called in reference to a domestic battery incident. Deputies say when they arrived Tanya Verrett said her husband, William Verrett had “battered her,” and he had a shotgun. Police say they fired and hit him several times. William Verrett died from his injuries on scene.</t>
  </si>
  <si>
    <t>http://archive.currentargus.com/carlsbad-news/ci_28783767/man-shot-and-killed-by-hobbs-police-was</t>
  </si>
  <si>
    <t>87004</t>
  </si>
  <si>
    <t>Sandoval</t>
  </si>
  <si>
    <t>Bernalillo Police Department</t>
  </si>
  <si>
    <t>The man was a passenger in a car that witnesses said had rear-ended another car in a Walmart parking lot. The man then allegedly got out and ran into the store and began knocking over items and fighting with staff. Police struggled with the man, eventually handcuffing him and taking him outside, where he collapsed.</t>
  </si>
  <si>
    <t>http://www.koat.com/news/disturbance-at-walmart-ends-with-man-dying-in-police-custody/35138362</t>
  </si>
  <si>
    <t>33135</t>
  </si>
  <si>
    <t>Miami police were called to a domestic violence incident at a home. When officers arrived, a woman was discovered with several lacerations to her body. According to officers, Yero drove off in his SUV, but returned to his home minutes later and tried to go inside. Police said Yero was unable to get in and pointed his gun at police. After failing to comply with officers' orders to drop his gun, police shot Yero.</t>
  </si>
  <si>
    <t>http://www.local10.com/news/man-shot-and-killed-by-miami-police-after-domestic-violence-incident/35139464</t>
  </si>
  <si>
    <t>2900 block Holly St.</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</si>
  <si>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</si>
  <si>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</si>
  <si>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612 Highland Ave</t>
  </si>
  <si>
    <t>FBI agents were executing a search warrant at a home in connection with child abuse images, according to authorities. While executing the warrant, officers opened fire and the man was killed, police said. Additional details, including whether the man was a suspect, have not been released.</t>
  </si>
  <si>
    <t>http://www.nbcphiladelphia.com/news/breaking/Chester-Shooting-Hayes-6th-326599641.html</t>
  </si>
  <si>
    <t>16700 block Valley Boulevard</t>
  </si>
  <si>
    <t>An officer was conducting a "pedestrian check" on the man when he produced a knife and threatened the officer, prompting the officer to shoot him, police said. No additional details have been released.</t>
  </si>
  <si>
    <t>http://www.sbsun.com/general-news/20150910/man-shot-killed-by-fontana-police-officer</t>
  </si>
  <si>
    <t>Cosentino had been trapped in an elevator when police said he began to fight with the police and firefighters who arrived to rescue him. Shortly after, Cosentino asked for medical assistance and became unresponsive. He seemingly suffered from a cardiac arrest and was pronounced dead at the hospital.</t>
  </si>
  <si>
    <t>http://www.providencejournal.com/article/20150907/NEWS/150909454</t>
  </si>
  <si>
    <t>https://www.washingtonpost.com/local/with-6-month-old-baby-in-car-both-parents-killed-by-virginia-beach-police/2015/09/08/2e64a83c-565a-11e5-8bb1-b488d231bba2_story.html</t>
  </si>
  <si>
    <t>1700 block Angier Ave</t>
  </si>
  <si>
    <t>Police received a call about an "armed suicidal male." Once on the scene, hostage negotiators continued to try to get Biggs to cooperate for over half an hour, according to police. Authorities said they began firing at Biggs once he started walking toward the officers.</t>
  </si>
  <si>
    <t>http://abc11.com/news/armed-man-killed-after-police-standoff-in-durham/971330/</t>
  </si>
  <si>
    <t>Police fatally shot a man allegedly armed with a metal pipe after responding to a domestic violence call in Ontario. The man was pronounced dead after being struck by gunfire.</t>
  </si>
  <si>
    <t>http://www.nbclosangeles.com/news/local/Ontario-Police-Shooting-324830551.html</t>
  </si>
  <si>
    <t>3200 block Ladoga Ave</t>
  </si>
  <si>
    <t>Officers were called to a home in response to complaints that Ornelas was under the influence of narcotics and acting violently. When they arrived, the officers found Ornelas "bleeding profusely, possibly from cuts that he sustained while breaking out the windows. Ornelas attempted to flee the home, leading officers to confront him with "non-lethal means, which included ... an electronic control device, physical force, and a carotid restraint," to take him into custody. Once he was subdued, officers monitored his condition, but he went into cardiac arrest. The officers then initiated life-saving measures, but Ornelas was pronounced dead after being transported to a hospital.</t>
  </si>
  <si>
    <t>http://www.latimes.com/local/lanow/la-me-ln-in-custody-death-long-beach-20150906-story.html</t>
  </si>
  <si>
    <t>500 block N Mentzer St</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</si>
  <si>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</si>
  <si>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</si>
  <si>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8399 W Ohio St</t>
  </si>
  <si>
    <t>47432</t>
  </si>
  <si>
    <t>Officer responded to domestic violence call about Damiani strangling his wife. When they got to the scene, Damiani charged them while swinging a metal pipe and was fatally shot.</t>
  </si>
  <si>
    <t>http://www.wlky.com/news/1-dead-after-officer-involvedshooting-in-french-lick/35109748</t>
  </si>
  <si>
    <t>E Main St and N 2nd St</t>
  </si>
  <si>
    <t>17935</t>
  </si>
  <si>
    <t>State police arrived on the scene when they were called about a man running deliriously up and down the street trying to get into cars. Markus would not respond to commands, was tasered, and went into cardiac arrest when he was being put into handcuffs.</t>
  </si>
  <si>
    <t>http://timesleader.com/news/local/380612/schuylkill-county-man-dies-after-being-tased-by-police</t>
  </si>
  <si>
    <t>CA 169 and CA 96</t>
  </si>
  <si>
    <t>Weitchpec</t>
  </si>
  <si>
    <t>95546</t>
  </si>
  <si>
    <t>Kelley allegedly fired a gun at an officer during a pursuit, and the officer returned fire, killing him.</t>
  </si>
  <si>
    <t>http://lostcoastoutpost.com/2015/sep/5/man-shot-killed-near-weitchpec-shootout-hoopa-trib/</t>
  </si>
  <si>
    <t>76082</t>
  </si>
  <si>
    <t>Parker County Sheriff's Office</t>
  </si>
  <si>
    <t>Sully Lanier called 911 repeatedly and demanded to talk to deputies. He told dispatchers that he was in possession of a firearm. Deputies traveled to the source of the call and upon their arrival Lanier refused to disarm himself and leave the residence.He began threatening the life of the officers. Authorities say Lanier sounded incoherent and continued to call 911 with deputies at the scene. Lanier, armed with an AR-15, eventually exited the home and charged at law enforcement despite verbal commands for him to get on the ground. Lanier fired off five shots before deputies returned fire.</t>
  </si>
  <si>
    <t>http://www.wfaa.com/story/news/crime/2015/09/05/parker-county-shooting-suspect-springtown/71796330/</t>
  </si>
  <si>
    <t>8 Joppa Rd</t>
  </si>
  <si>
    <t>03054</t>
  </si>
  <si>
    <t>Police responded to reports from Lambert's father that he had been threatened by Lambert with a knife. Lambert was waiting at the bottom of the driveway with weapon when police showed up, then was shot. Details of what occurred between the time police saw Lambert at end of driveway and him being shot are not clear.</t>
  </si>
  <si>
    <t>http://www.nh1.com/news/nh-ag-merrimack-man-shot-by-police-has-died-of-gunshot-wounds/</t>
  </si>
  <si>
    <t>4355 Marlow Rd</t>
  </si>
  <si>
    <t>86305</t>
  </si>
  <si>
    <t>Officers were called to scene where Bates was shooting toward neighbor's home. When Bates ignored officer's direction to drop his gun and began walking toward them, officers fired.</t>
  </si>
  <si>
    <t>http://dcourier.com/main.asp?SectionID=1&amp;subsectionID=1086&amp;articleID=149431</t>
  </si>
  <si>
    <t>211 Federal St</t>
  </si>
  <si>
    <t>A robbery was reported at First Community Bank, and police exchanged fire with Williams, who was heavily armed, fatally wounding him.</t>
  </si>
  <si>
    <t>http://www.wvva.com/story/29931732/2015/09/01/police-engage-active-shooter-in-bluefield</t>
  </si>
  <si>
    <t>2425 Sherwin Dr</t>
  </si>
  <si>
    <t>44087</t>
  </si>
  <si>
    <t>Officers were called to the scene after a report that Shaw had fatally shot his son. When he reloaded his gun and pointed it at officers, he was shot.</t>
  </si>
  <si>
    <t>http://www.newsnet5.com/news/local-news/oh-cuyahoga/3-people-shot-in-twinsburg-kent-state-regional-academic-center-in-lockdown-officials-confirm</t>
  </si>
  <si>
    <t>88210</t>
  </si>
  <si>
    <t>Officers were executing a search warrant when Evans opened fire on them. Evans was a suspected drug dealer.</t>
  </si>
  <si>
    <t>http://krqe.com/2015/09/01/artesia-man-killed-after-shootout-with-police/</t>
  </si>
  <si>
    <t>Officers responded to a carjacking. When vehicle was pulled over and passengers got out of vehicle, Crawford was hit by front end of oncoming police vehicle.</t>
  </si>
  <si>
    <t>Dion Lamont Ramirez</t>
  </si>
  <si>
    <t>James Joseph Byrd</t>
  </si>
  <si>
    <t>E Platte Ave &amp; N Wahsatch Ave</t>
  </si>
  <si>
    <t>Colorado Springs</t>
  </si>
  <si>
    <t>80903</t>
  </si>
  <si>
    <t>Colorado Springs Police Department</t>
  </si>
  <si>
    <t>Harpham allegedly shot and killed three people before police responded to the scene. When officers arrived Harpham started shooting at them and police returned fire, according to authorities.</t>
  </si>
  <si>
    <t>http://www.denverpost.com/news/ci_29052366/shooting-reported-near-downtown-colorado-springs</t>
  </si>
  <si>
    <t>42717</t>
  </si>
  <si>
    <t>Cook was shot after exchanging gunfire with officers, police said. Authorities said they had been searching for Cook for nearly a week after he shot and injured a police officer in Tennessee.</t>
  </si>
  <si>
    <t>http://www.nbcnews.com/news/us-news/fugitive-rapist-floyd-ray-cook-shot-killed-kentucky-police-n454186</t>
  </si>
  <si>
    <t>75150</t>
  </si>
  <si>
    <t>Mesquite Police Department, Texas Department of Public Safety</t>
  </si>
  <si>
    <t>Police attempted to stop Martinez after he ran a stop sign and pursued him when he kept driving, according to authorities. Martinez eventually stopped his car on a highway and waved a gun and threatened officers, police said. Officers shot Martinez at the end of a 90-minute standoff when Martinez reportedly pointed a gun at them.</t>
  </si>
  <si>
    <t>215 N Park St</t>
  </si>
  <si>
    <t>Hohenwald</t>
  </si>
  <si>
    <t>38462</t>
  </si>
  <si>
    <t>Hohenwald Police Department, Lewis County Sheriff's Office</t>
  </si>
  <si>
    <t>Officers stopped Swader while responding to an armed robbery and stabbing when Swader began shooting at them, according to authorities. Officers returned fire and killed Swader, police said. Two officers were wounded and treated for their injuries.</t>
  </si>
  <si>
    <t>http://www.wsmv.com/story/30397967/father-of-officer-shooting-suspect-speaks-out</t>
  </si>
  <si>
    <t>2730 Brandy Dr</t>
  </si>
  <si>
    <t>688 NE 368th Ave</t>
  </si>
  <si>
    <t>32680</t>
  </si>
  <si>
    <t>Deputies responded to a home after a 911 caller said someone inside was receiving death threats, according to authorities. While deputies were at the home, Busby pulled up in a car and authorities said they heard gunshots from inside the vehicle, prompting the officers to fire, police said. Busby's car then caught on fire and deputies pulled him from his vehicle. Busby was pronounced dead at the scene from apparent gunshot wounds, police said.</t>
  </si>
  <si>
    <t>http://www.gainesville.com/article/20151030/ARTICLES/151039969?tc=ar</t>
  </si>
  <si>
    <t>38870</t>
  </si>
  <si>
    <t>Deputies arrived at Keeton's house as part of a drug investigation, authorities said. Keeton fired at deputies when they approached and was killed when they returned fire, police said.</t>
  </si>
  <si>
    <t>A state trooper identified a stolen car in a gas station parking lot, according to authorities. When the trooper and other law enforcement officers approached Brunson, who had been driving the car, he allegedly got back in the car and drove it into a police cruiser. Brunson was shot after he got out of his car and a confrontation occurred, police said.</t>
  </si>
  <si>
    <t>4307 W Humphrey St.</t>
  </si>
  <si>
    <t>33614</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</si>
  <si>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</si>
  <si>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53168</t>
  </si>
  <si>
    <t>Kenosha County Sheriff's Office</t>
  </si>
  <si>
    <t>Fude allegedly pointed a shotgun at officers during an incident at his home and refused police commands to drop the weapon.</t>
  </si>
  <si>
    <t>http://www.jsonline.com/news/crime/shotgun-wielding-man-shot-by-kenosha-county-deputy-has-died-b99603068z1-336891891.html</t>
  </si>
  <si>
    <t>92234</t>
  </si>
  <si>
    <t>Hutchinson was shot by officers responding to a domestic disturbance. No other details have been released by authorities.</t>
  </si>
  <si>
    <t>Anna Lane and Sterling Hwy</t>
  </si>
  <si>
    <t>99672</t>
  </si>
  <si>
    <t>Kenai Peninsula</t>
  </si>
  <si>
    <t>Ployhar allegedly fled a traffic stop before eventually stopping. At some point during an ensuing struggle, the officer drew his weapon and fired.</t>
  </si>
  <si>
    <t>http://www.adn.com/article/20151025/man-shot-killed-confrontation-trooper-kenai-peninsula</t>
  </si>
  <si>
    <t>http://www.winknews.com/2015/10/26/cape-pd-identifies-suspect-in-deadly-weekend-shooting/</t>
  </si>
  <si>
    <t>321 Bute Rd</t>
  </si>
  <si>
    <t>State police hit Miller's car in the middle of a high-speed pursuit of a man who drove away during traffic stop, according to authorities.</t>
  </si>
  <si>
    <t>Garfield Ave &amp; Cypress Ave</t>
  </si>
  <si>
    <t>http://www.sacbee.com/news/local/crime/article41204820.html</t>
  </si>
  <si>
    <t>http://www.shreveporttimes.com/story/news/2015/10/22/police-man-knife-shot-officer/74382544/</t>
  </si>
  <si>
    <t>41843</t>
  </si>
  <si>
    <t>Knott</t>
  </si>
  <si>
    <t>Kentucky State Police</t>
  </si>
  <si>
    <t>Police said Brock had threatened to shoot anyone who came on to his property, and that after officers arrived Brock made an aggressive motion with one of his hands behind his back. It was not confirmed whether Brock was armed.</t>
  </si>
  <si>
    <t>http://www.wkyt.com/wymt/home/headlines/Kentucky-State-Police-involved-in-fatal-shooting-in-Knott-County--336397431.html?device=tablet&amp;c=y</t>
  </si>
  <si>
    <t>92231</t>
  </si>
  <si>
    <t>US Customs and Border Protection</t>
  </si>
  <si>
    <t>A US Customs and Border Protection officer shot and killed Galena near the US-Mexico border, authorities said. He allegedly approached the officer with a knife.</t>
  </si>
  <si>
    <t>http://www.nbcsandiego.com/news/local/Customs-Border-Protection-CBP-Officer-Shoots-Kills-Man-at-Calexico-Port-of-Entry-335010591.html</t>
  </si>
  <si>
    <t>5000 block Ave 309</t>
  </si>
  <si>
    <t>93291</t>
  </si>
  <si>
    <t>Tulare County Sheriff's Office</t>
  </si>
  <si>
    <t>Deputies were serving a warrant for domestic violence charges when Rodriguez fled and the deputies pursued him, police said. Rodriguez struggled with the deputies and allegedly tried to take one of their guns before they shot him, according to authorities.</t>
  </si>
  <si>
    <t>http://www.fresnobee.com/news/local/crime/article40741638.html</t>
  </si>
  <si>
    <t>49508</t>
  </si>
  <si>
    <t>Officers arrived at Arnold's apartment after receiving a report that he was suicidal, police said. Arnold exited his apartment with a gun and was shot after pointing it at deputies, according to authorities.</t>
  </si>
  <si>
    <t>http://www.mlive.com/news/grand-rapids/index.ssf/2015/10/man_shot_dead_by_kentwood_poli.html</t>
  </si>
  <si>
    <t>Armel Rd and Little Creek Rd</t>
  </si>
  <si>
    <t>70471</t>
  </si>
  <si>
    <t>Police were pursuing Greenwood and another man suspected of burglary, officials said. Deputies shot Greenwood after he lunged at a deputy with a knife and stabbed a police dog, according to authorities.</t>
  </si>
  <si>
    <t>http://www.nola.com/crime/index.ssf/2015/10/man_fatally_shot_by_st_tammany.html</t>
  </si>
  <si>
    <t>52405</t>
  </si>
  <si>
    <t>Linn</t>
  </si>
  <si>
    <t>Officers stopped a car Gossman was riding in to investigate "drug-related activity" when Gossman fled on foot, police said. When officers pursued Gossman, he fired at them, according to authorities. Police said they fired back, killing him</t>
  </si>
  <si>
    <t>http://www.desmoinesregister.com/story/news/crime-and-courts/2015/10/21/cedar-rapids-fatal-police-shooting/74316302/?from=global&amp;sessionKey=&amp;autologin=</t>
  </si>
  <si>
    <t>http://www.sandiegouniontribune.com/news/2015/oct/20/officer-involved-shooting-downtown-san-diego/</t>
  </si>
  <si>
    <t>1325 Hurstbourne Parkway</t>
  </si>
  <si>
    <t>40222</t>
  </si>
  <si>
    <t>Hall allegedly tried to rob a customer at gunpoint in a Jimmy John's before fleeing the restaurant. He was pursued by police, who shot him when he pulled a gun from his waistband, according to authorities. Police later said that Hall was carrying a fake gun.</t>
  </si>
  <si>
    <t>http://www.courier-journal.com/story/news/crime/2015/10/20/jeffersontown-police-shoot-robbery-suspect/74283040/</t>
  </si>
  <si>
    <t>90061</t>
  </si>
  <si>
    <t>Deputies saw a person “driving recklessly, according to the Los Angeles County Sheriff’s Department. They said that the driver sped off, leading deputies to a cul-de-sac in a couple miles away. As Ramirez turned his car around and faced the deputies, a woman got out of the car. Ramirez then allegedly accelerated his car toward the passenger side of the patrol car where a deputy was standing. Ramirez struck the patrol car, and the deputy opened fire. Ramirez was hit multiple times and died at the scene.</t>
  </si>
  <si>
    <t>http://homicide.latimes.com/post/dion-lamont-ramirez/</t>
  </si>
  <si>
    <t>PGA Blvd &amp; I-95</t>
  </si>
  <si>
    <t>http://www.sun-sentinel.com/local/palm-beach/fl-palm-beach-gardens-officer-shooting-20151019-story.html</t>
  </si>
  <si>
    <t>4669 block N Fisher Ave</t>
  </si>
  <si>
    <t>93720</t>
  </si>
  <si>
    <t>Ekizian allegedly stabbed his uncle and then attacked a police officer who was attempting to administer aid. Police said the officer believed Ekizian was still armed and shot four times.</t>
  </si>
  <si>
    <t>http://abc30.com/news/neighbor-says-police-officer-who-shot-suspect-may-have-saved-him/1039573/</t>
  </si>
  <si>
    <t>1066 Kelly Dr</t>
  </si>
  <si>
    <t>http://archive.ydr.com/local/ci_28983263/police-respond-saturday-afternoon-shooting-york</t>
  </si>
  <si>
    <t>Paredes was allegedly robbing a gas station and was noticed by an officer who was filling up his patrol car, according to police. During the confrontation that followed, the officer fired several times, and Paredes was killed.</t>
  </si>
  <si>
    <t>www.modbee.com/news/local/crime/article39598365.html</t>
  </si>
  <si>
    <t>800 block Ashcomb Dr</t>
  </si>
  <si>
    <t>Rangel, who had reportedly broken into a house, was shot by a deputy when he reached for a second deputy's gun, according to authorities.</t>
  </si>
  <si>
    <t>http://www.latimes.com/local/lanow/la-me-ln-deputy-involved-shooting-san-gabriel-valley-20151016-story.html</t>
  </si>
  <si>
    <t>http://www.cdispatch.com/news/article.asp?aid=45542</t>
  </si>
  <si>
    <t>94102</t>
  </si>
  <si>
    <t>Police were taking Benitez into custody after he threw glass bottles into the street, according to authorities. He began struggling with an officer and reportedly took his gun, prompting another officer shot him, police said.</t>
  </si>
  <si>
    <t>http://www.sfexaminer.com/new-details-emerge-fatal-mid-market-police-shooting/</t>
  </si>
  <si>
    <t>http://www.dispatch.com/content/stories/local/2015/10/15/officer-kills-suspect-during-far-east-side-robbery.html</t>
  </si>
  <si>
    <t>S Jones Blvd &amp; W Desert Inn Rd</t>
  </si>
  <si>
    <t>89146</t>
  </si>
  <si>
    <t>Officers from a SWAT team shot and killed Lush after she refused to exit a stolen car and fired a gun at officers, police said.</t>
  </si>
  <si>
    <t>http://www.reviewjournal.com/news/las-vegas/metro-woman-killed-after-firing-officers-stolen-car</t>
  </si>
  <si>
    <t>State Rd &amp; Outerbelt S Fwy</t>
  </si>
  <si>
    <t>44109</t>
  </si>
  <si>
    <t>Parma Police Department, Parma Heights Police Department, Brooklyn Police Department</t>
  </si>
  <si>
    <t>Brennan allegedly robbed a Papa John's at gunpoint before police gave chase. The chase ended when Brennan crashed into a truck and exited his car with his gun pointed at officers, police said.</t>
  </si>
  <si>
    <t>http://www.cleveland.com/parma/index.ssf/2015/10/suspect_in_robbery_of_parma_pa.html#incart_m-rpt-1</t>
  </si>
  <si>
    <t>98034</t>
  </si>
  <si>
    <t>Burgess apparently was attempting to give away a 3-year-old boy, presumed to be his son, when police were contacted. The boy was not present when Burgess was shot, as he was taken away by police at their initial encounter with Burgess. He fled and later attempted several failed armed carjackings. Officers eventually caught up with Burgess at a business park, where an officer shot and killed him.</t>
  </si>
  <si>
    <t>http://www.kirklandreporter.com/news/337724201.html</t>
  </si>
  <si>
    <t>E Main St &amp; I-75</t>
  </si>
  <si>
    <t>Catersville</t>
  </si>
  <si>
    <t>30121</t>
  </si>
  <si>
    <t>An officer stopped Brannon for a tag violation and learned of a warrant for his arrest after running his license, police said. The two got into a confrontation, during which the officer deployed his Taser before shooting Brannon when he pointed a gun at the officer, according to authorities.</t>
  </si>
  <si>
    <t>http://www.ledger-enquirer.com/news/local/crime/article39281184.html</t>
  </si>
  <si>
    <t>AL-3 &amp; Co Hwy 17</t>
  </si>
  <si>
    <t>http://www.al.com/news/index.ssf/2015/10/alabama_state_troopers_shoot_a.html</t>
  </si>
  <si>
    <t>Witnesses in a shopping mall called police and said Clark was acting erratically. Clark shot at the officers who approached him and was killed when they returned fire, according to authorities.</t>
  </si>
  <si>
    <t>http://www.thecalifornian.com/story/news/my-safety/2015/10/14/officer-involved-shooting-breaks-out-seaside/73954434/</t>
  </si>
  <si>
    <t>81-990 Shadow Palm Ave</t>
  </si>
  <si>
    <t>Officers were investigating an auto theft and attempted to stop Villarreal when he drove the stolen car into a parking lot, according to authorities. Police opened fire after Villarreal allegedly backed his car into a police cruiser.</t>
  </si>
  <si>
    <t>http://www.desertsun.com/story/news/crime_courts/2015/10/14/possible-shooting-indio-apartments/73951052/</t>
  </si>
  <si>
    <t>SW Lee Blvd &amp; SW Sheridan Rd</t>
  </si>
  <si>
    <t>http://www.swoknews.com/local/man-waving-gun-sheridan-lee-shot-killed-police</t>
  </si>
  <si>
    <t>1362 Union St</t>
  </si>
  <si>
    <t>39601</t>
  </si>
  <si>
    <t>Smith was being evicted from his home when he fired his gun at officers, police said. Smith was shot and killed by a SWAT team after a nearly six-hour standoff, according to authorities. Two officers sustained minor injuries during the exchange of gunfire.</t>
  </si>
  <si>
    <t>http://wjtv.com/2015/10/13/suspect-identified-in-brookhaven-standoff-2-officers-injured/</t>
  </si>
  <si>
    <t xml:space="preserve">Taylors </t>
  </si>
  <si>
    <t>29687</t>
  </si>
  <si>
    <t>http://www.greenvilleonline.com/story/news/2015/10/11/one-dead-taylors-police-shooting/73772180/</t>
  </si>
  <si>
    <t>279 E 5th St</t>
  </si>
  <si>
    <t>Ortiz was fatally shot while fleeing a park on a bicycle, according to police. Officers were responding to a 911 call from a 7-year-old girl who said two men were threatening to shoot her father. The other suspect was detained.</t>
  </si>
  <si>
    <t>70605</t>
  </si>
  <si>
    <t xml:space="preserve">Calcasieu </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</si>
  <si>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</si>
  <si>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</si>
  <si>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5200 block W 40th St</t>
  </si>
  <si>
    <t>79764</t>
  </si>
  <si>
    <t>Police responded to a disturbance and pursued Medellin after he drove away in his car, according to authorities. Deputies shot Medellin when he got out of his car and charged at deputies with a knife, police said.</t>
  </si>
  <si>
    <t>4400 block Yender Ave</t>
  </si>
  <si>
    <t>60532</t>
  </si>
  <si>
    <t>Du Page</t>
  </si>
  <si>
    <t>Aguilar was fatally shot while trying to break into a woman's home, according to authorities. Police said he was armed but did not give details of the weapon. Officers said they used a Taser on Aguilar before shooting him.</t>
  </si>
  <si>
    <t>http://www.chicagotribune.com/news/local/breaking/ct-lisle-fatal-police-shooting-20151010-story.html</t>
  </si>
  <si>
    <t>01915</t>
  </si>
  <si>
    <t>Whitmarsh, who was reportedly suicidal, struck another car and two police cruisers with his own car, according to authorities. Officers shot him when he ignored commands to stop his vehicle and prepared to strike the cruisers a third time, police said.</t>
  </si>
  <si>
    <t>http://www.salemnews.com/news/local_news/hamilton-man-killed-after-police-involved-shooting-in-beverly/article_ec3bb5b9-6453-5915-8189-4894e3d43a40.html</t>
  </si>
  <si>
    <t>06475</t>
  </si>
  <si>
    <t>Officers responded to a motel upon learning that Love, who police said was a suspect in several investigations, was staying there. After hearing gunshots from the room, a SWAT team entered and killed Love after he refused to drop a gun, police said.</t>
  </si>
  <si>
    <t>http://www.nhregister.com/general-news/20151011/police-identify-groton-man-31-as-suspect-killed-at-motel-in-old-saybrook</t>
  </si>
  <si>
    <t>Snow Cap Avenue and Cygnet Road</t>
  </si>
  <si>
    <t>92372</t>
  </si>
  <si>
    <t>Combs was acting irrationally and claimed he had a bomb, police said. Officers said they heard a large noise that they thought could have been an explosive. Combs got into a car and began driving toward deputies when police shot him, according to authorities.</t>
  </si>
  <si>
    <t>http://www.sbsun.com/general-news/20151011/deputies-shoot-kill-man-in-pinon-hills</t>
  </si>
  <si>
    <t>21044</t>
  </si>
  <si>
    <t>Officers said they responded to a 911 caller who said a man with a knife was threatening to kill him. Police shot Boitano after he refused to drop his knife, according to authorities.</t>
  </si>
  <si>
    <t>http://www.baltimoresun.com/news/maryland/howard/columbia/bs-md-ho-police-shooting-20151009-story.html</t>
  </si>
  <si>
    <t>44000 block Jacob Court</t>
  </si>
  <si>
    <t>92536</t>
  </si>
  <si>
    <t>Wagner allegedly pointed a gun at a sheriff's deputy when officers arrived at a home for a reported domestic disturbance. Authorities said Wagner was also accused of threatening people at another home nearby earlier in the day.</t>
  </si>
  <si>
    <t>8072 Townline Road</t>
  </si>
  <si>
    <t>48850</t>
  </si>
  <si>
    <t>Police said Quay shot a sheriff's deputy with a crossbow when officers arrived at his home to arrest him for alleged assault. A state trooper returned fire and killed Quay. The deputy was said to be in stable condition.</t>
  </si>
  <si>
    <t>600 block Mercury St.</t>
  </si>
  <si>
    <t>Deputies responded after Lago attacked two people with a machete, killing one, police said. An officer fatally shot Lago when Lago began charging toward another officer with the machete, according to authorities.</t>
  </si>
  <si>
    <t>http://www.wptv.com/news/region-c-palm-beach-county/west-palm-beach/palm-beach-county-sheriffs-office-investigating-officer-involved-shooting</t>
  </si>
  <si>
    <t>220 Olivier St</t>
  </si>
  <si>
    <t>93940</t>
  </si>
  <si>
    <t>Monterey police say they received reports of a man acting irrationally and who possibly had a weapon. Donald Thomas Miller II was waving a non-functional antique weapon when he was shot six times. He had been in police custody earlier that day for trespassing, was described as obviously mentally ill, and released.</t>
  </si>
  <si>
    <t>http://www.kionrightnow.com/news/local-news/update-moco-da-identifies-man-killed-during-officer-involved-shooting/35690628</t>
  </si>
  <si>
    <t>1300 block West Redbud Drive</t>
  </si>
  <si>
    <t>76053</t>
  </si>
  <si>
    <t>Police were called for a domestic disturbance. Dunaway apparently hid in a nearby backyard, reportedly with a gun. Police shot and killed him.</t>
  </si>
  <si>
    <t>07001</t>
  </si>
  <si>
    <t>Police shot Jencsik at the end of a three-hour standoff when he left his home pointing a gun at officers, according to authorities. Jencsik is accused of fatally stabbing a woman and crtically injuring a man before the standoff.</t>
  </si>
  <si>
    <t>Police said Edgell was killed while exchanging gunfire with officers who were responding to a report that he was suicidal and armed with a gun.</t>
  </si>
  <si>
    <t>http://www.waff.com/story/30190373/raw-emotion-following-mans-shooting-say-muscle-shoals-police</t>
  </si>
  <si>
    <t>3500 block W. Grenshaw St</t>
  </si>
  <si>
    <t>Police shot McCallum after he charged at them with a gun when they entered his home following reports of a shooting, according to authorities. Officers found a woman with stab and gunshot wounds inside the home and she was taken to the hospital in serious condition, police said.</t>
  </si>
  <si>
    <t>http://chicago.suntimes.com/crime/7/71/1011093/fire-official-1-dead-1-hurt-north-lawndale-shooting</t>
  </si>
  <si>
    <t>91411</t>
  </si>
  <si>
    <t>Two officers were stopped at a red light when the back window of their patrol car shattered. Fearing they were under fire, police said, the officers got out of the cruiser and fired their own guns at a nearby man they believed was responsible, killing him. When investigators searched his body and the nearby scene, they didn’t find a gun or any other weapon. Instead, they determined he had shattered the patrol car’s window by throwing a 40-ounce beer bottle.</t>
  </si>
  <si>
    <t>http://homicide.latimes.com/post/james-joseph-byrd/</t>
  </si>
  <si>
    <t>1519 Avenida Del Sol</t>
  </si>
  <si>
    <t>Diaz shot at officers who were pursuing him after responding to a domestic violence call, police said. An officer returned fire after Diaz pulled his car over and struck an officer's vehicle, according to authorities.</t>
  </si>
  <si>
    <t>http://www.kvoa.com/story/30178157/shootout-behind-a-sierra-vista-church-leaves-one-man-dead</t>
  </si>
  <si>
    <t>79118</t>
  </si>
  <si>
    <t>Officers responded to a burglary in progress and shot Dobbins while he was inside the home being burglarized, police said. No further details have been released.</t>
  </si>
  <si>
    <t>http://amarillo.com/news/latest-news/2015-10-03/randall-county-sheriffs-office-ids-man-killed-officer-involved-shooting</t>
  </si>
  <si>
    <t>Jepsen was reported as suidical and carrying a knife. When deputies arrived a confrontation occurred and three officers fired both lethal and non-lethal rounds, according to police.</t>
  </si>
  <si>
    <t>http://www.kgw.com/story/news/local/washington-county/2015/10/02/officer-shoots-woman-aloha/73258098/</t>
  </si>
  <si>
    <t>U.S. Marshals Violent Offender Task Force (US Marshals Service) Alexandria Police Department, Rapides Parish Sheriff's Office)</t>
  </si>
  <si>
    <t>Shelbyville Police Department, Shelby County Sheriff's Department</t>
  </si>
  <si>
    <t>http://extras.mnginteractive.com/live/media/site568/2015/0903/20150903__bettertyree~1_200.JPG</t>
  </si>
  <si>
    <t>http://www.mercurynews.com/bay-area-news/ci_28758811/san-jose-jail-death-new-details-from-inmates</t>
  </si>
  <si>
    <t>Officers said they shot Centeno after he ignored their orders to put his hands up and pulled out a "pistol-looking object." Police later said Centeno was carrying a water pistol. Centeno died from his injuries about three weeks after the shooting.</t>
  </si>
  <si>
    <t>http://www.latimes.com/local/political/la-me-inmate-killed-third-prison-riot-20150819-story.html</t>
  </si>
  <si>
    <t>http://www.azcentral.com/story/news/local/phoenix/breaking/2015/08/22/man-dies-after-altercation--police/32210513/</t>
  </si>
  <si>
    <t>Gerald Lee Dukes</t>
  </si>
  <si>
    <t>http://www.presleyflukerfunerals.com/storage/Dukes-Gerald.jpg?__SQUARESPACE_CACHEVERSION=1434663870356</t>
  </si>
  <si>
    <t>811 Culver Rd</t>
  </si>
  <si>
    <t>Falkville</t>
  </si>
  <si>
    <t>35622</t>
  </si>
  <si>
    <t>Falkville Police Department</t>
  </si>
  <si>
    <t>http://whnt.com/2015/06/04/man-dies-in-crash-during-chase-with-falkville-police-officer/</t>
  </si>
  <si>
    <t>Gerald Lee Dukes died when police chased his vehicle off the road, causing it to overturn.</t>
  </si>
  <si>
    <t>Ricardo Blackmon</t>
  </si>
  <si>
    <t>http://wlbt.images.worldnow.com/images/7660774_G.jpg</t>
  </si>
  <si>
    <t>Edwards Avenue and Collier Avenue</t>
  </si>
  <si>
    <t>39213</t>
  </si>
  <si>
    <t>Ricardo Blackmon crashed into a tree at high speeds while being pursued by police. JPD claims that it wasn't really a chase because the officer hadn't had time to truly begin chasing Blackmon. “The officer noticed the vehicle driving at a high rate of speed with no headlights. He turned around and tried to catch up with it,” said Chief Lee Vance of the Jackson Police Department. “Before he even got close to this individual, he turned off of Northside Drive and crashed.” The family questions this account due to witnesses who contradict the police statements. Antonio Blackmon said there are two sets of tire tracks on the street and he thinks an officer chased his brother. “They told us that there wasn't a chase, that he was just speeding, but the witnesses at the store say he was being chased by a police officer,” Antonio Blackmon said.</t>
  </si>
  <si>
    <t>http://www.wapt.com/news/family-seeks-answers-after-loved-one-dies-in-crash/32806478</t>
  </si>
  <si>
    <t>Rashod Bryan Overstreet</t>
  </si>
  <si>
    <t>http://www.fatalencounters.org/wp-content/uploads/2013/10/BryanOverstreet.png</t>
  </si>
  <si>
    <t>602 S Main St</t>
  </si>
  <si>
    <t>Worth County Sheriff's Department</t>
  </si>
  <si>
    <t>30-year old Bryan Overstreet was run over by a Worth County deputy while lying in the road</t>
  </si>
  <si>
    <t>http://www.walb.com/story/28916690/sylvester-man-run-over-by-patrol-car</t>
  </si>
  <si>
    <t>Asia Roundtree</t>
  </si>
  <si>
    <t>Courville Street</t>
  </si>
  <si>
    <t>48224</t>
  </si>
  <si>
    <t>A suspect with his girlfriend and his 9-year-old brother in the car fled police and ended up crashing his white sedan into a tree so hard that it split. His girlfriend, Roundtree, died at the scene. The 9-year-old emerged with painfully damaged legs.</t>
  </si>
  <si>
    <t>http://www.clickondetroit.com/news/9yearold-critically-injured-after-brother-flees-police/30246604</t>
  </si>
  <si>
    <t>Leo Blackmon Jr.</t>
  </si>
  <si>
    <t>N Kingshighway Blvd &amp; Highland Ave</t>
  </si>
  <si>
    <t>St. Louis City</t>
  </si>
  <si>
    <t>http://www.kmov.com/story/28421811/victim-of-fatal-officer-involved-accident-identified</t>
  </si>
  <si>
    <t>http://media.cmgdigital.com/shared/lt/lt_cache/thumbnail/615/img/photos/2015/07/24/ec/f4/Frederick_Farmer_2015.JPG</t>
  </si>
  <si>
    <t>Rodney Dewayne Biggs</t>
  </si>
  <si>
    <t>http://media.graytvinc.com/images/Lett1.jpg</t>
  </si>
  <si>
    <t>http://hudspethcountyherald.com/wp-content/uploads/2015/02/tiano-melton-100196010-130747052.pic1-copy1.jpg</t>
  </si>
  <si>
    <t>http://media2.startribune.com/obit_images/0/02/0000060726-01-1.jpg</t>
  </si>
  <si>
    <t>https://pbs.twimg.com/media/CVfpm0KWIAEcicP.jpg:large</t>
  </si>
  <si>
    <t>https://www.facebook.com/gshartley1</t>
  </si>
  <si>
    <t>http://bloximages.chicago2.vip.townnews.com/themoreheadnews.com/content/tncms/assets/v3/editorial/a/ed/aed32dee-bb5b-11e4-b764-6b447f757b85/54eb24110c19c.image.jpg</t>
  </si>
  <si>
    <t>http://ak-cache.legacy.net/legacy/images/Cobrands/njherald/Photos/7cfa4537-8e2b-4ab2-bc7f-87cbda14eda1.jpg</t>
  </si>
  <si>
    <t>http://www.killedbypolice.net/victims/150494.jpg</t>
  </si>
  <si>
    <t>http://wac.450f.edgecastcdn.net/80450F/klaq.com/files/2015/07/Michael-Malone.jpg</t>
  </si>
  <si>
    <t>Mario Woods</t>
  </si>
  <si>
    <t>https://twitter.com/DownInOldMex/status/672517011583315968</t>
  </si>
  <si>
    <t>Third Street and Fitzgerald Avenue</t>
  </si>
  <si>
    <t>http://ww2.kqed.org/news/2015/12/02/s-f-police-chief-public-defender-clash-over-latest-fatal-cop-shooting?utm_source=twitterfeed&amp;utm_medium=twitter</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</si>
  <si>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</si>
  <si>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http://www.wctv.tv/home/headlines/Boycotts-On-Florida-Tourism-Juice-Locals-Sound-Off-216251071.html</t>
  </si>
  <si>
    <t>Adarius Brown</t>
  </si>
  <si>
    <t>Antonio Henry</t>
  </si>
  <si>
    <t>Brian Acton</t>
  </si>
  <si>
    <t>https://mgtvwkrn.files.wordpress.com/2015/04/brian-acton.jpg?w=640</t>
  </si>
  <si>
    <t>Beckett Street</t>
  </si>
  <si>
    <t>http://www.wsmv.com/story/28851839/man-accused-in-rape-dies-during-arrest</t>
  </si>
  <si>
    <t>Joshua Jozefowicz</t>
  </si>
  <si>
    <t>http://www.killedbypolice.net/victims/151086.jpg</t>
  </si>
  <si>
    <t>1105 Hammond St</t>
  </si>
  <si>
    <t>Bangor</t>
  </si>
  <si>
    <t>Bangor Police Department</t>
  </si>
  <si>
    <t>https://bangordailynews.com/2015/12/01/news/bangor/man-dies-in-officer-involved-shooting-near-bangor-store/</t>
  </si>
  <si>
    <t>John Anthony Gonzalez</t>
  </si>
  <si>
    <t>Imperial Hwy and Pioneer Blvd</t>
  </si>
  <si>
    <t>http://ktla.com/2015/12/01/man-shot-and-killed-during-confrontation-with-sheriffs-deputies-in-norwalk/</t>
  </si>
  <si>
    <t>Syed Farook</t>
  </si>
  <si>
    <t>http://www.killedbypolice.net/victims/151090.jpg</t>
  </si>
  <si>
    <t>1800 E San Bernardino Ave</t>
  </si>
  <si>
    <t>Redlands</t>
  </si>
  <si>
    <t>http://www.sbsun.com/general-news/20151202/san-bernardino-mass-shooting-2-suspects-believed-killed-wounded-during-ongoing-manhunt</t>
  </si>
  <si>
    <t>Tashfeen Malik</t>
  </si>
  <si>
    <t>http://www.killedbypolice.net/victims/151089.jpg</t>
  </si>
  <si>
    <t>http://www.killedbypolice.net/victims/151091.jpg</t>
  </si>
  <si>
    <t>Phillip Munoz</t>
  </si>
  <si>
    <t>http://www.killedbypolice.net/victims/151088.jpg</t>
  </si>
  <si>
    <t>Lowell Blvd and W 25th Ave</t>
  </si>
  <si>
    <t>http://www.denverpost.com/news/ci_29194151/denver-police-officer-involved-shooting-near-sloans-lake</t>
  </si>
  <si>
    <t>Allen Pacheco</t>
  </si>
  <si>
    <t>http://www.killedbypolice.net/victims/151092.jpg</t>
  </si>
  <si>
    <t>Texas Hwy 16</t>
  </si>
  <si>
    <t>http://www.ksat.com/news/dps-trooper-shoots-kills-man</t>
  </si>
  <si>
    <t>Florencio Lucero</t>
  </si>
  <si>
    <t>S Country Club Rd</t>
  </si>
  <si>
    <t>Deming Police Department</t>
  </si>
  <si>
    <t>http://www.koat.com/news/deming-police-shoot-kill-suspect-in-fatal-domestic-shooting/36778416</t>
  </si>
  <si>
    <t>Ivan Krstic</t>
  </si>
  <si>
    <t>http://www.killedbypolice.net/victims/151095.jpg</t>
  </si>
  <si>
    <t>E McDowell Rd and N Power Rd</t>
  </si>
  <si>
    <t>http://www.abc15.com/news/region-southeast-valley/mesa/pd-suspect-hospitalized-after-officer-involved-shooting-in-mesa</t>
  </si>
  <si>
    <t>Neil Stretesky</t>
  </si>
  <si>
    <t>http://www.killedbypolice.net/victims/151094.jpg</t>
  </si>
  <si>
    <t>405 W Cedar St</t>
  </si>
  <si>
    <t>Big Springs</t>
  </si>
  <si>
    <t>http://www.omaha.com/news/nebraska/man-killed-deputy-seriously-injured-while-serving-warrants-in-western/article_c37da5ea-e0b9-584a-9676-3c520b97ed5f.html</t>
  </si>
  <si>
    <t>David Winesett</t>
  </si>
  <si>
    <t>http://www.killedbypolice.net/victims/151100.jpg</t>
  </si>
  <si>
    <t>Alton Rd</t>
  </si>
  <si>
    <t>http://www.miamiherald.com/news/local/community/miami-dade/miami-beach/article48175540.html</t>
  </si>
  <si>
    <t>Sheilah Huck</t>
  </si>
  <si>
    <t>6600 Foothills Ct</t>
  </si>
  <si>
    <t>Florissant</t>
  </si>
  <si>
    <t>St Louis County Police Department</t>
  </si>
  <si>
    <t>http://www.stltoday.com/news/local/crime-and-courts/st-louis-county-police-fatally-shoot-woman-after-armed-standoff/article_0aec85bd-0d3a-5ed8-b1d4-a382d41aa68b.html</t>
  </si>
  <si>
    <t>Colten Marcellus</t>
  </si>
  <si>
    <t>http://www.killedbypolice.net/victims/151099.jpg</t>
  </si>
  <si>
    <t>600 Jeff Ct</t>
  </si>
  <si>
    <t>http://crimeblog.dallasnews.com/2015/12/irving-police-fatally-shoot-home-invasion-suspect-two-others-taken-into-custody.html/</t>
  </si>
  <si>
    <t>Michael Funk</t>
  </si>
  <si>
    <t>http://www.killedbypolice.net/victims/151101.jpg</t>
  </si>
  <si>
    <t>206 Main St</t>
  </si>
  <si>
    <t>Neenah</t>
  </si>
  <si>
    <t>Neenah Police Department</t>
  </si>
  <si>
    <t>http://www.nbc26.com/news/neenah-police-respond-to-high-risk-hostage-situation</t>
  </si>
  <si>
    <t>Juan Perez</t>
  </si>
  <si>
    <t>Avery Dr</t>
  </si>
  <si>
    <t>http://www.kesq.com/news/suspect-dies-in-officer-involved-shooting-near-indio-church/36814580</t>
  </si>
  <si>
    <t>Raymond Azevedo</t>
  </si>
  <si>
    <t>http://www.killedbypolice.net/victims/151105.jpg</t>
  </si>
  <si>
    <t>35th Ave NE and NE 68th St</t>
  </si>
  <si>
    <t>http://www.seattletimes.com/seattle-news/shots-fired-following-car-jacking-suspect-reported-down/</t>
  </si>
  <si>
    <t>John Britton</t>
  </si>
  <si>
    <t>Wyoming Hwy 130</t>
  </si>
  <si>
    <t>Albany County Sheriff's Office</t>
  </si>
  <si>
    <t>http://trib.com/news/local/crime-and-courts/suicidal-man-shot-and-killed-by-sheriff-s-deputies-at/article_62eec2e8-2275-5d2a-9c06-359a2ba16200.html</t>
  </si>
  <si>
    <t>Miguel Espinal</t>
  </si>
  <si>
    <t>http://www.killedbypolice.net/victims/151110.jpg</t>
  </si>
  <si>
    <t>Saw Mill River Pkwy</t>
  </si>
  <si>
    <t>http://abc7ny.com/news/suspect-shot-and-killed-after-nypd-pursuit-ends-in-crash-closes-saw-mill-river-parkway/1114221/</t>
  </si>
  <si>
    <t>Nicholas Gilbert</t>
  </si>
  <si>
    <t>http://www.killedbypolice.net/victims/151111.jpg</t>
  </si>
  <si>
    <t>919 N Jefferson Ave</t>
  </si>
  <si>
    <t>http://www.kmov.com/story/30701383/man-27-dies-in-police-custody-in-st-louis-city</t>
  </si>
  <si>
    <t>Dimitrie Penny</t>
  </si>
  <si>
    <t>1170 Apalachee Pkwy</t>
  </si>
  <si>
    <t>http://www.tallahassee.com/story/news/2015/12/09/two-killed-two-injured-shooting-tallahassee-restaurant/77027102/</t>
  </si>
  <si>
    <t>Sammy Echols</t>
  </si>
  <si>
    <t>100 Quail Dr</t>
  </si>
  <si>
    <t>Sportsmen Acres</t>
  </si>
  <si>
    <t>Sportsmen Acres Police Department</t>
  </si>
  <si>
    <t>http://www.newson6.com/story/30709630/officer-shoots-man-who-shot-at-him-mayes-county-sheriff-says</t>
  </si>
  <si>
    <t>Charles Rosemond Sr</t>
  </si>
  <si>
    <t>http://www.killedbypolice.net/victims/151118.jpg</t>
  </si>
  <si>
    <t>1900 Boling Rd</t>
  </si>
  <si>
    <t>Taylors</t>
  </si>
  <si>
    <t>http://www.greenvilleonline.com/story/news/2015/12/10/sled-man-shot-deputy-greenville-county/77082892/</t>
  </si>
  <si>
    <t>Travis Nevelle Page</t>
  </si>
  <si>
    <t>http://www.killedbypolice.net/victims/151117.jpg</t>
  </si>
  <si>
    <t>http://www.wfmynews2.com/story/news/local/2015/12/10/wspd-4-officers-administrative-duty-after-man-dies-custody/77082064/</t>
  </si>
  <si>
    <t>Christopher Higdon</t>
  </si>
  <si>
    <t>http://www.killedbypolice.net/victims/151115.jpg</t>
  </si>
  <si>
    <t>http://www.wdrb.com/story/30708945/kentucky-state-police-say-officer-shoots-and-kills-suspect-in-grayson-county</t>
  </si>
  <si>
    <t>Derek Stokes</t>
  </si>
  <si>
    <t>http://www.killedbypolice.net/victims/151114.jpg</t>
  </si>
  <si>
    <t>http://www.newsnet5.com/news/local-news/cleveland-metro/breaking-officer-involved-shooting-near-cleveland-justice-center</t>
  </si>
  <si>
    <t>Devon Holder</t>
  </si>
  <si>
    <t>http://www.nytimes.com/2015/12/08/nyregion/man-is-fatally-shot-by-police-after-a-robbery-attempt-in-queens.html?_r=1</t>
  </si>
  <si>
    <t>Carlumandarlo Zaramo</t>
  </si>
  <si>
    <t>http://www.killedbypolice.net/victims/151106.jpg</t>
  </si>
  <si>
    <t>http://www.cleveland.com/metro/index.ssf/2015/12/police_officer_suspect_injured.html</t>
  </si>
  <si>
    <t>1200 Hotel Circle South</t>
  </si>
  <si>
    <t>http://timesofsandiego.com/crime/2015/12/06/naked-man-dies-after-resisting-arrest-in-a-mission-valley-motel-room/</t>
  </si>
  <si>
    <t>Raymone Davis</t>
  </si>
  <si>
    <t>http://triblive.com/news/allegheny/9567852-74/robbery-bank-police#axzz3tS0qx6zx</t>
  </si>
  <si>
    <t>Jason Brady</t>
  </si>
  <si>
    <t>501 E. Seventh Street</t>
  </si>
  <si>
    <t>Waverly</t>
  </si>
  <si>
    <t>Winston-Salem Police Department</t>
  </si>
  <si>
    <t>According to police, officers responded to a discharging firearm call around 7:30 Wednesday night at the Family Dollar on Old Rural Hall Road. When they arrived on scene, officers reportedly located a subject matching the description provided by the person reporting the incident.
Police said while they attempted to detain the subject, Travis Nevelle Page, a brief struggle occurred and one of the officers used department issued oleoresin capsicum (pepper spray).
After officers gained control of Page and placed him in handcuffs, police said he became unresponsive.</t>
  </si>
  <si>
    <t>Old Rural Hall Road</t>
  </si>
  <si>
    <t>Winston-Salem</t>
  </si>
  <si>
    <t>Leitchfield</t>
  </si>
  <si>
    <t>4000 St. Paul Road</t>
  </si>
  <si>
    <t>State police say a man carrying a handgun approached the officers at the end of a driveway and did not drop his gun when asked to do so. That's when the sheriff's officer fired several shots killing the man.</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</si>
  <si>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</si>
  <si>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The off-duty officer had come to purchase the BMW when the men tried to rob him, the police said. He shot one of the suspects with his service weapon after the man pulled out a gun, according to the police.</t>
  </si>
  <si>
    <t>http://nbc4i.com/2015/12/04/shooting-death-at-pike-co-deputys-home-being-investigated/</t>
  </si>
  <si>
    <t>Off-duty deputy was drunk, 'accidentally' fired his weapon at his neighbor.</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</si>
  <si>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</si>
  <si>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</si>
  <si>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</si>
  <si>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</si>
  <si>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122 Shiloh Street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</si>
  <si>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</si>
  <si>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177-39 145th Avenue</t>
  </si>
  <si>
    <t>East 55th Street</t>
  </si>
  <si>
    <t>Cleveland Metroparks Ranger Department</t>
  </si>
  <si>
    <t>Tiara Thomas</t>
  </si>
  <si>
    <t>http://www.killedbypolice.net/victims/2976.jpg</t>
  </si>
  <si>
    <t>5970 Old Porter Road</t>
  </si>
  <si>
    <t>http://www.nwitimes.com/news/local/porter/former-hammond-gary-cop-arrested-charged-with-portage-murder/article_6519b3f2-6242-5cba-ba83-9df3b07e72a1.html</t>
  </si>
  <si>
    <t>http://www.killedbypolice.net/victims/151033.jpg</t>
  </si>
  <si>
    <t>Brian Crawford</t>
  </si>
  <si>
    <t>Thomas Gilliland, of the Harris County Sheriff's Office, said in a news conference Friday that a group of four or five men smashed glass cases and took jewelry and other merchandise from the pawn shop. HPD officers spotted the men behind the shop, leaving the store, Gilliand said. The officers ordered the suspects to drop their weapons, but deputies said they refused. Officers began shooting, killing one man and leaving two more in critical condition, according to Gilliand</t>
  </si>
  <si>
    <t>13000 Veterans Memorial</t>
  </si>
  <si>
    <t>Tony Berry</t>
  </si>
  <si>
    <t>http://www.killedbypolice.net/victims/150993.jpg</t>
  </si>
  <si>
    <t>Daniel Nole</t>
  </si>
  <si>
    <t>A Hammond police officer was arrested and charged in the killing of the mother of three of his children. The motive is suspected to be financial.</t>
  </si>
  <si>
    <t>According to police Mr. Gray was arrested because he 'fled unprovoked upon noticing police,' and he was found to have a knife in his pocket. He died from omplications from broken vertabrae/partially severed spinal cord</t>
  </si>
  <si>
    <t>Alan Edward Dunnagan</t>
  </si>
  <si>
    <t>2600 Reynolda Rd</t>
  </si>
  <si>
    <t>A criminal summons alleges Sgt. John William Leone Jr. was driving a patrol car on Reynolda Road when he ran a red light. The patrol car and Dunnagan's Chevrolet pickup truck collided in the intersection, killing Dunnagan, Winston-Salem police said.</t>
  </si>
  <si>
    <t>http://myfox8.com/2015/07/02/winston-salem-police-officer-charged-in-may-crash-that-killed-man/</t>
  </si>
  <si>
    <t>Reginald L. Moore Sr.</t>
  </si>
  <si>
    <t>640 Shannon Street</t>
  </si>
  <si>
    <t>Greenville Police Sergeant Kvonya Moore was charged with first-degree murder in the shooting death of her husband Reginald Moore. Moore and her husband had just returned home from her birthday party when the shooting occurred, and the couple's two children were at home when it happened. Reginald Moore had been shot in the head and died at Delta Regional Medical Center. Moore, who oversees Washington County's CrimeStoppers Program was suspended with pay pending action by the Greenville City Council.</t>
  </si>
  <si>
    <t>http://www.msnewsnow.com/story/28985092/washington-county-crimestoppers-head-charged-with-murder</t>
  </si>
  <si>
    <t>Catherine Breeding</t>
  </si>
  <si>
    <t>Breeding, a Montgomery County deputy and a passenger on a motorcycle driven by a fellow deputy, was killed in an early-morning crash after a night of heavy drinking. The driver had twice the legal level of alcohol in his bloodstream and was angrily adamant that he'd been in a passenger car ("Who put me behind the wheel?") before being told of Breeding's death. He was charged with intoxication manslaughter.</t>
  </si>
  <si>
    <t>http://bloximages.chicago2.vip.townnews.com/yourhoustonnews.com/content/tncms/assets/v3/editorial/b/e3/be3560d2-a70a-5e12-a2d5-3cafe05dace4/54ca9dad0b292.image.jpg?crop=355%2C427%2C355%2C166&amp;resize=300%2C361&amp;order=crop%2Cresize</t>
  </si>
  <si>
    <t>200 S Loop 336 W</t>
  </si>
  <si>
    <t>Montgomery County Sheriff's Office</t>
  </si>
  <si>
    <t>http://www.yourhoustonnews.com/courier/news/deputy-charged-with-intoxication-manslaughter-in-fatal-conroe-motorcycle-crash/article_d3913036-c385-11e4-b8d9-67cddf87729d.html</t>
  </si>
  <si>
    <t>Mardis was a passenger in a car driven by his father, Chris Few. Initial reports suggested that Few had backed his car into officers' vehicles while officers were trying to serve a warrant, but officials now say there is no evidence of a warrant for Few, who was unarmed and was also struck but is reportedly in stable condition. Two officers involved in the shooting, Norris Greenhouse Jr and Derrick Stafford, have been charged with second-degree murder.</t>
  </si>
  <si>
    <t>Avoyelles Parish Ward 2</t>
  </si>
  <si>
    <t>http://www.killedbypolice.net/victims/151097.jpg</t>
  </si>
  <si>
    <t>Arlington, VA Police Department</t>
  </si>
  <si>
    <t>Chef Menteur Highway and Old Gentilly Road</t>
  </si>
  <si>
    <t>http://www.nola.com/crime/index.ssf/2015/12/nopd_involved_in_east_new_orle.html#incart_m-rpt-1</t>
  </si>
  <si>
    <t>Shirley Weis</t>
  </si>
  <si>
    <t>700 East Mitchell Street</t>
  </si>
  <si>
    <t>Police responded to the call at 10 a.m. Sunday in the 700 block of East Mitchell Street after a man called 911 from a local church and said his wife was suicidal and possibly had a handgun, Arlington police spokesman Chris Cook wrote in a news release.Twenty to 30 minutes later, she got in her vehicle in a garage in back and was driving out toward the front of the house when officers tried to make contact with her. “Two officers discharged their duty handguns at the woman while she was still inside the vehicle pointing the gun toward them,” Cook wrote.</t>
  </si>
  <si>
    <t>http://www.star-telegram.com/news/local/community/arlington/article49578020.html</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</si>
  <si>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</si>
  <si>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</si>
  <si>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</si>
  <si>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</si>
  <si>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</si>
  <si>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Nicholas Robertson</t>
  </si>
  <si>
    <t>http://www.killedbypolice.net/victims/151128.jpg</t>
  </si>
  <si>
    <t>Long Beach Boulevard and Magnolia Avenue</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</si>
  <si>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</si>
  <si>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</si>
  <si>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Christopher Goodlow</t>
  </si>
  <si>
    <t>http://www.killedbypolice.net/victims/151126.jpg</t>
  </si>
  <si>
    <t>7900 Red Mill Drive</t>
  </si>
  <si>
    <t>Police claim they used less lethal force before shooting Goodlow, who they say approached them with a knife.</t>
  </si>
  <si>
    <t>http://www.indystar.com/story/news/2015/12/12/indianapolis-officer-involved-shooting/77204698/</t>
  </si>
  <si>
    <t>Jason Bryant</t>
  </si>
  <si>
    <t>http://www.killedbypolice.net/victims/151119.jpg</t>
  </si>
  <si>
    <t>2200 Conrad Ave</t>
  </si>
  <si>
    <t xml:space="preserve">IMPD Lt. Rich Riddle said the incident began around 1:30 a.m. when officers tried to stop the truck Bryant was driving. Riddle said Bryant fled from officers who chased the truck until they saw him ditch the vehicle and go into the home. Police determined the truck was stolen from Whiteland on Nov. 23. When police went inside the home around 5:30 a.m., they saw Bryant sitting in a back bedroom with a gun, Riddle said. Two officers, a 28-year veteran sergeant and a 12-year veteran patrol officer, fired their weapons, striking the suspect, police said. </t>
  </si>
  <si>
    <t>http://www.indystar.com/story/news/crime/2015/12/10/suspect-shot-police-southwestside/77082704/</t>
  </si>
  <si>
    <t>Charged, Acquitted</t>
  </si>
  <si>
    <t>2500 Long Beach Boulevard</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</si>
  <si>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</si>
  <si>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</si>
  <si>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 xml:space="preserve">3800 King Palm Avenue </t>
  </si>
  <si>
    <t>Officers initially responded to investigate an armed robbery of a person. During the investigation, officers received information on the suspect's vehicle and license plate, which brought them to King Palm Avenue. When officers arrived, the suspect vehicle was in the driveway along with three people. Police then began to them into custody. While this was occurring, however, a man exited the front door of the residence with a handgun. Uniformed officers asked the man to drop the handgun. The man did not comply and police said he raised the gun at one of the officers, who then fired his handgun at the suspect.</t>
  </si>
  <si>
    <t>http://www.ktnv.com/news/officer-shoots-suspect-in-northeast-valley</t>
  </si>
  <si>
    <t>4564 Aviation Street</t>
  </si>
  <si>
    <t>Surrounded by authorities, a barricaded woman came out of the house a second time holding a handgun and pointed it at a SWAT BearCat before retreating inside again. While talking to police negotiators, she said she "wanted to get in a gun fight with the officers," Clark said.
After 2 p.m., she came out a third time — this time with a shotgun. She immediately turned it on herself, put it underneath her chin and tried to shoot "but was having a hard time manipulating the trigger," Clark said.
"At that time she raised the shotgun and pointed it at SWAT officers that were nearby," he said. And the snipers fired.</t>
  </si>
  <si>
    <t>http://www.reviewjournal.com/news/las-vegas/woman-shot-and-killed-police-northeast-valley-barricade</t>
  </si>
  <si>
    <t>http://www.killedbypolice.net/victims/151134.jpg</t>
  </si>
  <si>
    <t>Calvin McKinnis</t>
  </si>
  <si>
    <t>http://www.killedbypolice.net/victims/151141.jpg</t>
  </si>
  <si>
    <t>Roberto Ortiz Sanchez</t>
  </si>
  <si>
    <t>Brenda Dean Kimberling</t>
  </si>
  <si>
    <t>Thomas Gendreau Jr</t>
  </si>
  <si>
    <t>3000 Independence Ave</t>
  </si>
  <si>
    <t>Marina</t>
  </si>
  <si>
    <t>200 E Stetson Ave</t>
  </si>
  <si>
    <t>Marina Police Department</t>
  </si>
  <si>
    <t>Hemet Police Department</t>
  </si>
  <si>
    <t>http://www.kionrightnow.com/news/local-news/deadly-officerinvolved-shooting-in-marina-thursday-night/36909768</t>
  </si>
  <si>
    <t>http://abc7.com/news/suspect-killed-in-hemet-officer-involved-shooting/1117602/</t>
  </si>
  <si>
    <t>698 Kenton St</t>
  </si>
  <si>
    <t>500 Tia Juana St N</t>
  </si>
  <si>
    <t>http://www.denverpost.com/news/ci_29243665/aurora-police-report-officer-involved-shooting</t>
  </si>
  <si>
    <t>http://www.sbsun.com/general-news/20151212/knife-wielding-man-shot-killed-by-san-bernardino-police</t>
  </si>
  <si>
    <t>5500 E Sunrise Dr</t>
  </si>
  <si>
    <t>http://tucson.com/news/blogs/police-beat/man-killed-in-officer-involved-shooting-at-tucson-resort/article_d7a54926-a0e5-11e5-a682-b779990c9860.html</t>
  </si>
  <si>
    <t>Steven Wickert</t>
  </si>
  <si>
    <t>http://www.killedbypolice.net/victims/151125.jpg</t>
  </si>
  <si>
    <t>8400 49th Loop SE</t>
  </si>
  <si>
    <t>Olympia</t>
  </si>
  <si>
    <t>Thurston County Sheriff's Office</t>
  </si>
  <si>
    <t>http://www.killedbypolice.net/victims/151135.jpg</t>
  </si>
  <si>
    <t>Nephi Leiataua</t>
  </si>
  <si>
    <t>http://www.komonews.com/news/local/Man-holds-3-year-old-daughter-hostage-in-rural-Thurston-County-361751571.html</t>
  </si>
  <si>
    <t>Ryan McMillan</t>
  </si>
  <si>
    <t>W Oak St &amp; Fry St</t>
  </si>
  <si>
    <t>University of North Texas Police Department</t>
  </si>
  <si>
    <t>http://www.nbcdfw.com/news/local/Man-Dead-After-UNT-Police-Officer-Involved-Shooting-361707321.html</t>
  </si>
  <si>
    <t>http://www.killedbypolice.net/victims/151133.jpg</t>
  </si>
  <si>
    <t>Enrique Gonzalez</t>
  </si>
  <si>
    <t>W 44th Ave and Yates St</t>
  </si>
  <si>
    <t>Mountain View Police Department</t>
  </si>
  <si>
    <t>http://www.denverpost.com/news/ci_29248389/mountain-view-officer-routine-leave-after-shooting-man</t>
  </si>
  <si>
    <t>Mark Toney</t>
  </si>
  <si>
    <t>McDonald Loop</t>
  </si>
  <si>
    <t>Mt Hope</t>
  </si>
  <si>
    <t>Mount Hope Police Department</t>
  </si>
  <si>
    <t>http://www.wowktv.com/story/30752224/man-killed-in-mount-hope-officer-involved-shooting</t>
  </si>
  <si>
    <t>http://www.killedbypolice.net/victims/151143.jpg</t>
  </si>
  <si>
    <t>6800 Filbro Dr</t>
  </si>
  <si>
    <t>Gilroy</t>
  </si>
  <si>
    <t>Gilroy Police Department</t>
  </si>
  <si>
    <t>http://sanfrancisco.cbslocal.com/2015/12/15/gilroy-police-fatal-shooting-domestic-violence-suspect/</t>
  </si>
  <si>
    <t>Hector Alvarez</t>
  </si>
  <si>
    <t>http://www.killedbypolice.net/victims/151144.jpg</t>
  </si>
  <si>
    <t>Michael Thomason</t>
  </si>
  <si>
    <t>Jeffrey Evans</t>
  </si>
  <si>
    <t>Tennessee Hwy 187</t>
  </si>
  <si>
    <t>Milan</t>
  </si>
  <si>
    <t>4000 Bay Dr</t>
  </si>
  <si>
    <t>Middle River</t>
  </si>
  <si>
    <t>Milan Police Department, Gibson County Sheriff's Office</t>
  </si>
  <si>
    <t>http://www.wbaltv.com/news/police-man-shot-by-officers-in-bowleys-quarters-dies/36955372</t>
  </si>
  <si>
    <t>http://www.jacksonsun.com/story/news/crime/2015/12/14/suspect-gibson-co-homicide-dead/77282334/</t>
  </si>
  <si>
    <t>http://www.killedbypolice.net/victims/151139.jpg</t>
  </si>
  <si>
    <t>Andrew Joseph Todd</t>
  </si>
  <si>
    <t>http://www.poconorecord.com/article/20151212/NEWS/151219795</t>
  </si>
  <si>
    <t>Stroud Area Regional Police</t>
  </si>
  <si>
    <t>Todd entered the Wal-Mart, on Lincoln Avenue, at 10:11 p.m. and began threatening customers and pointing a gun at them, witnesses told state police. Stroud Area Regional Police arrived minutes later and ordered Todd to drop his weapons. After he refused, SARP officers fired at him, hitting him in the upper chest.</t>
  </si>
  <si>
    <t>East Stroudsburg</t>
  </si>
  <si>
    <t>355 Lincoln Ave</t>
  </si>
  <si>
    <t>http://www.killedbypolice.net/victims/151146.jpg</t>
  </si>
  <si>
    <t>Ronnie Dubose Carr</t>
  </si>
  <si>
    <t>http://www.gastongazette.com/article/20151215/NEWS/151219462</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</si>
  <si>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</si>
  <si>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U.S. 321 at Hardin Road</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</si>
  <si>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</si>
  <si>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</si>
  <si>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Shun Ma</t>
  </si>
  <si>
    <t>http://www.killedbypolice.net/victims/151147.jpg</t>
  </si>
  <si>
    <t>Unknown address</t>
  </si>
  <si>
    <t>Police Department</t>
  </si>
  <si>
    <t xml:space="preserve"> State</t>
  </si>
  <si>
    <t>2014 population (US Census)</t>
  </si>
  <si>
    <t>2015 victims</t>
  </si>
  <si>
    <t>Rate of Police Killings per Million Population</t>
  </si>
  <si>
    <t>Black population (2012 Census by Race)</t>
  </si>
  <si>
    <t>Percent population black</t>
  </si>
  <si>
    <t>2015 black victims</t>
  </si>
  <si>
    <t>Percent victims black</t>
  </si>
  <si>
    <t>Disparity</t>
  </si>
  <si>
    <t>Violent crimes (2014 FBI UCR)</t>
  </si>
  <si>
    <t>Violent Crime per 1,000 residents</t>
  </si>
  <si>
    <t>1. Bakersfield</t>
  </si>
  <si>
    <t>California</t>
  </si>
  <si>
    <t>2. Oklahoma City</t>
  </si>
  <si>
    <t>3. Oakland</t>
  </si>
  <si>
    <t>4. Indianapolis</t>
  </si>
  <si>
    <t>5. Long Beach</t>
  </si>
  <si>
    <t>6. New Orleans</t>
  </si>
  <si>
    <t>Louisiana</t>
  </si>
  <si>
    <t>7. St. Louis</t>
  </si>
  <si>
    <t>Missouri</t>
  </si>
  <si>
    <t>8. San Francisco</t>
  </si>
  <si>
    <t>9. Anaheim</t>
  </si>
  <si>
    <t>10. Mesa</t>
  </si>
  <si>
    <t>Arizona</t>
  </si>
  <si>
    <t>11. Aurora</t>
  </si>
  <si>
    <t>Colorado</t>
  </si>
  <si>
    <t>12. Arlington</t>
  </si>
  <si>
    <t>Texas</t>
  </si>
  <si>
    <t>13. Fresno</t>
  </si>
  <si>
    <t>14. Miami</t>
  </si>
  <si>
    <t>Florida</t>
  </si>
  <si>
    <t>15. Omaha</t>
  </si>
  <si>
    <t>Nebraska</t>
  </si>
  <si>
    <t>16. Atlanta</t>
  </si>
  <si>
    <t>Georgia</t>
  </si>
  <si>
    <t>17. Austin</t>
  </si>
  <si>
    <t>18. Kansas City, MO</t>
  </si>
  <si>
    <t>19. Houston</t>
  </si>
  <si>
    <t xml:space="preserve">20. Corpus Christi </t>
  </si>
  <si>
    <t>21. Nashville</t>
  </si>
  <si>
    <t>Tennessee</t>
  </si>
  <si>
    <t>22. Fort Worth</t>
  </si>
  <si>
    <t>23. Santa Ana</t>
  </si>
  <si>
    <t>24. San Jose</t>
  </si>
  <si>
    <t>25. El Paso</t>
  </si>
  <si>
    <t>26. Jacksonville</t>
  </si>
  <si>
    <t>27. San Diego</t>
  </si>
  <si>
    <t>28. Tucson</t>
  </si>
  <si>
    <t>29. Los Angeles</t>
  </si>
  <si>
    <t>30. Tampa</t>
  </si>
  <si>
    <t>31. Dallas</t>
  </si>
  <si>
    <t>32. Wichita</t>
  </si>
  <si>
    <t>Kansas</t>
  </si>
  <si>
    <t>33. Cleveland</t>
  </si>
  <si>
    <t>34. Las Vegas</t>
  </si>
  <si>
    <t>Nevada</t>
  </si>
  <si>
    <t>35. Portland</t>
  </si>
  <si>
    <t>Oregon</t>
  </si>
  <si>
    <t>36. Baltimore</t>
  </si>
  <si>
    <t>Maryland</t>
  </si>
  <si>
    <t>37. Columbus</t>
  </si>
  <si>
    <t>38. Memphis</t>
  </si>
  <si>
    <t>39. Phoenix</t>
  </si>
  <si>
    <t>40. Seattle</t>
  </si>
  <si>
    <t>41. Virginia Beach</t>
  </si>
  <si>
    <t>Virginia</t>
  </si>
  <si>
    <t>42. Albuquerque</t>
  </si>
  <si>
    <t>New Mexico</t>
  </si>
  <si>
    <t>43. San Antonio</t>
  </si>
  <si>
    <t>44. Louisville</t>
  </si>
  <si>
    <t>Kentucky</t>
  </si>
  <si>
    <t>45. Boston</t>
  </si>
  <si>
    <t>Massachusetts</t>
  </si>
  <si>
    <t>46. Washington D.C.</t>
  </si>
  <si>
    <t>47. Chicago</t>
  </si>
  <si>
    <t>Illinois</t>
  </si>
  <si>
    <t>48. Honolulu</t>
  </si>
  <si>
    <t>49. Tulsa</t>
  </si>
  <si>
    <t>50. Minneapolis</t>
  </si>
  <si>
    <t>Minnesota</t>
  </si>
  <si>
    <t>51. Raleigh</t>
  </si>
  <si>
    <t>North Carolina</t>
  </si>
  <si>
    <t>52. Colorado Springs</t>
  </si>
  <si>
    <t>53. Sacramento</t>
  </si>
  <si>
    <t>54. Milwaukee</t>
  </si>
  <si>
    <t>Wisconsin</t>
  </si>
  <si>
    <t>55. Denver</t>
  </si>
  <si>
    <t>56. Detroit</t>
  </si>
  <si>
    <t>Michigan</t>
  </si>
  <si>
    <t>57. New York</t>
  </si>
  <si>
    <t>58. Philadelphia</t>
  </si>
  <si>
    <t>Pennsylvania</t>
  </si>
  <si>
    <t>59. Charlotte-Mecklenberg</t>
  </si>
  <si>
    <t>60. Riverside</t>
  </si>
  <si>
    <t>60 Cities Total</t>
  </si>
  <si>
    <t>U.S. Average</t>
  </si>
  <si>
    <t>Violent Crime Data from https://www.fbi.gov/about-us/cjis/ucr/crime-in-the-u.s/2014/crime-in-the-u.s.-2014/tables/table-8/Table_8_Offenses_Known_to_Law_Enforcement_by_State_by_City_2014.xls/view</t>
  </si>
  <si>
    <t>Jeff Alexander</t>
  </si>
  <si>
    <t>http://www.turnto23.com/news/local-news/bakersfield-police-officer-shoots-knife-wielding-man-in-downtown-hotel-031815</t>
  </si>
  <si>
    <t>1125 1/2 19th Street</t>
  </si>
  <si>
    <t>Witnesses told officers that the suspect, only identified as a 47-year-old white man, had armed himself with a knife and had brandished it at several other people at the hotel. They also indicated what they believed to be an officer telling the suspect to put down the knife before the witnesses heard gunshots.</t>
  </si>
  <si>
    <t>1400 S State St</t>
  </si>
  <si>
    <t>Robert Teter</t>
  </si>
  <si>
    <t>Maldive Ct</t>
  </si>
  <si>
    <t>Eunice Rd</t>
  </si>
  <si>
    <t>St Martinville</t>
  </si>
  <si>
    <t>4085 Midway Rd</t>
  </si>
  <si>
    <t>Douglasville</t>
  </si>
  <si>
    <t>E 11th Ave and Yosemite St</t>
  </si>
  <si>
    <t>Leroy Browning</t>
  </si>
  <si>
    <t>37900 47th St E</t>
  </si>
  <si>
    <t>Mark Ramirez</t>
  </si>
  <si>
    <t>800 S Travis St</t>
  </si>
  <si>
    <t>Ruben Herrera</t>
  </si>
  <si>
    <t>1000 W Carson St</t>
  </si>
  <si>
    <t>Quarry Ln</t>
  </si>
  <si>
    <t>Erica Lauro</t>
  </si>
  <si>
    <t>1900 Lear Dr</t>
  </si>
  <si>
    <t>Northwood Police Department, Oregon Police Division</t>
  </si>
  <si>
    <t>Edel Moreland</t>
  </si>
  <si>
    <t>Homewood Rd</t>
  </si>
  <si>
    <t>Linthicum Heights</t>
  </si>
  <si>
    <t>Amos Frerichs</t>
  </si>
  <si>
    <t>145 Moss Grove Blvd</t>
  </si>
  <si>
    <t>325 Adobe Rd</t>
  </si>
  <si>
    <t>Taos</t>
  </si>
  <si>
    <t>Taos County Sheriff's Office</t>
  </si>
  <si>
    <t>Douglas Yon</t>
  </si>
  <si>
    <t>600 Virginia Ave</t>
  </si>
  <si>
    <t>Christopher Fletcher</t>
  </si>
  <si>
    <t>801 10th St</t>
  </si>
  <si>
    <t>Bryant Duncan</t>
  </si>
  <si>
    <t>200 Carmen Dr</t>
  </si>
  <si>
    <t>Camarillo</t>
  </si>
  <si>
    <t>Moreland allegedly tried to rob an off-duty Baltimore police officer using a toy gun. The off-duty officer, an 18-year veteran, opened fire during the incident.</t>
  </si>
  <si>
    <t>http://www.baltimoresun.com/news/maryland/crime/blog/bs-md-aaco-bpd-20151219-story.html</t>
  </si>
  <si>
    <t>Frerichs reportedly attempted to shoplift a sports store and fled from deputies who deployed Tasers as he resisted arrest. Frerichs reached his vehicle and ran over the two deputies, according to police. One deputy then opened fire.</t>
  </si>
  <si>
    <t>http://www.knoxnews.com/news/crime-courts/shoplifter-shot-by-knox-deputies-idd-as-repeat-offender-27472b6f-1b16-79dc-e053-0100007f4dc4-363035741.html</t>
  </si>
  <si>
    <t>Yon was standing outside his home with a machete when police responded to a disturbance call, according to authorities. Police said he was killed when he engaged officers.</t>
  </si>
  <si>
    <t>http://www.cleveland.com/akron/index.ssf/2015/12/kent_police_officer_fatally_sh_1.html</t>
  </si>
  <si>
    <t>Fletcher refused to stop riding his bicycle when police tried to pull him over, authorities said. Officers pursued Fletcher and shot him when they realized he was armed and ignored the officers' commands to drop his gun, according to police.</t>
  </si>
  <si>
    <t>http://www.modbee.com/news/local/crime/article50325910.html</t>
  </si>
  <si>
    <t>Duncan reportedly called 911 and told the dispatcher a crime was going to happen and he wanted police to kill him. Duncan was shot when he approached a responding deputy with a knife, police said.</t>
  </si>
  <si>
    <t>http://www.vcstar.com/news/local/camarillo/officer-involved-shooting-reported-in-camarillo-27097c6f-4730-3e2a-e053-0100007f1eba-362679981.html</t>
  </si>
  <si>
    <t>Officers were pursuing Lauro and two men she was with during an assault investigation, authorities said. When police caught up with group, Lauro and one of the men allegedly began shooting at officers. Police said Lauro was pronounced dead at the scene and both men were arrested.</t>
  </si>
  <si>
    <t>http://www.toledoblade.com/Police-Fire/2015/12/18/1-dead-after-officer-involved-shooting-in-Northwood.html#2oqpmjpJK63ix7PT.99</t>
  </si>
  <si>
    <t>The man allegedly waved a handgun at officers, who arrived following a domestic dispute. Two deputies were involved in the shooting, police said.</t>
  </si>
  <si>
    <t>http://www.santafenewmexican.com/news/local_news/taos-deputies-fatally-shoot-suspect/article_412ef08b-8e5a-57a5-9541-98a620ea0e6e.html</t>
  </si>
  <si>
    <t>Herrera allegedly reached for an officer's firearm during an altercation inside a local hospital. He was shot once in the torso. Officers brought Herrera to hospital after using a Taser and pepper spray on him as they claimed he resisted arrest. His mother witnessed the arrest and said Herrera had complied with police commands.</t>
  </si>
  <si>
    <t>http://www.latimes.com/local/lanow/la-me-ln-officer-involved-shooting-20151219-story.html</t>
  </si>
  <si>
    <t>The man took a three-year-old child hostage at a residence. A 15-hour standoff with police ended when the child was released without harm. The man then opened fired on officers, police said. The officers returned fire.</t>
  </si>
  <si>
    <t>http://www.newsadvance.com/news/local/man-dies-after--hour-hostage-situation-in-campbell-county/article_660b4c92-a68b-11e5-b197-6f37f78641c0.html</t>
  </si>
  <si>
    <t>Browning fled from deputies who were attempting to arrest him for DUI. Browning allegedly reached for a deputy's firearm during a physical altercation prompting police to open fire.</t>
  </si>
  <si>
    <t>http://abc7.com/news/suspect-killed-in-deputy-involved-shooting-at-palmdale-taco-bell/1129777/</t>
  </si>
  <si>
    <t>Police were informed that Ramirez was suicidal and possible armed, according to authorities. Officers responded to his home and shot Ramirez when he answered the door and moved his gun in the direction of the officers, police said.</t>
  </si>
  <si>
    <t>http://www.newschannel10.com/story/30796479/apd-armed-resident-shot-investigation-ongoing</t>
  </si>
  <si>
    <t>Teter allegedly got into an argument with a cab driver over the fare. Officials said Teter pulled out a gun when the driver called police. Deputies shot him when he refused to drop his weapon, according to authorities.</t>
  </si>
  <si>
    <t>http://www.floridatoday.com/story/news/crime/2015/12/22/gunman-shot-killed-deputies-after-cab-fare-dispute/77738534/</t>
  </si>
  <si>
    <t>Officers responded to a report of a man with a gun and shot the man when he allgedly brandished his gun at them, police said.</t>
  </si>
  <si>
    <t>http://www.pe.com/articles/evans-789901-police-hemet.html</t>
  </si>
  <si>
    <t>Police had been pursuing the man, who had allegedly stolen a car, for several days. They spotted the stolen vehicle in a convenience store parking lot, authorities said. The man rammed his car into an officer's cruiser and the store's front door before officers shot him, according to police.</t>
  </si>
  <si>
    <t>http://www.denverpost.com/news/ci_29297921/man-dies-officer-involved-shooting-denver</t>
  </si>
  <si>
    <t>A security guard at a mobile home park called police to report that he had been kidnapped and had escaped, according to authorities. Police were arresting three suspects in the kidnapping, when an officer disarmed one of the suspects and placed the gun on the hood of a nearby car, investigators said. A second suspect grabbed the gun and pointed it at deputies when he was fatally shot, according to officials.</t>
  </si>
  <si>
    <t>http://www.ajc.com/news/news/breaking-news/one-person-dead-in-officer-involved-shooting-in-do/nppqY/</t>
  </si>
  <si>
    <t>http://www.theadvertiser.com/story/news/local/2015/12/21/state-police-investigating-officer-involved-shooting-breaux-bridge/77730572/?from=global&amp;sessionKey=&amp;autologin=</t>
  </si>
  <si>
    <t>http://www.killedbypolice.net/victims/151158.jpg</t>
  </si>
  <si>
    <t>http://www.killedbypolice.net/victims/151157.jpg</t>
  </si>
  <si>
    <t>http://www.killedbypolice.net/victims/151153.jpg</t>
  </si>
  <si>
    <t>http://www.killedbypolice.net/victims/151152.jpg</t>
  </si>
  <si>
    <t>http://www.killedbypolice.net/victims/151149.jpg</t>
  </si>
  <si>
    <t>http://www.killedbypolice.net/victims/151148.jpg</t>
  </si>
  <si>
    <t>Robert L. Martinez</t>
  </si>
  <si>
    <t>http://www.killedbypolice.net/victims/151151.jpg</t>
  </si>
  <si>
    <t>Trevon Scruggs</t>
  </si>
  <si>
    <t>http://www.killedbypolice.net/victims/151155.jpg</t>
  </si>
  <si>
    <t>Footage shows the officer pursuing an SUV allegedly driven by Thomas. Right after Thomas crosses Black Olive Drive, the SUV flips and passenger and Ehorn is ejected.Feaster calls in the accident, gets out of the car, and shoots Thomas as he is attempting to exit the SUV out of the passenger side window. Thomas slumps back down into the vehicle. Ehorn died at the scene.</t>
  </si>
  <si>
    <t>http://www.chicoer.com/general-news/20151219/man-shot-by-paradise-officer-dies-protest-continues</t>
  </si>
  <si>
    <t>Paradise Police Department</t>
  </si>
  <si>
    <t>Black Olive Drive</t>
  </si>
  <si>
    <t>Darien Ehorn</t>
  </si>
  <si>
    <t>Bobby Daniels</t>
  </si>
  <si>
    <t>http://www.killedbypolice.net/victims/151164.jpg</t>
  </si>
  <si>
    <t>Derek DeGroat</t>
  </si>
  <si>
    <t>Volunteer Way</t>
  </si>
  <si>
    <t>Canaan Township</t>
  </si>
  <si>
    <t>Troopers responded after investigators say someone inside the home called 911 saying Derek DeGroat was threatening to take his own life and had guns.The Wayne County district attorney says troopers shot and killed DeGroat, but it's not clear what caused troopers to use deadly force.</t>
  </si>
  <si>
    <t>http://wnep.com/2015/12/22/state-police-involved-deadly-shooting-in-wayne-county/</t>
  </si>
  <si>
    <t>http://www.killedbypolice.net/victims/151165.jpg</t>
  </si>
  <si>
    <t>Alfredo Barrientos</t>
  </si>
  <si>
    <t>Guadalupe Quiroz</t>
  </si>
  <si>
    <t>At about 6:40 a.m., LMC emergency room staff called police, requesting assistance with a “combative patient who had disconnected himself from his IV and catheter and was trying to leave the hospital,” police said. “The patient was naked and bleeding at the time of the call.
“The Laredo police response and situation assessment required the use of a Taser by the police officer.” Soon after he was returned to LMC’s care, the 47-year-old man died, LPD said.</t>
  </si>
  <si>
    <t>http://www.lmtonline.com/front-news/article_55a2a37a-a837-11e5-af1f-1b20631b5206.html</t>
  </si>
  <si>
    <t>1700 E Saunders St</t>
  </si>
  <si>
    <t>Jeffrey Hiltz</t>
  </si>
  <si>
    <t>http://www.killedbypolice.net/victims/151160.jpg</t>
  </si>
  <si>
    <t>http://www.newburyportnews.com/news/danvers-man-killed-in-police-stop-stick-accident/article_25f2b5e6-a7f8-11e5-a089-8be2df7d7e32.html</t>
  </si>
  <si>
    <t>A Danvers man fleeing police was killed yesterday when the car he was driving ran over police "stop sticks" and went off Interstate 95.</t>
  </si>
  <si>
    <t>Massachusetts State Police</t>
  </si>
  <si>
    <t>Route 1</t>
  </si>
  <si>
    <t>http://www.killedbypolice.net/victims/151163.jpg</t>
  </si>
  <si>
    <t>http://www.killedbypolice.net/victims/151174.jpg</t>
  </si>
  <si>
    <t>Rashad was riding up an escalator at about 8:25 p.m. Nov. 14, allegedly still holding the knife allegedly used in the stabbing, and headed toward the Amtrak level, while the officer was headed down another escalator. The officer tried to subdue the man, then shot him multiple times in the upper body, police said.</t>
  </si>
  <si>
    <t>http://www.nbcwashington.com/news/local/Stabbing-Suspect-Dies-Shot-Off-Duty-Police-Officer-Union-Station-Metro-363321761.html</t>
  </si>
  <si>
    <t>40 Massachusetts Ave., NE</t>
  </si>
  <si>
    <t>Dearborn police said the officer was patrolling the area of Tireman and Greenfield at the Dearborn-Detroit border when he saw Kevin. Police say he ran when the officer approached. "The officer chased the subject and encountered him several houses away in Detroit, where a struggle ensued," the news release said. "Subsequently, the officer fired his department-issued weapon, striking the subject."  He was unarmed, and community members dispute the police narrative.</t>
  </si>
  <si>
    <t>http://www.freep.com/story/news/local/2015/12/23/police-dearborn-officer-involved-fatal-shooting/77834122/</t>
  </si>
  <si>
    <t>8000 Whitcomb</t>
  </si>
  <si>
    <t>Roy Nelson</t>
  </si>
  <si>
    <t>2500 Ironwood Court</t>
  </si>
  <si>
    <t>Hayward officers responded to a report of a man needing an emergency mental health evaluation. After arriving, officers determined Roy needed an involuntary psychiatric hold and put him in the back of a police car. On the way to the hospital, police allege that Roy tried to kick out the car's rear window. The police put Roy in a leg restraint, after which Roy died.</t>
  </si>
  <si>
    <t>http://www.contracostatimes.com/breaking-news/ci_29300636/hayward-man-dies-while-police-custody</t>
  </si>
  <si>
    <t>http://www.killedbypolice.net/victims/3050.jpg</t>
  </si>
  <si>
    <t>Brandon Barsnick</t>
  </si>
  <si>
    <t>Big Oak Valley Road</t>
  </si>
  <si>
    <t>Smartsville</t>
  </si>
  <si>
    <t xml:space="preserve">"Upon arrival, the team encountered the suspect outside on the porch of the residence. The man was armed with an assault rifle. A short standoff ensued," officials said. 
"He said Barsnick did not comply with SWAT members' orders. (He) pointed the rifle at team members and was fatally wounded by team members responding to the imminent, life- threatening situation," officials said. </t>
  </si>
  <si>
    <t>http://www.appeal-democrat.com/news/yuba-county-standoff-ends-in-wanted-man-s-death/article_69705330-a921-11e5-8b90-e736902c1dcc.html</t>
  </si>
  <si>
    <t>Michael Hilber</t>
  </si>
  <si>
    <t>Charles Reynolds</t>
  </si>
  <si>
    <t>Jose Rodriguez</t>
  </si>
  <si>
    <t>Kenneth Stephens</t>
  </si>
  <si>
    <t>2300 Endsley Rd</t>
  </si>
  <si>
    <t>106 Elm St</t>
  </si>
  <si>
    <t>Ludlow Police Department</t>
  </si>
  <si>
    <t>300 Pennsylvania St NE</t>
  </si>
  <si>
    <t>101 Elmwood Ave</t>
  </si>
  <si>
    <t>Vermont State Police, Drug Enforcement Administration</t>
  </si>
  <si>
    <t>http://www.killedbypolice.net/victims/151173.jpg</t>
  </si>
  <si>
    <t>http://www.killedbypolice.net/victims/151171.jpg</t>
  </si>
  <si>
    <t>http://www.killedbypolice.net/victims/151170.jpg</t>
  </si>
  <si>
    <t>http://www.killedbypolice.net/victims/151168.jpg</t>
  </si>
  <si>
    <t>Chan Leith</t>
  </si>
  <si>
    <t>http://www.killedbypolice.net/victims/151150.jpg</t>
  </si>
  <si>
    <t>http://www.killedbypolice.net/victims/151140.jpg</t>
  </si>
  <si>
    <t>http://www.killedbypolice.net/victims/151137.jpg</t>
  </si>
  <si>
    <t>http://www.killedbypolice.net/victims/151142.jpg</t>
  </si>
  <si>
    <t>Mharloun Verdejo Saycon</t>
  </si>
  <si>
    <t>http://www.killedbypolice.net/victims/151121.jpg</t>
  </si>
  <si>
    <t>http://www.killedbypolice.net/victims/151077.jpg</t>
  </si>
  <si>
    <t>Kevin Close</t>
  </si>
  <si>
    <t>Kimberly K. Wyatt</t>
  </si>
  <si>
    <t>http://www.killedbypolice.net/victims/151037.jpg</t>
  </si>
  <si>
    <t>Shane Tyler Whitehead</t>
  </si>
  <si>
    <t>http://www.killedbypolice.net/victims/150966.jpg</t>
  </si>
  <si>
    <t>http://www.killedbypolice.net/victims/150962.jpg</t>
  </si>
  <si>
    <t>Jeffrey Womack</t>
  </si>
  <si>
    <t>Revere</t>
  </si>
  <si>
    <t>Winthrop Avenue </t>
  </si>
  <si>
    <t>Revere Police Department</t>
  </si>
  <si>
    <t>The man died after being forcibly restrained. The man had been hospitalized for a mental health evaluation last week, and allegedly smashed through a window of a Winthrop Avenue apartment building and forced his way into a residence with a young relative. He was found to be bleeding and combative in a hallway when police arrived. He punched, kicked, and bit the officers and at one point tried to jump out a window.</t>
  </si>
  <si>
    <t>http://www.killedbypolice.net/victims/150887.jpg</t>
  </si>
  <si>
    <t>http://www.killedbypolice.net/victims/150869.jpg</t>
  </si>
  <si>
    <t>http://www.killedbypolice.net/victims/150778.jpg</t>
  </si>
  <si>
    <t>Mark Jeffrey Kaplan</t>
  </si>
  <si>
    <t>http://www.killedbypolice.net/victims/150756.jpg</t>
  </si>
  <si>
    <t>Daquan Antonio Westbrook</t>
  </si>
  <si>
    <t>http://www.killedbypolice.net/victims/151176.jpg</t>
  </si>
  <si>
    <t>http://www.wbtv.com/story/30827221/source-gunman-shot-and-killed-at-northlake-mall</t>
  </si>
  <si>
    <t>Shooting took place in the Northlake Mall. "Five guys started fighting, two of them ran out of the store when the third guy came out of the store he pulled out a gun," Elliott said. "Officer stepped up, said put your gun down, he turned around and opened fire." police said.</t>
  </si>
  <si>
    <t>Charlotte-Mecklenberg Police Department</t>
  </si>
  <si>
    <t>6801 Northlake Mall Dr</t>
  </si>
  <si>
    <t>Terrozza Tyree Griffin</t>
  </si>
  <si>
    <t>http://www.killedbypolice.net/victims/151181.jpg</t>
  </si>
  <si>
    <t>Lansing</t>
  </si>
  <si>
    <t>http://www.wilx.com/breaking/home/BREAKING-Officer-Involved-Shooting-in-Lansing-363517161.html</t>
  </si>
  <si>
    <t>Chief Yankowski reports that shortly after 7:30 PM on Dec. 24th Lansing Police officers responded to a report of a home invasion in progress in the 5900 block of Selfridge on Lansing's southwest side. A man was seen entering the window of a home. When they went into the house, shots were fired at the officers, forcing them to retreat back outside. A short time later, they encountered the accused male suspect and he challenged them with a gun. Police officers shot the man, then secured him and removed him and themselves from the fire.</t>
  </si>
  <si>
    <t>Lansing Police Department</t>
  </si>
  <si>
    <t>5900 Selfridge</t>
  </si>
  <si>
    <t>Quintonio Legrier</t>
  </si>
  <si>
    <t>Officers responded to the call at an apartment complex early Saturday, after the father of 19-year-old Quintonio Legrier called police to say his son was acting erratic and carrying a metal baseball bat.  "He was having a mental situation," Legrier's mother, Janet Cooksey, told ABC 7. "Sometimes he will get loud, but not violent." The officer, who has not yet been identified, fatally shot Legrier seven times, the teen's family said. “We’re thinking the police are going to service us, take him to the hospital," Cooksey told the Chicago Tribune. "They took his life.” A second victim, who has been identified only as a 56-year-old woman, was a downstairs tenant and bystander. The woman's daughter, Latisha Jones, told the Tribune she found her mother dead with a gunshot wound to her neck.</t>
  </si>
  <si>
    <t>http://www.huffingtonpost.com/entry/chicago-cop-fatally-shoots-mentally-ill-teen-56-year-old-woman_567ecb6ae4b014efe0d850f6</t>
  </si>
  <si>
    <t>4700 W. Erie</t>
  </si>
  <si>
    <t>http://hinterlandgazette.com/wp-content/uploads/2015/12/quintonio-legrier-549x450.png</t>
  </si>
  <si>
    <t>Bettie Jones</t>
  </si>
  <si>
    <t>http://media.nbcchicago.com/images/1200*675/quintonio+bettie.jpg</t>
  </si>
  <si>
    <t>Rashad Bugg-Bey</t>
  </si>
  <si>
    <t>https://pbs.twimg.com/media/CTUhao9UkAA4_Bk.jpg:large</t>
  </si>
  <si>
    <t>A U.S. Customs and Border Protection officer fatally shot her boyfriend in their Chula Vista apartment Saturday, telling police that it was in self-defense as he was hitting her, authorities said.</t>
  </si>
  <si>
    <t>http://www.obitsforlife.com/uploaded-images/converted/566275-55f0ab5889cd8-shrink-x180.jpg</t>
  </si>
  <si>
    <t>https://pbs.twimg.com/media/CN03J2PUYAAPu92.jpg</t>
  </si>
  <si>
    <t>http://data.fatalencounters.org/s/preview-page/Andrew-Ellerbe-7360.1?height=512</t>
  </si>
  <si>
    <t>http://newsninja2012.com/wp-content/uploads/2015/06/baltimore.jpg</t>
  </si>
  <si>
    <t>http://d1t3gia0in9tdj.cloudfront.net/photo/tributes/t/8/r/207x207/3051347/Jermaine-Benjamin-Bartee-1435055980.jpg</t>
  </si>
  <si>
    <t>http://mediaassets.commercialappeal.com/photo/2015/07/20/Darrius%20Stewart_1437431224858_21766409_ver1.0_640_480.jpg</t>
  </si>
  <si>
    <t>http://www.wdtv.com/wdtv.cfm?func=view&amp;section=5-News&amp;item=EXCLUSIVE-Weston-Man-Dead-Police-Officer-on-Administrative-Leave-24479</t>
  </si>
  <si>
    <t>http://www.miamiherald.com/news/local/community/miami-dade/miami-beach/article26060944.html</t>
  </si>
  <si>
    <t>http://www.wvva.com/story/29466467/2015/07/02/breaking-news-1-dead-hostage-situation-leads-to-officer-involved-shooting</t>
  </si>
  <si>
    <t>http://www.news4jax.com/news/suspect-killed-officer-injured-in-police-shooting/33974884</t>
  </si>
  <si>
    <t>http://www.wickedlocal.com/article/20150702/NEWS/150708999</t>
  </si>
  <si>
    <t>http://www.nbclosangeles.com/news/local/Deputy-shooting-lancaster-311628441.html</t>
  </si>
  <si>
    <t>http://www.courierpostonline.com/story/news/crime/2015/07/04/camden-police-officers-kill-man-gun/29693979/</t>
  </si>
  <si>
    <t>http://newsok.com/oklahoma-city-police-shoot-kill-man-saturday/article/5431785</t>
  </si>
  <si>
    <t>http://www.dailypress.com/news/newport-news/dp-officer-involved-shooting-in-newport-news-leaves-victim-dead-20150704-story.html</t>
  </si>
  <si>
    <t>http://newsok.com/second-fatal-officer-involved-shooting-since-saturday-reported-in-south-oklahoma-city/article/5431953</t>
  </si>
  <si>
    <t>http://www.kxlf.com/story/29538103/carjacking-suspect-dies-after-alleged-crime-spree-being-tased-multiple-times</t>
  </si>
  <si>
    <t>http://www.wxii12.com/news/1-dead-in-deputy-involved-shooting-in-Ashe-County/34070958</t>
  </si>
  <si>
    <t>http://www.appeal-democrat.com/news/yuba-county-deputies-shoot-and-kill-man/article_988dc48e-292b-11e5-aed0-fff834fef7bc.html</t>
  </si>
  <si>
    <t>http://www.wsbtv.com/news/news/local/gbi-investigates-fatal-officer-involved-shooting/nmxZz/</t>
  </si>
  <si>
    <t>http://www.kansascity.com/news/local/crime/article27392695.html</t>
  </si>
  <si>
    <t>http://www.king5.com/story/news/crime/2015/07/17/ravenna-spd-cruiser-rammed/30286759/</t>
  </si>
  <si>
    <t>Gunner was killed by his father, an officer with the Paris, Tennessee Police Department. The officer has been arrested on first-degree murder charges.</t>
  </si>
  <si>
    <t>Paris Police Department</t>
  </si>
  <si>
    <t>286 Howard Road</t>
  </si>
  <si>
    <t>Puryear</t>
  </si>
  <si>
    <t>Police said the off-duty officer was walking westbound when he was approached by two males, at least one of which was armed. When the men attempted to rob the officer, he fired 7 shots, striking one suspect several times, police said.</t>
  </si>
  <si>
    <t>Local police tried to pull Mariah Boucher over for a traffic infraction -- they wouldn't say what -- but she refused to pull over. The officer initiated a pursuit and learned the car was called in as stolen. As a result of the chase, the car ended up wrecked, in flames, with Boucher and passengers Kameron Jackson and Donovan King dead at the scene.</t>
  </si>
  <si>
    <t>http://abc13.com/news/one-dead-following-deputy-involved-shooting-at-nightclub/865562/</t>
  </si>
  <si>
    <t>http://www.click2houston.com/news/hpd-investigating-after-possible-incustody-death-in-southeast-houston/34238632</t>
  </si>
  <si>
    <t>http://www.koco.com/news/offduty-midwest-city-police-officer-involved-in-choctaw-shooting/34265766</t>
  </si>
  <si>
    <t>http://www.mercurynews.com/crime-courts/ci_28681936/fremont-man-dies-from-gunshot-wounds-officer-involved</t>
  </si>
  <si>
    <t>http://www.12newsnow.com/story/29588216/chambers-county-deputy-involved-shooting-near-winnie</t>
  </si>
  <si>
    <t>http://www.chicagotribune.com/news/local/breaking/ct-man-dies-in-police-custody-in-brighton-park-20150720-story.html</t>
  </si>
  <si>
    <t>http://www.northwestgeorgianews.com/calhoun_times/news/police_fire/stick-wielding-man-fatally-shot-by-bartow-deputy/article_854c9ebe-2ff6-11e5-bafd-2fa36e142427.html</t>
  </si>
  <si>
    <t>http://www.wtoc.com/story/29602599/gbi-investigates-ois-death-in-wayne-county</t>
  </si>
  <si>
    <t>http://www.local10.com/news/large-police-presence-outside-oakland-park-apartment-building/34278198</t>
  </si>
  <si>
    <t>http://fox11online.com/news/state/suspect-killed-by-deputies-pointed-unloaded-gun-at-them</t>
  </si>
  <si>
    <t>http://www.wmcactionnews5.com/story/29700419/bi-state-jail-inmate-found-dead-laid-to-rest</t>
  </si>
  <si>
    <t>http://trib.com/news/local/crime-and-courts/man-dead-after-officer-involved-shooting-in-converse-county/article_21a539c9-1b63-5fdf-8d3c-52c45c3b8f26.html</t>
  </si>
  <si>
    <t>http://www.sacbee.com/news/local/crime/article28452859.html</t>
  </si>
  <si>
    <t>http://www.whio.com/news/news/crime-law/harrison-twp-shooting-believed-to-involve-deputies/nm5KW/</t>
  </si>
  <si>
    <t>http://www.carolinalive.com/news/story.aspx?id=1234584#.VbJhiVUViko</t>
  </si>
  <si>
    <t>http://www.sltrib.com/home/2784805-155/logan-swat-standoff-ends-with-deadly</t>
  </si>
  <si>
    <t>http://www.kait8.com/story/29656479/one-dead-following-officer-involved-shooting-in-manila</t>
  </si>
  <si>
    <t>http://www.wrcbtv.com/story/29646814/deputy-involved-shooting-in-bradley-county</t>
  </si>
  <si>
    <t>http://losangeles.cbslocal.com/2015/07/30/deputies-shoot-stick-wielding-suspect-in-whittier/</t>
  </si>
  <si>
    <t>http://www.nola.com/crime/baton-rouge/index.ssf/2015/07/police_fatal_shooting_baton_ro.html</t>
  </si>
  <si>
    <t>http://www.lcsun-news.com/las_cruces-news/ci_28555681/dona-ana-county-sheriffs-office-team-member-shoots</t>
  </si>
  <si>
    <t>https://www.bostonglobe.com/metro/2015/07/30/man-critical-condition-after-rampage-worcester-market/JkrgMwQj3EgJeEdSpDuUMJ/story.html</t>
  </si>
  <si>
    <t>http://www.krcrtv.com/southbound-i5-closed-after-fatal-chp-shooting-near-dunsmuir/34443668</t>
  </si>
  <si>
    <t>http://www.kolotv.com/home/headlines/Douglas-County-Sheriff-Deputies-Involved-in-Fatal-Shooting-320242491.html</t>
  </si>
  <si>
    <t>http://krqe.com/2015/07/31/officer-involved-shooting-occurs-in-roswell-friday-night/</t>
  </si>
  <si>
    <t>http://www.koat.com/news/police-ask-residents-to-avoid-garfield-at-edith/34474822</t>
  </si>
  <si>
    <t>http://www.star-telegram.com/news/local/community/fort-worth/article29627467.html</t>
  </si>
  <si>
    <t>http://www.wsaz.com/home/headlines/Police-on-the-Scene-of-a-Fatal-Shooting-in-Nitro-320403812.html</t>
  </si>
  <si>
    <t>http://www.wfaa.com/story/news/local/2015/08/01/man-unresponsive-after-dallas-jail-scuffle/30986151/</t>
  </si>
  <si>
    <t>http://www.sfgate.com/crime/article/Oakland-police-involved-in-shooting-6421188.php</t>
  </si>
  <si>
    <t>http://www.thestarpress.com/story/news/crime/2015/08/03/breaking-police-scene-apparent-hostage-situation/31059823/</t>
  </si>
  <si>
    <t>http://www.news-gazette.com/news/local/2015-08-04/man-dies-gunshot-rantoul-standoff.html</t>
  </si>
  <si>
    <t>http://www.ldnews.com/ci_28576774/police-involved-shooting-at-horseshoe-pike-gun-shop</t>
  </si>
  <si>
    <t>http://www.ocregister.com/articles/deputy-675830-sheriff-county.html</t>
  </si>
  <si>
    <t>http://www.nbc15.com/home/headlines/Suicidal-man-shot-and-killed-by-greenfield-police-320847671.html</t>
  </si>
  <si>
    <t>http://www.king5.com/story/news/local/tacoma/2015/08/05/robbery-suspect-shot--tacoma-officer/31198431/</t>
  </si>
  <si>
    <t>http://www.sacbee.com/news/local/crime/article24714634.html#storylink=cpy</t>
  </si>
  <si>
    <t>http://www.killedbypolice.net/victims/150246.jpg</t>
  </si>
  <si>
    <t>Sabbie was sprayed with a chemical agent while in jail, becoming unresponsive and dying soon afterwards.</t>
  </si>
  <si>
    <t>Larosa was shot after tripping and falling to the ground while fleeing officers following an undercover sting operation against drug deals, according to the sheriff's office. The officer alleged that he opened fire because Larosa reached into his waistband. No weapon was recovered from the scene.</t>
  </si>
  <si>
    <t>http://www.theguardian.com/us-news/freddie-gray</t>
  </si>
  <si>
    <t>http://www.nytimes.com/2015/08/19/nyregion/fishkill-prison-inmate-died-after-fight-with-officers-records-show.html</t>
  </si>
  <si>
    <t>http://www.chron.com/houston/article/Shots-fired-at-end-of-police-chase-6201525.php</t>
  </si>
  <si>
    <t>Frank Shephard III</t>
  </si>
  <si>
    <t>Kevin Matthews</t>
  </si>
  <si>
    <t>Acton was reportedly naked, drunk, and attempting to assault an acquaintance when police captured him and handcuffed him. He reportedly stopped breathing shortly thereafter.</t>
  </si>
  <si>
    <t>Siolosega Velega-Nuufolau</t>
  </si>
  <si>
    <t>29000 Del Sol Ct</t>
  </si>
  <si>
    <t>Santa Nella Village</t>
  </si>
  <si>
    <t>Merced County Sheriff's Department</t>
  </si>
  <si>
    <t>Corey Achstein</t>
  </si>
  <si>
    <t>300 Causey Ave</t>
  </si>
  <si>
    <t>Suffolk Police Department</t>
  </si>
  <si>
    <t>Michael Parker</t>
  </si>
  <si>
    <t>MS-26 and Henry Cochran Rd</t>
  </si>
  <si>
    <t>George County Sheriff's Office</t>
  </si>
  <si>
    <t>Sean Mould</t>
  </si>
  <si>
    <t>1000 E Fremont Dr</t>
  </si>
  <si>
    <t>Lonnie Niesen</t>
  </si>
  <si>
    <t>12220 N 39th Ave</t>
  </si>
  <si>
    <t>600 Forest Ave</t>
  </si>
  <si>
    <t>Palo Alto</t>
  </si>
  <si>
    <t>Palo Alto Police Department</t>
  </si>
  <si>
    <t>US-425</t>
  </si>
  <si>
    <t>Winnsboro</t>
  </si>
  <si>
    <t>16486 Pride-Baywood Rd</t>
  </si>
  <si>
    <t>Pride</t>
  </si>
  <si>
    <t>Omar Ventura</t>
  </si>
  <si>
    <t>200 N Larson St</t>
  </si>
  <si>
    <t>Porterville</t>
  </si>
  <si>
    <t>Porterville Police Department</t>
  </si>
  <si>
    <t>http://www.killedbypolice.net/victims/151180.jpg</t>
  </si>
  <si>
    <t>http://abc30.com/news/porterville-man-killed-in-officer-involved-shooting/1135772/</t>
  </si>
  <si>
    <t xml:space="preserve">Niesen was fatally shot outside a police station when he threw a rock or brick at an officer, according to authorities. He had allegedly thrown rocks at a patrol car and station window moments earlier.
</t>
  </si>
  <si>
    <t>A woman called 911 asking for help getting Mould, her boyfriend, to leave their home, authorities said. Police shot Mould when he refused to drop a knife as he walked toward officers, according to officials.</t>
  </si>
  <si>
    <t>Velega-Nuufolau was reportedly standing in a neighbor's driveway yelling for someone to call 911, according to authorities. Deputies arrived after the neighbor called police, and a responding deputy shot Velega-Nuufolau when she allegedly charged at him with a knife, police said. Velega-Nuufolau was a military veteran, according to officials.</t>
  </si>
  <si>
    <t>http://www.fresnobee.com/news/local/crime/article52044185.html</t>
  </si>
  <si>
    <t>http://www.13newsnow.com/story/news/local/mycity/suffolk/2015/12/28/suffolk-police-investigating-officer-involved-shooting/77998404/</t>
  </si>
  <si>
    <t>Police received multiple reports that Achstein was chasing and threatening people while brandishing a gun, according to authorities. A responding officer shot Achstein during an altercation, police said. Officials later said that he was carrying a BB gun.</t>
  </si>
  <si>
    <t>The man was shot dead after charging at officers with a knife, according to authorities. Officers were responding to a report that a man armed with a knife was threatening to harm people inside a home. Officials said it appeared, however, that the call had been a ruse to lure officers into shooting the man.</t>
  </si>
  <si>
    <t>http://www.mercurynews.com/peninsula/ci_29312525/palo-alto-person-allegedly-armed-knife-killed-officer</t>
  </si>
  <si>
    <t>Police said the man was shot by officers as he drove towards a road block and refused to stop his vehicle. He was being pursued for allegedly driving recklessly.</t>
  </si>
  <si>
    <t>http://www.kalb.com/home/headlines/Franklin-Parish-traffic-pursuit-leads-to-drivers-death-363500081.html</t>
  </si>
  <si>
    <t>Sanders was shot after he walked out of his home and pointed a high-powered rifle towards deputies, according to authorities. Officers had been called to the house to deal with a domestic disturbance. Sanders was said to have threatened to harm himself.</t>
  </si>
  <si>
    <t>Police said Ventura was shot as he walked with a knife towards his girlfriend, who was hiding behind a garbage can outside a home. The officer who fired had just been interviewing the girlfriend about two alleged domestic assaults by Ventura earlier in the day, when Ventura returned to the scene and refused to drop his knife as he approached the woman.</t>
  </si>
  <si>
    <t>http://theadvocate.com/news/14386195-64/deputy-involved-shooting-in-zachary-east-baton-rouge-sheriffs-office-reports</t>
  </si>
  <si>
    <t>http://www.sunherald.com/news/local/crime/article51784755.html</t>
  </si>
  <si>
    <t xml:space="preserve">Parker drove away from a traffic stop and led deputies on a vehicle pursuit, authorities said. The chase ended when Parker crashed. Officers were then forced to open fire, police said.
</t>
  </si>
  <si>
    <t>Police shot Rodriquez during a confrontation over an alleged armed carjacking. Officials said a gun was found with Rodriquez's body.</t>
  </si>
  <si>
    <t>http://www.abqjournal.com/695040/news/officer-involved-in-shooting-near-central-and-utah.html</t>
  </si>
  <si>
    <t>After they pulled into a busy shopping mall parking lot, Reynolds allegedly fired at a Ludlow police officer who had stopped him for a traffic violation. The officer was struck in the shoulder before returning fire and killing Reynolds.</t>
  </si>
  <si>
    <t>http://www.cincinnati.com/story/news/crime/ky-crime/2015/12/22/police-respond-officer-involved-shooting-ludlow/77784114/</t>
  </si>
  <si>
    <t>Police were conducting a drug raid when they confronted Stephens inside a home. Officers shot Stephens when he pointed a rifle at them, investigators said.</t>
  </si>
  <si>
    <t>http://www.wptz.com/news/police-investigate-lawenforcementinvolved-shooting-in-burlington/37093216</t>
  </si>
  <si>
    <t>Hilber, a fugitive from New Hampshire, allegedly carried out an armed robbery of a Family Dollar store with a second man. After fleeing the robbery in a car the pair split up. Officers found Hilber, who was armed, with the help of a police dog and shot him during an ensuing confrontation. The second man was captured and charged.</t>
  </si>
  <si>
    <t>http://www.fox13news.com/news/local-news/60194052-story</t>
  </si>
  <si>
    <t>http://www.azcentral.com/story/news/2015/12/26/phoenix-police-shooting/77923810/</t>
  </si>
  <si>
    <t>http://www.azcentral.com/story/news/local/tempe/breaking/2015/12/28/tempe-police-shooting-unwanted-guest/77962810/</t>
  </si>
  <si>
    <t>http://www.killedbypolice.net/victims/151192.jpg</t>
  </si>
  <si>
    <t>William David Raff</t>
  </si>
  <si>
    <t>Schuylar Gunning</t>
  </si>
  <si>
    <t>http://www.killedbypolice.net/victims/151178.jpg</t>
  </si>
  <si>
    <t>http://www.killedbypolice.net/victims/151185.jpg</t>
  </si>
  <si>
    <t>Seminole Police Department</t>
  </si>
  <si>
    <t>Big Cypress</t>
  </si>
  <si>
    <t>Cherokee County Sheriff's Office</t>
  </si>
  <si>
    <t>22279 N Four Mile Rd</t>
  </si>
  <si>
    <t>Fort Gibson</t>
  </si>
  <si>
    <t>I-5</t>
  </si>
  <si>
    <t>Melinda Dr</t>
  </si>
  <si>
    <t>Winder</t>
  </si>
  <si>
    <t>Hall County Sheriff's Department</t>
  </si>
  <si>
    <t>Hall</t>
  </si>
  <si>
    <t>Casselberry</t>
  </si>
  <si>
    <t>http://valleycentral.com/news/local/investigation-underway-after-harlingen-man-dies-while-in-police-custody</t>
  </si>
  <si>
    <t>Aitkin County Sheriff's Office</t>
  </si>
  <si>
    <t>The unmarked police vehicle was heading east on S.R. 436 in the outside lane, when it struck the pedestrian, identified as Jeremy Galvez.</t>
  </si>
  <si>
    <t>Casselberry Police Department</t>
  </si>
  <si>
    <t>Aitkin</t>
  </si>
  <si>
    <t>Gardernville</t>
  </si>
  <si>
    <t>1200 Manhattan Way</t>
  </si>
  <si>
    <t>Davis Police Department</t>
  </si>
  <si>
    <t>Davis Assistant Police Chief Darren Pytel said the man, whose identity has not yet been released by the Yolo County Coroner’s Office, stopped breathing after being placed in handcuffs inside a room at the La Quinta Inn &amp; Suites, 1771 Research Park Drive.</t>
  </si>
  <si>
    <t>Just after 6:00 PM Tuesday, Rockport Police were called to a home in the 100 block of Rattlesnake Point Rd. Officials tell us a man and woman were involved in a disturbance when officers arrived. An altercation broke out when officers tried to arrest the man. He became unresponsive once he was taken into custody, and was given first aid until an ambulance arrived.</t>
  </si>
  <si>
    <t>Aransas</t>
  </si>
  <si>
    <t>Rockport</t>
  </si>
  <si>
    <t>100 Rattlesnake Point Rd</t>
  </si>
  <si>
    <t>Santa Clara County Sheriff's Office</t>
  </si>
  <si>
    <t>Waldorf</t>
  </si>
  <si>
    <t>Maryland State Troopers</t>
  </si>
  <si>
    <t>http://www.killedbypolice.net/victims/151191.jpg</t>
  </si>
  <si>
    <t>http://www.nbcfh.com/obituaries/upload/2043_obit_photo.jpg</t>
  </si>
  <si>
    <t>Jeremy Elliott</t>
  </si>
  <si>
    <t>Georgia Avenue and Dairy Road</t>
  </si>
  <si>
    <t>Baker</t>
  </si>
  <si>
    <t>32531</t>
  </si>
  <si>
    <t>Oskaloosa</t>
  </si>
  <si>
    <t>Jeremy Elliott was killed when his pickup truck crashed while being pursued by Alabama deputies in a high-speed chase that began in Alabama and ended 40 miles away in the Florida Panhandle.</t>
  </si>
  <si>
    <t>http://www.wtvm.com/story/30028485/alabama-florida-police-chase-ends-with-fatal-crash</t>
  </si>
  <si>
    <t>http://www.killedbypolice.net/victims/151167.jpg</t>
  </si>
  <si>
    <t>http://www.killedbypolice.net/victims/151169.jpg</t>
  </si>
  <si>
    <t>http://www.killedbypolice.net/victims/151116.jpg</t>
  </si>
  <si>
    <t>Deuel County Sheriff's Office</t>
  </si>
  <si>
    <t>http://d3atbsy0flqavg.cloudfront.net/v1.13/site/uri/killed-by-police.silk.co/file/id/be45fe49-625e-458a-af48-46ef9d6d816f?x=0&amp;y=0&amp;width=773&amp;height=996&amp;zoom=108</t>
  </si>
  <si>
    <t>Paul Testa</t>
  </si>
  <si>
    <t>http://www.news4jax.com/news/local/jacksonville/man-hit-with-taser-gun-in-jail-dies-at-hospital</t>
  </si>
  <si>
    <t>Tien Hua</t>
  </si>
  <si>
    <t>http://www.nbclosangeles.com/news/local/barricade-rosemead-armed-man-strang-neighbors-evacuated-363780121.html</t>
  </si>
  <si>
    <t>Fred Perez</t>
  </si>
  <si>
    <t>http://abc30.com/news/1-man-dead-after-an-officer-involved-shooting-in-central-fresno/1140600/</t>
  </si>
  <si>
    <t>Perez was allegedly stabbing a woman repeatedly when police arrived in response to 911 calls about the incident, according to authorities. Officers fatally shot Perez when he continued to stab the woman after police fired a beanbag round at him, officials said. Police said the woman is being treated for her injuries at the hospital and is in stable condition.</t>
  </si>
  <si>
    <t>E Belmont Ave and N Weber Ave</t>
  </si>
  <si>
    <t>Hua, a suspect in a recent murder, was killed by Swat officers after an hours-long standoff at his home, according to authorities. Hua pointed an unknown object at officers during the standoff, police said.</t>
  </si>
  <si>
    <t>3500 Strang Ave</t>
  </si>
  <si>
    <t>http://www.killedbypolice.net/victims/3076.jpg</t>
  </si>
  <si>
    <t>Paul Testa, 44, was arrested Dec. 21 after a trespassing incident. While being booked in jail, police say Testa became violent and a corrections officer used a Taser gun on him. Then, following his first appearance in court, Testa again became combative and a Taser gun was used again, then he was placed in a restraint chair, where he became unresponsive.</t>
  </si>
  <si>
    <t>4727 Lannie Rd</t>
  </si>
  <si>
    <t>http://trib.com/news/state-and-regional/rawlins-police-shooting-under-investigation/article_771d9961-9165-5823-b9f8-d0f5e04ccfa5.html</t>
  </si>
  <si>
    <t>Rawlins Police Department</t>
  </si>
  <si>
    <t>Rawlins</t>
  </si>
  <si>
    <t>http://www.reviewjournal.com/news/las-vegas/metro-police-shoot-kill-wanted-man-west-valley</t>
  </si>
  <si>
    <t>8300 Golden Cypress Avenue</t>
  </si>
  <si>
    <t>The U.S. Marshals were conducting surveillance on the man and requested help from Metro when he fled. When police caught up with him, they claimed he had an "unknown object" in his hand. Assuming it was a gun, they shot him dead. The object turned out to be a cellphone.</t>
  </si>
  <si>
    <t>Police shot someone while trying to take him into custody based on an arrest warrant. They originally arrived at the scene because of a call about a man selling drugs.</t>
  </si>
  <si>
    <t>Keith Childress</t>
  </si>
  <si>
    <t>http://www.killedbypolice.net/victims/151199.jpg</t>
  </si>
  <si>
    <t>Matthew Ajibade</t>
  </si>
  <si>
    <t>Taser, Beaten</t>
  </si>
  <si>
    <t>Michael Noel</t>
  </si>
  <si>
    <t>Charged, Convicted (two officers) of cruelty to an inmate, public records fraud, and perjury</t>
  </si>
  <si>
    <t>Charged, Convicted, Sentenced to 18 months</t>
  </si>
  <si>
    <t>Charged, Convicted, Sentenced to 5 years probation.</t>
  </si>
  <si>
    <t>Charged, Convicted, Sentenced to 50 years</t>
  </si>
  <si>
    <t>Charged, Convicted, Sentenced to 6 years</t>
  </si>
  <si>
    <t>Charged, Found Not Guilty</t>
  </si>
  <si>
    <t>21600 Oak Street</t>
  </si>
  <si>
    <t>5600 Wyalusing Avenue</t>
  </si>
  <si>
    <t>100 Lynhaven Drive</t>
  </si>
  <si>
    <t>John Randell Veach</t>
  </si>
  <si>
    <t>Police shoot and kill David Scott after he came out of an apartment building off of Fort Caroline Road holding what SWAT team members thought was a gun. Officers say the object David Scott was holding was actually a box stuffed in a black sock.</t>
  </si>
  <si>
    <t>http://www.pressdemocrat.com/news/3177073-181/man-shocked-about-four-times</t>
  </si>
  <si>
    <t>Sometime after being processed into the county jail on Oct. 31, Yearby, a Piscataway High School graduate, was transported into the jail’s medical wing after an altercation inside a holding area. At some point, he was restrained to a chair inside an observation cell, say Yearby's parents.</t>
  </si>
  <si>
    <t>http://www.chron.com/news/houston-texas/houston/article/Unarmed-Baytown-man-dies-after-being-Tased-twice-5787109.php</t>
  </si>
  <si>
    <t>Police received call that armed individuals had entered an abandoned house. Tillman was shot multiple times and killed, but police have so far refused to release details of shooting, other than to say a BB gun was found near the scene. Three other suspects attempted to flee and were apprehended. Tillman family members say the 14-year-old African-American was unarmed and only answered the door because police knocked and was shot in the back "four or five times."</t>
  </si>
  <si>
    <t>http://america.aljazeera.com/watch/shows/america-tonight/articles/2014/12/6/black-young-and-unarmedthecaseofcamerontillman.html</t>
  </si>
  <si>
    <t>http://abc30.com/news/police-shoot-and-kill-man-wanted-for-three-fresno-murders/310949/</t>
  </si>
  <si>
    <t>Ramirez took Mendoza's wife hostage. Mendoza engaged in a gun fight with with Ramirez. SWAT accidentally shot and killed Mendoza and also shot and killed Ramirez.</t>
  </si>
  <si>
    <t>Eric Garner, a Staten Island dad died after an officer put him in a chokehold and other officers appeared to slam his head against the sidewalk, video of the incident shows. Evidently, the cops suspected him of selling untaxed cigarettes.</t>
  </si>
  <si>
    <t>Graffeo was a mentally ill man with a long history of altercations with police. The manager of his rooming house called to report Graffeo was having an episode and had barricaded himself in his apartment. Galleo was behaving violently so police tasered him three times. Graffeo went into respiratory failure and died at the hospital. The cause of death remains under investigation.</t>
  </si>
  <si>
    <t>http://www.news-journalonline.com/article/20150123/news/150129690</t>
  </si>
  <si>
    <t>http://www.sfgate.com/crime/article/Lawyer-Man-killed-by-deputy-in-Oakland-was-5669726.php</t>
  </si>
  <si>
    <t>Officers followed Angelo Perry, who was suspected of homicide, in unmarked vehicles, when they allegedly spotted him in a car with Navy Veteran India Kager. When India parked at a 7-Eleven, the officers also parked and approached the car. Officers claim Angelo shot at them first. They shot over thirty times at the vehicle, where Angelo, India and her 4 month-old baby were inside. Angelo and India were killed, while the baby was unharmed. Kager's mother disputes the police narrative. “It was very clear to me that India was not part of the police investigation based on the responses I got from police. She had nothing to do with it. She was totally innocent,” she told the Washington Post. “Did they find any weapons on India? Did she pose a threat? Why did [police] shoot into a car with a baby and woman who had nothing to do with their investigation? I’m devastated because she should still be alive nursing her son, my grandson,” she explained. “We’re talking about a very beautiful soul that should still be here. She was unarmed, she was completely innocent. They shot indiscriminately.”</t>
  </si>
  <si>
    <t>http://www.stltoday.com/news/local/crime-and-courts/mcculloch-says-july-shooting-by-pine-lawn-police-was-justified/article_cd3b341f-37e6-5872-9b47-c613845157a7.html</t>
  </si>
  <si>
    <t>http://crimeblog.dallasnews.com/2015/08/arlington-police-officer-fatally-shot-a-man-early-friday-at-car-dealership.html/</t>
  </si>
  <si>
    <t>http://www.hutchnews.com/news/local_state_news/mcpherson-county-attorney-officer-s-shooting-of-man-justified/article_dc2dd158-5121-5cdf-b91e-627480d6058c.html</t>
  </si>
  <si>
    <t>Lloyd charged at an officer and allegedly pointed a lighter that looked like a gun at the officer. The officer then shot and killed Lloyd.</t>
  </si>
  <si>
    <t>Jobel was a vandal suspect. He was unarmed but did not comply with officers. It was not reported why officers shot and killed Jobel. Police allege that Jobel may have thrown a rock at them.</t>
  </si>
  <si>
    <t>Pulled over for a missing front license plate. He was attacked by K9 unit, tasered, and then beaten to death.</t>
  </si>
  <si>
    <t>Officers received a call about a car in a ditch. Rodriguez had crashed a previously carjacked car and was attempting to get the driver of a second vehicle to take him away from the scene. When the first officer arrived, she attempted to subdue Rodriguez, and a struggle began. The officer tried to use her stun gun on Rodriguez but couldn't stop Rodriguez. When Rodriguez allegedly attempted to take the officer's firearm, a backup officer, who had just arrived, fatally shot Rodriguez.</t>
  </si>
  <si>
    <t>Uran, alongside 23-year-old Jessica Hicks, was pursued by police after stealing a car. Uran was shot by police after attempting to steal another car in a downtown Phoenix mall. Hicks was charged with Uran's murder, under an Arizona law allowing police to charge a person with murder if a death happens during a violent felony. Uran had a pellet gun.</t>
  </si>
  <si>
    <t>Shot while advancing on a deputy holding a cane. Deputies were responding to a report of a domestic disturbance.</t>
  </si>
  <si>
    <t>Police say Sgt. Nick Pitofsky, a Crandall police officer, killed his wife Vanessa. He is said to be the only suspect in the apparent murder-suicide.</t>
  </si>
  <si>
    <t>A Border Patrol agent followed Flores-Cruz through a ravine and up a hillside when he began throwing rocks. Officials said the agent ordered Flores-Cruz to stop in English and in Spanish and used his hands to deflect some of the rocks. He was struck in the face. The agent, fearing for his safety, fired his duty weapon at the suspect, striking him. Investigators said the agent fired his weapon at least twice. The suspect died at the scene.</t>
  </si>
  <si>
    <t>Ariel Levy was killed in an officer-involved shooting after she reportedly threatened an officer with what later turned out to be a replica handgun.</t>
  </si>
  <si>
    <t>During a search of a robbery suspect's apartment, Smith was accidentally shot in the chest by an accompanying police officer. No criminal charges for the firing officer.</t>
  </si>
  <si>
    <t>Off duty officer who was running security at a downtown hotel, chased down off duty fireman who was accused of battery. Officer didn't call for back up and escalated the situation. The victim fought the officer, and was punching him, the officer who wasn't carrying mace, or a taser shot him twice in the chest.</t>
  </si>
  <si>
    <t>Officer Samuel Duncan was transporting Jesus Huerta to police headquarters shortly before 3 a.m. to pick up a warrant charging the teen with second-degree trespassing. When the officer got to the parking lot, he heard a loud noise in the car and jumped from the vehicle, police said. The patrol car rolled into a van and came to rest with Huerta in the back seat. Police say he shot himself in the head while he was handcuffed in the back of a patrol car.</t>
  </si>
  <si>
    <t>http://www.policestateusa.com/2014/ron-hillstrom/</t>
  </si>
  <si>
    <t>It started as a routine traffic stop. Trooper Corina Jandrew stopped a 4-door Cadillac with three people inside. The driver was Brandon Leonel Monroy. He failed to identify himself and was placed under arrest. Monroy fought with the trooper as she tried to arrest him and allegedly tried to steal the patrol car. He was shot and transported to UMC where he was later pronounced dead.</t>
  </si>
  <si>
    <t>http://www.staradvertiser.com/breaking-news/unarmed-man-fatally-shot-in-back-at-georgia-university-lawyer-says/</t>
  </si>
  <si>
    <t>http://www.cbs5az.com/story/25007751/phoenix-pd-carjacking-suspects-weapon-was-pellet-gun</t>
  </si>
  <si>
    <t>Three probation / parole officers and a county sheriff's deputy attempted to locate Shannon's brother Wayne in his mother's trailer, although they were also aware of a warrant out for Shannon's arrest regarding intoxication. Shannon attempted to hide in a dark bedroom, resisted officers and reportedly threatened to shoot them. He was shot three times and died later that evening. He'd been unarmed, holding a cellphone.</t>
  </si>
  <si>
    <t>http://www.wmur.com/news/fatal-rochester-shooting-ruled-justified/27111794</t>
  </si>
  <si>
    <t>http://www.dailymail.co.uk/news/article-2562612/Video-Man-killed-scuffle-authorities.html</t>
  </si>
  <si>
    <t>A deputy was responding to a report of a man attempting to break into homes and cars. When he confronted the suspect, a fight ensued, and then the deputy shot the suspect. No weapon was found at the scene.</t>
  </si>
  <si>
    <t>http://www.sandiegouniontribune.com/news/2014/feb/03/vista-deputies-fatal-shooting/</t>
  </si>
  <si>
    <t>An officer saw Baker riding his bike through Northwest Houston strip mall parking lot and looking into local businesses. The officer approached Jordan and asked to see his identification. Jordan began to scuffle with the officer and ran away. A foot chase ensued, before the officer caught up with Jordan and cornered him in an alley behind the strip mall. The police officer claims Jordan attacked him prompting him to discharge his weapon and kill the young man.</t>
  </si>
  <si>
    <t>After reports of a shooting, sheriff's deputies followed and engaged in a standoff with Rodarte for several hours. Rodarte was shot after he went to his front door and motioned as if he was pulling out a weapon. It was a BB gun.</t>
  </si>
  <si>
    <t>http://www.sbcountyda.org/Portals/8/PressReleases/2014/(12-4)%20OIS%20REPORT%20-%20FATAL%20-%20RODARTE.pdf</t>
  </si>
  <si>
    <t>According to police, Carter pulled out his handcuffs after ordering Redus to put his hands on his vehicle. A scuffle then began between the two, with Redus grabbing Carter’s baton and hitting him. “He warned Robert Redus four times, 'Stop or I'll shoot,’’’ Alamo Heights Chief Richard Pruitt told TODAY. “Officer Carter stated that Robert Redus then charged at him with his arm raised as if to strike him, and that's when he fired his weapon six times, striking Robert Redus five times.”</t>
  </si>
  <si>
    <t>http://www.bendbulletin.com/home/2100852-151/family-of-man-shot-by-bend-officer-intends</t>
  </si>
  <si>
    <t>County and BATF officers chased Smith by car and on foot into a wooded area. Cornered, he was ordered to show his hands, and he reportedly kept moving as if to produce a handgun. They fired 24 rounds. Nine fatally struck him. His sister claims he was unarmed, while police haven't confirmed whether he was armed or not.</t>
  </si>
  <si>
    <t>http://www.starnewsonline.com/article/20131014/ARTICLES/131019836?p=3&amp;tc=pg</t>
  </si>
  <si>
    <t>http://www.rawstory.com/2013/10/well-known-texas-drag-performer-dies-in-police-custody/</t>
  </si>
  <si>
    <t>County police were called to Ports's house on reports that he was acting irrationally. In the course of subduing an irrational and combative Ports at the hospital, he suffered some sort of head injury. His death three weeks later appeared to be a direct result.</t>
  </si>
  <si>
    <t>Transit Services Bureau deputies "came into contact" with Atkinson, who then allegedly grabbed a wooden stick from a shopping cart and “advanced toward the deputies with the wooden stick, prompting deputies to open fire."</t>
  </si>
  <si>
    <t>Jack Roberson's family called 911 after he took a handful of diabetes medicine with alcohol and expressed that he wanted to die; two officers arrived, and classified Jack as "combative" and shot him dead in front of his family. Police claim Roberson had two unspecified objects in his hand, but witnesses maintain he was unarmed.</t>
  </si>
  <si>
    <t>http://mic.com/articles/67037/jack-lamar-roberson-911-call-turns-deadly-for-unarmed-georgia-man#.pBZl4gD1C</t>
  </si>
  <si>
    <t>http://www.wyff4.com/news/local-news/greenville-news/deputies-woman-fatally-shot/22184328</t>
  </si>
  <si>
    <t>Captain George Brown was off duty, due to circumstances unknown, he was on the second floor of the Best Budget Inn and saw two men. There is no report of the specifics, but after feeling threatened the officer shot one of the men. He then stormed into the hotel room and arrested his friend. This officer was later fired after the investigation.</t>
  </si>
  <si>
    <t>http://chicago.cbslocal.com/2013/09/02/off-duty-officer-kills-burglary-suspect-in-lincoln-park/</t>
  </si>
  <si>
    <t>Geer was drinking and threw his girlfriend's clothes out of the house. He was talking with an officer at his doorway when he was shot to death in the chest.</t>
  </si>
  <si>
    <t>http://www.nydailynews.com/news/national/man-dies-beaten-kern-county-sheriff-detectives-article-1.1442007</t>
  </si>
  <si>
    <t>SAPD called for domestic disturbance. Suspect was in bedroom, asleep, and roused awake by SAPD officer. SAPD officer states suspect began choking the officer and fired in self defense. Witness says the officer beat Lopez with a night stick then shot him three times in front of their 5 year old son.</t>
  </si>
  <si>
    <t>Alcis was apparently scared to death. Police raided his home at 5:30 a.m. while in pursuit of a suspect who had punched a woman in the street and taken her iPhone. The raid gave a Haitian immigrant and father of eight had a fatal heart attack.</t>
  </si>
  <si>
    <t>http://chicago.suntimes.com/news/7/71/787110/mom-suing-former-correctional-officer-over-sons-road-rage-shooting-death</t>
  </si>
  <si>
    <t>http://www.kansascity.com/news/local/article325208/Witnesses-Man-killed-by-KC-police-%E2%80%98baited%E2%80%99-officers-to-shoot-him.html</t>
  </si>
  <si>
    <t>From the Arizona Republic: Tempe Narcotics officers were issuing a search warrant at a home in the 2100 block east Cairo when Wheelihan reportedly pointed an air rifle at officers from his backyard, Sgt. Mike Pooley said in a statement Thursday. After Wheelihan didn’t obey orders to put down the rifle, officers shot him.</t>
  </si>
  <si>
    <t>http://6abc.com/archive/9180528/</t>
  </si>
  <si>
    <t>http://www.kens5.com/story/news/local/2014/06/26/10493134/</t>
  </si>
  <si>
    <t>http://articles.orlandosentinel.com/2013-07-10/news/os-st-cloud-suspect-dies-in-custody-20130710_1_reckless-driver-cloud-police-cloud-man</t>
  </si>
  <si>
    <t>Johnson was pulled over because officers suspected he was driving under the influence of drugs and alcohol. They tried to arrest him, but he allegedly resisted. Officers tasered and hit Johnson with a baton. He died two days later in the hospital.</t>
  </si>
  <si>
    <t>Demps, with a considerable criminal record, carjacked a white pickup truck at a restaurant. The owner called 911, and the pickup was quickly spotted. Demps pulled into a Marriott parking lot, was seen making a gesture towards his waistband, and was fatally shot. No weapon was found on him.</t>
  </si>
  <si>
    <t>1201 E. Airtex Drive</t>
  </si>
  <si>
    <t>"As the officers approached the vehicle, the suspect exited the vehicle with a weapon drawn and pointed it at the officers," Sgt. Cedrick Collier, with the Harris County Sheriff's Office, said. "The officers at that point discharged their weapon, striking the suspect several times. The suspect was pronounced deceased at the scene."</t>
  </si>
  <si>
    <t>Noel was having a psychological breakdown and his mother requested an order of protection. Police said that when they arrived, Noel resisted arrest and could not be subdued after two Taser deployments. Noel's aunt said he was then shot in the chest. Two witnesses have maintained that Noel was unarmed, while police haven't commented on whether he was armed or not.</t>
  </si>
  <si>
    <t>Thomason, a suspect in a homicide from the previous day, was hiding in a shed on his stepmother's property when police found him, according to authorities. Officers shot and killed him while trying to arrest him, police said. A gun was found in the shed.</t>
  </si>
  <si>
    <t>Police were responding to a domestic violence call when they fatally shot Alvarez, officers said. A caller told a 911 dispatcher that Alvarez pulled the hair of a woman, believed to be his girlfriend, and threatened her. Police said they shot Alvarez when he charged at responding officers.</t>
  </si>
  <si>
    <t>Stretesky was killed during a confrontation when police attempted to serve warrants for his arrest, according to authorities. Stretesky shot and critically injured a deputy before being fatally struck.</t>
  </si>
  <si>
    <t>Police were attempting to arrest Munoz for an assault charge, according to authorities. Munoz was killed in an exchange of gunfire and an officer was shot in the leg, police said.</t>
  </si>
  <si>
    <t>Jozefowicz was fatally shot while exchanging gunfire with police after he fled a traffic stop, according to authorities.</t>
  </si>
  <si>
    <t>Hoang attacked a police officer in the head with a meat cleaver after the officer stopped to check on him in a broken down car during a snowstorm. Hoang then allegedly stole the officer's car and drove away. Police shot Hoang after a car chase when he got out of his vehicle carrying an object and refused to drop it, according to authorities.</t>
  </si>
  <si>
    <t>Slade was shot during a confrontation with an officer who had arrived at his home following a report of domestic violence, according to authorities.</t>
  </si>
  <si>
    <t xml:space="preserve">Officers were responding to a domestic violence call when they shot Kirvelay, according to authorities. Police said Kirvelay was armed, but family members believe he was carrying a BB gun.
</t>
  </si>
  <si>
    <t>Touchstone ignored verbal commands from the deputy and was shocked with a Taser, police said. When Touchstone continued to approached the deputy and began hitting him, the deputy opened fired, according to authorities. Police had responded to the area because Touchstone was allegedly causing a disturbance at a store.</t>
  </si>
  <si>
    <t>Deputies fatally shot Livingston during a confrontation at his home, according to authorities. The officers were investigating an alleged assault. Livingston's roommate said the dispute started when Livingston refused to let deputies enter without a search warrant.</t>
  </si>
  <si>
    <t xml:space="preserve">Gamino was fatally shot after fighting with a deputy who was responding to a report that someone was drinking alcohol in a park, according to authorities.
</t>
  </si>
  <si>
    <t>Jaramillo was shot by several deputies after allegedly ramming their vehicle with a stolen truck. Authorities said he had driven away when another deputy tried to pull him over. Two women in the truck with Jaramillo were injured and taken to hospital. Jaramillo was being prosecuted for a series of violent offences and a warrant was out for his arrest.</t>
  </si>
  <si>
    <t>Police said Cano ran at officers who were responding to a complaint that he was standing in the middle of a road while cars swerved to avoid him. A struggle ensued and Cano was shot with a bean-bag round, but was then able to knock one officer to the ground, take control of the bean-bag gun and fire a round. Cano was shocked with a Taser but could still not be restrained, according to authorities, leading an officer to shoot him.</t>
  </si>
  <si>
    <t>A deputy shot Long while responding to a domestic violence complaint, according to authorities. Investigators did not say what prompted the shooting.</t>
  </si>
  <si>
    <t>Mohammad allegedly stabbed and wounded four people at the University of California Merced's campus. Campus police shot and killed Mohammad, who was a student at the school, according to authorities. The four people who were stabbed, two of whom were students, suffered non-life-threatening injuries, police said.</t>
  </si>
  <si>
    <t>Police said they responded to a home after receiving a report of a verbal disturbance. Officers encountered Christensen and shot him after a 'scuffle' broke out, according to authorities. A police officer was injured during the incident and treated for noncritical injuries. No additional details have been released.</t>
  </si>
  <si>
    <t>Burg tried and failed to carjack two people before successfully carjacking a third person and driving away, police said. Deputies caught up to her and shot her following a confrontation and exchange of gunfire.</t>
  </si>
  <si>
    <t>Deputies came to Torngren's home after his daughter told police she was worried about his welfare, according to authorities. Deputies shot Torngren after he allegedly confronted them with a gun.</t>
  </si>
  <si>
    <t>Police responded to a report that Suarez-Ruiz was threatening to hurt himself, according to authorities. Officers said they killed Suarez-Ruiz after a 'confrontation'.</t>
  </si>
  <si>
    <t>A guard at the California Correctional Center fatally shot Velarde during a violent fight at the prison, authorities said. Officials said prisoners were stabbing Velarde, who was shot while 'attacking another [prisoner] with a weapon'.</t>
  </si>
  <si>
    <t>Police killed Powell after responding to the same house three times in one night following reports that Powell was assaulting a resident and attempting to break in, according to authorities. Police said officers fatally shot Powell after a struggle.</t>
  </si>
  <si>
    <t>Dyksma died after leading police on a high-speed car chase, according to authorities. Police had received a call reporting that he was acting suspiciously in his car, and when they found him slumped over the steering wheel he drove away. Officers shocked him with a Taser after he refused to turn off his car's engine, police said.</t>
  </si>
  <si>
    <t>A deputy responded to the scene after receiving a call of a man with a shotgun, police said. Walling threatened the deputy at some point during their interaction and the deputy fired, according to police.</t>
  </si>
  <si>
    <t>Police killed Holman after a 12-hour standoff during which he threatened officers with a hand grenade, according to authorities. Officers responded to the residence after Holman refused to comply with an eviction order and learned after the shooting that the grenade was not live, police said.</t>
  </si>
  <si>
    <t>Jovicic broke into the home of his ex-girlfriend, a Kent police officer, and attacked her, according to police. She called 911 and then shot Jovicic, who had a history of domestic violence, as officers arrived.</t>
  </si>
  <si>
    <t>Poole, a veteran, allegedly opened fire on officers as they approached him sitting on his lawnmower. Police said they were responding to a report from a veterans crisis hotline that Poole was suicidal and that no one should be sent to help as it would 'not end well'.</t>
  </si>
  <si>
    <t>Authorities said Edison, who was wanted in South Dakota, was fatally shot by a deputy during a confrontation after he was discovered with a stolen vehicle under a bridge on a rural road. He was found with an air gun.</t>
  </si>
  <si>
    <t>Villalpando was pulled over after leading Officer Robert Clark on a chase. Dashcam video shows the officer ordering Villalpando to stay where he is, as he slowly shuffles towards Clark's police cruiser with his hands on his head. Villalpando is shot dead just after he walks past the camera's view.</t>
  </si>
  <si>
    <t>Deputies were chasing Noblitt, whom they suspected of driving a stolen car, and shot him when he drove his car toward them, police said.</t>
  </si>
  <si>
    <t>Smyth was shot inside his car as he drove at a 'high rate of speed' towards officers, according to police. Smyth had previously crashed his vehicle into a police patrol car, authorities said.</t>
  </si>
  <si>
    <t>Police said an officer shot Gonzalez after he got out of his car with a rifle during a traffic stop. The stop was attempted after fresh damage to Gonzalez's vehicle was noticed.</t>
  </si>
  <si>
    <t>Toney allegedly stabbed two people in a domestic violence incident. He was shot by police after he pointed a shotgun at officers when they arrived at his house, police said. The stabbing victims were treated for their wounds.</t>
  </si>
  <si>
    <t xml:space="preserve">Evans reportedly tried to kill himself before officers responded to his home. Officers shocked Evans with a Taser after he refused to go to the hospital, police said. When Evans armed himself with several kitchen knives, police shocked him again before shooting him, according to authorities.
</t>
  </si>
  <si>
    <t>McKinnis, an army veteran, was shot after an officer who had stopped him heard a gunshot as he walked toward McKinnis's car, according to authorities. A gun was allegedly found next to McKinnis's body. He had been stopped by an officer for a suspected license plate violation.</t>
  </si>
  <si>
    <t>Wickert, a national guard soldier, was shot when he allegedly tried to strangle a sheriff's deputy who had arrived at a company's holiday party in response to an emergency call. Officials said Wickert's girlfriend had reported her purse stolen, but the deputy determined that Wickert had been violent towards her.</t>
  </si>
  <si>
    <t>Deputies responded to a call about gunshots and forced their way into Rosemond's apartment, according to authorities. Rosemond shot a deputy in the head and was killed when deputies shot back, investigators said. The deputy who was shot is expected to recover.</t>
  </si>
  <si>
    <t>Officers were responding to a report of domestic violence and found an assault in progress, according to authorities. Police said they shot Gendreau to protect the woman being assaulted, who was later determined to be Gendreau's wife. She later died from her injuries, officials said.</t>
  </si>
  <si>
    <t>A fight broke out inside a restaurant, during which Penny allegedly killed another customer, police said. Penny injured two more people when the fight spilled into the restaurant's parking lot before two off-duty officers intervened and one shot Penny, killing him, according to authorities.</t>
  </si>
  <si>
    <t>Echols was reportedly suicidal and had barricaded himself in his house when officers arrived, according to authorities. Police shot him after he left the house and pointed a rifle at officers, investigators said.</t>
  </si>
  <si>
    <t>Officers were responding to a report of a man with a gun and said Chaidez matched the report's description, according to authorities. Police said Chaidez then 'presented a handgun' and was shot.</t>
  </si>
  <si>
    <t>Officers from multiple agencies ended a two-day manhunt for Brooks, who was wanted for aggravated assault, auto theft, and carjacking, when they fatally shot him, police said. Brooks exited a house with a gun and then attempted to run officers over with his car before crashing and getting out of the car with his gun, according to authorities.</t>
  </si>
  <si>
    <t>Kentucky state trooper was killed in a shooting during a chase, and officers shot and killed the suspect when he refused to drop his weapon after an hours-long manhunt, police said.</t>
  </si>
  <si>
    <t>Officers visited Hammen's home the previous day after receiving a call that he was suicidal but couldn't find him, police said. Officers returned to the home early the next morning and found it on fire. They spotted Hammen outside with a gun and a propane torch, according to authorities. Police said they fatally shot Hammen when he refused to drop his gun.</t>
  </si>
  <si>
    <t xml:space="preserve">An off-duty officer called for backup after spotting Dial in the parking lot of a Walgreens wearing a mask and apparently trying to avoid surveillance cameras, police said. Dial reportedly got out of his car with a gun visible and a responding officer shot him.
</t>
  </si>
  <si>
    <t>Police were following three people, including Ryans, believed to be involved in recent robberies, according to authorities. Officers confronted the group after they robbed a cash advance business at gunpoint, police said. They exchanged gunfire with two of the men, killing Ryans and injuring the other man, officials said.</t>
  </si>
  <si>
    <t>Womack pointed a gun at Swat officers from a window in a home at the end of a standoff lasting more than four hours, according to authorities. Womack had barricaded himself inside and refused to come out after officers arrived to check his welfare. Police said officers had used teargas to try to force Womack outside.</t>
  </si>
  <si>
    <t>Deputies responding to a report of shots being fired found Lopes armed with a gun, police said. Lopes allegedly ignored deputies' commands to drop the gun and was shot after he pointed it at them.</t>
  </si>
  <si>
    <t>Pettit allegedly burglarized a home and was running from police, officials said. The officer shot Pettit after he pointed a gun at the officer and ignored commands to drop the weapon, police said. Pettit died from his injuries about three weeks after the shooting, according to authorities.</t>
  </si>
  <si>
    <t>Foreman, who was a suspect in a fatal stabbing from the day before, was killed while exchanging gunfire with deputies during a standoff, according to investigators. One deputy was treated for a gunshot wound he sustained during the incident, authorities said.</t>
  </si>
  <si>
    <t>Turner allegedly shot two deputies who were responding to a domestic disturbance before the deputies returned fire, killing him. Neither deputy was seriously injured.</t>
  </si>
  <si>
    <t>Police responded to reports from a woman that West was threatening her and her child. When deputies arrived, West was alone inside his house and pointing his gun at himself, authorities said. After a standoff, deputies shot West when he pointed his gun at them, police said.</t>
  </si>
  <si>
    <t>Police said Ulloa got out of his vehicle during a traffic stop and fired at officers. Police fired back, wounding Ulloa, who then re-entered his vehicle and drove a short distance before coming to a stop. He was pronounced dead at the scene.</t>
  </si>
  <si>
    <t>Officers responded to a robbery in progress at a liquor store, police said. McMillan shot at reponding officers in the parking lot near the liquor store and was killed when officers returned fire, according to authorities.</t>
  </si>
  <si>
    <t>Police pursued Adams after he failed to make a traffic stop, according to authorities. Officers shot Adams when he pointed at gun at them while they were trying to arrest him, police said.</t>
  </si>
  <si>
    <t>A Swat team was serving a warrant at Graham's house, police said. An officer shot Graham when he opened the door and turned toward police with a gun in his hand, according to authorities.</t>
  </si>
  <si>
    <t>US Marshals Service members approached Dehart, who was wanted for attempted murder and other charges, when he fled in car, police said. Officers from the Marshals Service and the Oregon State Police pursued Dehart for 17 miles, during which Dehart shot at officers from his car, according to authorities. Officers who were alerted shot and killed Dehart as he approached, police said. Authorities have not identified the agency that shot him.</t>
  </si>
  <si>
    <t>Nole, a patient at a drug rehab center, stabbed four other patients and set a barn on fire, police said. Deputies shot Nole when he approached them with a knife, according to authorities. Three of the four wounded were transported to a hospital with serious injuries, police said.</t>
  </si>
  <si>
    <t>Cody Karasek</t>
  </si>
  <si>
    <t>Karasek opened fire through a window after scaling the side of his ex-girlfriend's apartment building, killing her and wounding her partner. Officers caught up to him after he fled, and Karasek was killed in a shootout.</t>
  </si>
  <si>
    <t>Gary Kendrick</t>
  </si>
  <si>
    <t>Police were responding to a domestic dispute in a parking lot when Herbert, a veteran, allegedly fired his weapon. It is not clear whether he was firing at the officer, who returned fire and killed Herbert.</t>
  </si>
  <si>
    <t>https://interactive.guim.co.uk/2015/the-counted/images/yellow/byron-herbert-275.jpg</t>
  </si>
  <si>
    <t>Bryan Bauer</t>
  </si>
  <si>
    <t>Christian Pena</t>
  </si>
  <si>
    <t>Roy Carreon</t>
  </si>
  <si>
    <t>1115 N Higley Blvd</t>
  </si>
  <si>
    <t>Carreon was allegedly holding a woman at knifepoint in front of his two children when officers arrived. Authorities said the woman freed herself and the officer shot Carreon after he refused to obey orders to put down the knife.</t>
  </si>
  <si>
    <t>The man allegedly stabbed two women, one of them fatally, before police arrived and shot him when he refused to drop his knife.</t>
  </si>
  <si>
    <t>Police on patrol stopped the man because he was 'acting suspicious and agitated' and shot him when he 'brandished' a gun, authorities said.</t>
  </si>
  <si>
    <t>Azevedo allegedly stole two cars at gunpoint before leading police on a car chase during which he shot at pursuing officers, police said. Officers killed Azevedo when they returned fire, according to authorities.</t>
  </si>
  <si>
    <t>Deputies shot Britton after he reportedly charged at them with a knife. The deputies were responding to a report of a suicidal man, according to authorities.</t>
  </si>
  <si>
    <t>Marcellus and two other men were pursued by police after an alleged home invasion. Officials said Marcellus was fatally shot after he opened fire, and the two other men were taken into custody.</t>
  </si>
  <si>
    <t>Winesett, a suspect in an armed bank robbery, was shot after he allegedly confronted officers with a razor blade, police said. Bystander video from the shooting appears to show an officer opening fire after Winesett takes a step toward him.</t>
  </si>
  <si>
    <t>A gunman held Funk and another man hostage in a motorcycle shop, according to authorities. Police arrested the gunman after he surrendered at the end of a standoff, but killed Funk during a shootout, officials said. Police said they shot Funk after he refused to drop his gun, but Funk's lawyer claims that he was retreating when he was shot.</t>
  </si>
  <si>
    <t>Huck shot a woman before barricading herself inside her home, authorities said. Police entered Huck's house after a standoff and shot her when she began shooting, according to officials. Police said the woman who was shot is expected to survive.</t>
  </si>
  <si>
    <t>Police found Krstic beating a steel pole against the ground and talking erratically, according to authorities. Officers shocked Krstic with a Taser when he refused to drop the pole, and shot him when picked it up and turned towards police, officials said.</t>
  </si>
  <si>
    <t>Malik and her partner, Syed Farook, were killed by police several hours after the pair opened fire at a community center, authorities said. The mass shooting left at least 14 people dead and more than 20 wounded, according to officials. Police said Farook and Malik amassed an arsenal of four guns, thousands of rounds of ammunition and improvised explosives. Two officers were injured in the exchange of gunfire and are expected to recover, law enforcement officials said.</t>
  </si>
  <si>
    <t>Farook and his partner, Tashfeen Malik, were killed by police several hours after the pair opened fire at a community center, authorities said. The mass shooting left at least 14 people dead and more than 20 wounded, according to officials. Police said Farook and Malik amassed an arsenal of four guns, thousands of rounds of ammunition and improvised explosives. Two officers were injured in the exchange of gunfire and are expected to recover, law enforcement officials said.</t>
  </si>
  <si>
    <t>Police responded to a call about a domestic dispute to find a woman, believed to be Lucero's girlfriend, with a gunshot wound, according to authorities. Officers then shot Lucero when he approached and threatened to harm them with his gun, police said. The woman died from her injuries, officials said.</t>
  </si>
  <si>
    <t>Gonzalez pointed a gun at officers from a gangs unit when he and another man were stopped in the street, according to authorities. The officers opened fire, killing Gonzalez.</t>
  </si>
  <si>
    <t>Smith was a passenger in a car that was driving in the opposite direction of traffic and that crashed after fleeing a police stop, according to authorities. Smith and the driver attempted to leave the scene before Smith exchanged gunfire with officers, police said.</t>
  </si>
  <si>
    <t>Police said Celio was fatally shot after shooting at an officer during a downtown foot chase. Celio had run away after officers arrived at a hotel to deal with a report of a fight involving several people.</t>
  </si>
  <si>
    <t>Authorities said McHenry parked his car and walked up to a trooper's patrol car late at night, and ordered the trooper to get out. He allegedly pulled out a handun and pointed it at the trooper, who shot McHenry after failing to disarm him.</t>
  </si>
  <si>
    <t>Police stopped Grigsby, who was driving a car with stolen license plates, and learned of multiple felony warrants for his arrest, police said. Grigsby assaulted one officer and shot another before the officers returned fire, according to authorities. Both officers were treated for their injuries.</t>
  </si>
  <si>
    <t>Law enforcement responded to a report of a domestic disturbance and shot Kerns when he allegedly pointed a gun at officers and ignored orders to stop, police said.</t>
  </si>
  <si>
    <t>Close was shot dead after allegedly charging at police from his home with a baseball bat and a poker. Officers had arrived in response to a 911 call in which Close reportedly said he was murdering someone. Police said they found Close's girlfriend bludgeoned to death inside the house.</t>
  </si>
  <si>
    <t>Gullickson was shot after coming out of his house after a three-hour standoff and pointing a handgun at deputies, according to the Stone County sheriff. Officers went to the house after Gullickson's wife called 911 and reported that he was shooting at her.</t>
  </si>
  <si>
    <t>Police said Phillips tried to grab an officer's gun after refusing commands to drop a knife during a confrontation at a mobile home park. The officer was responding to a report of a domestic disturbance. Neighbors said Phillips had been arguing with his partner.</t>
  </si>
  <si>
    <t xml:space="preserve">peer was fatally shot during an exchange of gunfire with officers at a bail bonds agency where she worked, according to investigators. Police said the officers were called after she opened fire on an employee of another bail bonds agency, who had come to take her into custody in relation to criminal charges.
</t>
  </si>
  <si>
    <t>Baez exchanged gunfire with police officers at an apartment building when they responded to a domestic violence call, according to authorities.</t>
  </si>
  <si>
    <t>Police shot Mceniry when he reached for a gun, according to authorities. The confrontation started with a traffic stop and Mceniry had previously been shocked with a Taser before officers opened fire.</t>
  </si>
  <si>
    <t xml:space="preserve">Reyna was shot when he approached an officer while carrying a knife, police said. Officers said they were responding to a drug overdose call at the time, and that they attempted to shock Reyna with a Taser before shooting him.
</t>
  </si>
  <si>
    <t>Police killed Kirk after he shot a family of four, fatally wounding three, according to authorities. A 12-year-old survived the shooting but is criticially injured, officials said. Police shot Kirk outside of the family's house after the attack, investigators said.</t>
  </si>
  <si>
    <t>A Swat team entered Martinez's home after a standoff lasting more than five hours, police said. The man, who was wanted on a robbery charge, was killed in the exchange of gunfire.</t>
  </si>
  <si>
    <t>Grows allegedly shot two people before police responded, according to authorities. Officers shot him when he confronted them at the scene, police said. The men Grows shot were hospitalized for treatment, investigators said.</t>
  </si>
  <si>
    <t>Hall, who was suspected of robbing convenience store, was shot as he allegedly advanced at officers with a knife and a rock.</t>
  </si>
  <si>
    <t>Deputies responded to a domestic disturbance and decided to call child welfare officials to the scene. According to police, Tarrant then pulled out a gun and pointed it at deputies.</t>
  </si>
  <si>
    <t>Officers were responding to a call from Hartnett's family members concerned that he was suicidal, according to authorities. Police shot Hartnett when he approached them with a knife, investigators said.</t>
  </si>
  <si>
    <t>Police said Salazar was shot when he charged at deputies with a hammer inside a Subway restaurant. A 911 caller had reported that he was destroying things with the hammer outside the restaurant.</t>
  </si>
  <si>
    <t>Coleman, an armed robbery suspect, was killed in an exchange of gunfire with deputies who had pursued him into some woods. Authorities said the officers were responding to a tip that Coleman was in the area. One deputy was shot in a shoulder during the encounter.</t>
  </si>
  <si>
    <t>Bartkiewicz was shot when he pointed a weapon at deputies who had arrived at his home, according to authorities. He was said to have made several threatening 911 calls.</t>
  </si>
  <si>
    <t>Officers shot Nerio when he allegedly charged at them with a knife. Police had arrived at his apartment complex after a woman called to report a sexual assault, according to authorities.</t>
  </si>
  <si>
    <t>Garcia, who was armed with a handgun and a stolen shotgun, was fatally shot by police after climbing to the sixth floor of a construction site and aiming one of his weapons toward a hospital and then at officers, according to authorities. He was said to have told police and a clerk at the store where he stole the shotgun that he wished to die.</t>
  </si>
  <si>
    <t xml:space="preserve">Deputies responded to Gavin's home twice in one evening, first after a report of a domestic dispute and later after a report of shots fired, officials said. Police shot Gavin when they found him pointing a gun at a woman, according to authorities. The woman was not hurt.
</t>
  </si>
  <si>
    <t>Officers were confronted by Sanchez, an armed robbery suspect, when he left his house with a gun, according to authorities. Police said Sanchez was shot dead when he pointed the weapon at an officer.</t>
  </si>
  <si>
    <t>A deputy shot Blake after he allegedly brandished a rifle during a traffic stop. The deputy had pulled Blake over on suspicion of drunk driving, police said.</t>
  </si>
  <si>
    <t>Mesaros, a suspect in a home-invasion robbery, led police from several agencies on two high-speed car chases after being spotted. He was shot by officers after 'displaying a firearm', according to authorities. Another suspect was taken into custody.</t>
  </si>
  <si>
    <t>Police shot Cuellar, an off-duty sheriff's deputy, while responding to a report that he was suicidal. Authorities said Cuellar pointed a gun at officers but Cuellar's mother said she witnessed the shooting and the gun remained at his side.</t>
  </si>
  <si>
    <t>Police shot Acevedo when he exited a house and fired shots at officers, according to authorities. Officials later said Acevedo had taken a woman hostage and then killed her before exiting and shooting at police.</t>
  </si>
  <si>
    <t>Hudson and another woman, both fugitives, opened fire on officers when the officers tried to arrest them, according to authorities. Officers killed Hudson and injured the woman, police said. Officials said Hudson was wanted on parole charges.</t>
  </si>
  <si>
    <t>Johnson was holding a gun to his head while standing in a parking lot near a hospital, according to authorities. During negotiations with police, Johnson reportedly fired his gun at the ground twice. Tactical officers fatally shot Johnson, although it is unclear what exactly prompted the shooting. The state medical examiner's office ruled that Johnson died by suicide, although he had no self-inflicted wounds.</t>
  </si>
  <si>
    <t>Bigley, who was reportedly suicidal, fatally shot a woman who tried to intervene, according to authorities. Police pursued Bigley after he left the scene and shot him when he exited his car with a gun, officials said.</t>
  </si>
  <si>
    <t>Hohman allegedly attacked his sister and 12-year-old nephew with a claw hammer. Police responded to a 911 call and shot Hohman when he ignored commands to drop the hammer and charged toward officers, police said.</t>
  </si>
  <si>
    <t>Lemieux was 'randomly discharging' her gun when police responded to a report of an active shooter, according to authorities. Police used 'less-lethal force' on Lemieux and then shot her after she pointed her gun at deputies, officials said.</t>
  </si>
  <si>
    <t>Deputies were serving search and arrest warrants at a home when Romanoski confronted them with a shotgun, police said.</t>
  </si>
  <si>
    <t>Officers discovered a car crash and began pursuing Tyndall, who was involved in the crash and had left the scene, police said. Officers shot Tyndall when he pointed a gun at them, according to authorities.</t>
  </si>
  <si>
    <t>O’Quinn began firing at an officer during a traffic stop, police said. In the exchange of gunfire, O’Quinn was killed and the officer was wounded, according to authorities.</t>
  </si>
  <si>
    <t>Deputies responded to the scene of an accident involving a car and a bull, state police said. Officers were preparing to shoot the bull after the animal charged emergency responders and passing cars when Yantis, the bull's owner, confronted the deputies, according to authorities. Yantis shot at the deputies and the deputies returned fire, police said. Several eyewitnesses said Yantis aimed his rifle at the bull to humanely euthanise it and may have fired a shot accidentially as deputies wrestled with him.</t>
  </si>
  <si>
    <t>Officers responded to reports of a man breaking car windows and encountered McMillan, allegedly holding an axe. Police said McMillan walked towards an officer with it, prompting the officer to fire. Dashboard video shows McMillan repeatedly asking the officer to shoot him as the officer orders him to stay back.</t>
  </si>
  <si>
    <t>Police initially said that an officer pulled DuBose over for a routine traffic stop which escalated into some type of altercation, and that DuBose dragged an officer with his vehicle for a distance before the officer fired. That account was later disproven by body camera footage released by Cincinnati prosecutor Joseph Deters, who announced that murder charges were being filed against University of Cincinnati police officer Ray Tensing.</t>
  </si>
  <si>
    <t>Luster was chasing teenagers who may have vandalized his home. An officer saw Luster in his truck coming his way and fired shots and killed Luster.</t>
  </si>
  <si>
    <t>On a Saturday night police speeding to a call, without lights or siren, struck one of three ATV driving on city streets. The ATV rider Blackmon was killed.</t>
  </si>
  <si>
    <t>McCray allegedly burglarized a Target, and when police arrived to investigate, he rammed a patrol car, injuring the officer, then preceded to lead police and the state patrol on a high-speed freeway chase. Police and state troopers cornered him at a rest stop. When they got out of their cars to arrest McCray, he attempted to run them over and four officers shot and killed him.</t>
  </si>
  <si>
    <t>Christmas Eve Walmart shoplifting suspect Randolph fled from police and store security in her vehicle. Pursued by officers, she had a four-car accident in which she died and three others were injured.</t>
  </si>
  <si>
    <t>Police were called after an act of arson was committed by a man in front of a bus station. When police made contact with the suspect, Steven Henning, he refused to extinguish the fire acted aggressively and violently resisted arrest. Henning attempted to steal the officers' police car, and was subdued by pepper spray. Afterward, he violently resisted arrest again, grabbed an officer's Taser, and then fled on foot. The Weed Police, Siskiyou Sheriff’s office and California Highway Patrol searched for Henning and found him near a freeway overpass. After an attempt to subdue him with a law enforcement canine unit, Henning continued to violently resist arrest and attempted to injure the canine. The officer and deputy discharged their firearms and Henning was killed.</t>
  </si>
  <si>
    <t>Showman herself called police in the mid-morning, claiming to be armed with an Uzi and threatening her family. She had a long history of mental health issues. When officers arrived Showman met them outside, holding a cordless drill. Officers felt threatened and they shot her to death.</t>
  </si>
  <si>
    <t>Keith Vidal was an 18-year-old schizophrenic whose parents called police because he was having a violent episode, as they had done on many previous occasions. Two officers arrived and attempted to calm Vidal, who was holding a small screwdriver but not attempting to attack anyone with it. A third officer, Detective Bryon Vassey arrived and allegedly ordered the officers to tase Vidal. Then Vassey shot Vidal in the chest. A Grand Jury indicted Vassey for involuntary manslaughter in February. As of September 2014, no trial date has been set.</t>
  </si>
  <si>
    <t>Hammond was shot while driving away from the scene of a drug deal sting operation. Authorities said Hammond drove his car at a patrol vehicle and an officer, but dashcam video showed he was shot twice from the side through his driver's window as he passed an officer who was ordering him to stop. A local solicitor said the 'deadly force was justified' and declined to bring criminal charges against Lieutenant Mark Tiller.</t>
  </si>
  <si>
    <t>Nalls called 911 reporting a shot fired in his home. He locked himself in his bathroom when deputies arrived. Nalls ran from his home and a deputy found him walking in the neighborhood. Nalls got in the deputies car and drove off, dragging the deputy about two blocks. He drove into a tree. Afterwards, the officer tasered him. He was handcuffed and reported that he couldn't breathe. He died on scene.</t>
  </si>
  <si>
    <t>http://www.news-journalonline.com/article/20130406/news/130409845</t>
  </si>
  <si>
    <t xml:space="preserve">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 </t>
  </si>
  <si>
    <t>Massey was a passenger in a car that was stopped by police at 431 South Wrecker Service in Eufaula when he was shot multiple times by police. Massey caused the vehicle to accelerate, dragging one of the officers, according to a statement released Wednesday from Mayor Jack Tibbs. The traffic stop about 45 miles south of Columbus developed into a drug-trafficking investigation.</t>
  </si>
  <si>
    <t>http://www.ledger-enquirer.com/news/local/article29326114.html</t>
  </si>
  <si>
    <t>Police chased a "suspicious" vehicle which then rammed head-on into an empty school bus. Dead were all four occupants: Kadaufei Worley, Tylek McNair, Kashawn Leonard, and Daylon Cummings. Four guns were found in the car.</t>
  </si>
  <si>
    <t>Wilbur Frederick Miller II and Clanesha Hickmon were two of four young people in a Pontiac Grand Prix who fled from an attempted 3 a.m. traffic stop for reckless driving. It's not clera who the driver was. While being pursued by police the vehicle spun out of control, left the roadway and struck a tree. Miller and Hickman were killed. The other two were critically injured.</t>
  </si>
  <si>
    <t>Shawnice drove a red sedan that was chased by police, containing Larry Gilmore and an unidentified third person, which crashed into another vehicle, killing all four involved. For two miles the sedan had fled officers after a shots-fired call and an attempted traffic stop. The crash and resulting fire was so intense that the make and model of the sedan was unclear.</t>
  </si>
  <si>
    <t>Larry was a passenger in a red sedan being chased by police, driven by Shawnice Osborne and also containing an unidentified third person, which crashed into another vehicle, killing all four involved. For two miles the sedan had fled officers after a shots-fired call and an attempted traffic stop. The crash and resulting fire was so intense that the make and model of the sedan was unclear.</t>
  </si>
  <si>
    <t>An unidentified passenger in a red sedan being chased by police, driven by Shawnice Osborne and also containing Larry Gilmore, which crashed into another vehicle, killing all four involved. For two miles the sedan had fled officers after a shots-fired call and an attempted traffic stop. The crash and resulting fire was so intense that the make and model of the sedan was unclear.</t>
  </si>
  <si>
    <t>Lavoy was a passenger in a vehicle driver by Jeromy Goode, which was chased by police after taking off from a traffic stop for speeding. State troopers chased him at high speed down I-55 for 25 miles. The SUV then failed to negotiate an exit, flipped, and the collision killed Lavoy along with Jeremy Goode and Leon Haywood.</t>
  </si>
  <si>
    <t>Leon was a passenger in a vehicle driver by Jeromy Goode, which was chased by police after taking off from a traffic stop for speeding. State troopers chased him at high speed down I-55 for 25 miles. The SUV then failed to negotiate an exit, flipped, and the collision killed Lavoy along with Jeremy Goode and Lavoy Steed</t>
  </si>
  <si>
    <t>Juan Ahuezoteco fled a traffic stop by local officers along with passenger Alejandro Molina, setting off a brief vehicle chase at speeds around 100 MPH. After a swerving minor crash they rammed into four members of the Guerrero family in an Accord. All six were killed by the violent impact.</t>
  </si>
  <si>
    <t>Alejandro was a passenger in a vehicle driven by Juan Aheuzoteco that fled a traffic stop by local officer, setting off a brief vehicle chase at speeds around 100 MPH. After a swerving minor crash they rammed into four members of the Guerrero family in an Accord. All six were killed by the violent impact.</t>
  </si>
  <si>
    <t>Bethea allegedly tried to flee in a vehicle when two undercover narcotics officers tried to arrest him for selling drugs. Police said he used the car as a weapon and tried to run officers over.</t>
  </si>
  <si>
    <t>Henry and three others were chased by police who suspected them of being involved in a burglary. The police chased them, used stopsticks, and their car overturned. Its unclear who was driving the car.</t>
  </si>
  <si>
    <t>Brown and three others were chased by police who suspected them of being involved in a burglary. The police chased them, used stopsticks, and their car overturned. Its unclear who was driving the car.</t>
  </si>
  <si>
    <t>Officers responding to a report of theft reportedly demanded that Stokes drop a gun and show his hands before shooting him twice, though Stokes had left his gun in a friend's car before the shooting. His mother said that she never has believed the Police Department’s account of her son’s death and maintains he was not armed that night. A jury found the officers were justified in shooting Stokes.</t>
  </si>
  <si>
    <t>Officers responded to suspicious person call and found Dixon, acting erratically and armed with a stun gun. The officers determined that he was suffering from a medical condition and tried to place him in emergency custody. He resisted, and by the time he was handcuffed, he had stopped breathing. 'The police were told by a witness he had a bad heart and if they had not thrown him to the ground, four police officers banged on him and beat him, what they did was they triggered the heart attack,' said Rudy Langford with the Coalition for Justice.</t>
  </si>
  <si>
    <t>Davis allegedly threatened an officer at a convenience store. He was bleeding from the head. The officer reportedly called for backup and struggled with the man, eventually detaining him. Paramedics soon came out to the store to take the man to the hospital. "During the point of being transported to the hospital, he becomes unconscious," Silva said. "At St. Joseph's Hospital, he was pronounced deceased."</t>
  </si>
  <si>
    <t>There is little media coverage on this case. Officers stopped McKinnis’ car on a traffic violation and found he had a criminal warrant. McKinnis allegedly resisted arrest and tried to flee. After struggling with McKinnis, "officers realized the man needed medical attention and called for emergency responders." McKinnis may have had a medical emergency during the struggle. He later died at the hospital.</t>
  </si>
  <si>
    <t>Pepper Spray, Taser, Beaten</t>
  </si>
  <si>
    <t>Taser, Pepper Spray, Beaten</t>
  </si>
  <si>
    <t>Neglect, Medical Emergency</t>
  </si>
  <si>
    <t>Cedano called 911 reporting that someone was outside his house that wanted to harm him. When officers arrived he attacked them. During the scuffle, one officer suffered a fractured wrist. Cedano was tasered and after he was handcuffed, he lost consciousness. He was pronounced dead at the hospital.</t>
  </si>
  <si>
    <t>Sandra Bland was pulled over for a routine traffic stop, which the deputy quickly escalated by as Sandra was removed from the car and physically restrained. She would later die in a jail cell under dubious circumstances. Officer Encina would later be charged with perjury for lying about the events leading up to Bland's arrest.</t>
  </si>
  <si>
    <t>Officers responding to a disturbance call with Benjamin reportedly acting erratic used what many have said was excessive force to subdue the 41-year-old man before transporting him to a local hospital, where he later died. Family members claim a deputy who was subduing Benjamin put his knee into the back of Benjamin's neck and kept his face pressed against the ground. "By the time they turned him back over, he was gone," Benjamin's cousin, Lateesia Jordan, told WPBF 25 News.</t>
  </si>
  <si>
    <t xml:space="preserve">Deputies were called to a robbery at an Exxon gas station on Northwest 27th Avenue shortly before 7 p.m. Wednesday. When they arrived, deputies found Clark struggling with one of the clerks. Deputies fought with Clark. Clark was brought to the hospital before he died. </t>
  </si>
  <si>
    <t>Physical restraint, Neglect, Medical Emergency</t>
  </si>
  <si>
    <t>Emotionally disturbed man dies after confrontation with police in his own home.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</si>
</sst>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b/>
      <sz val="10"/>
      <name val="Arial"/>
    </font>
    <font>
      <b/>
      <sz val="10"/>
      <color rgb="FF000000"/>
      <name val="Arial"/>
    </font>
    <font>
      <sz val="10"/>
      <name val="Arial"/>
    </font>
    <font>
      <u/>
      <sz val="10"/>
      <color rgb="FF000000"/>
      <name val="Arial"/>
    </font>
    <font>
      <sz val="10"/>
      <color rgb="FF000000"/>
      <name val="Arial"/>
    </font>
    <font>
      <u/>
      <sz val="10"/>
      <color rgb="FF0000FF"/>
      <name val="Arial"/>
    </font>
    <font>
      <u/>
      <sz val="10"/>
      <color theme="10"/>
      <name val="Arial"/>
    </font>
    <font>
      <u/>
      <sz val="10"/>
      <color theme="11"/>
      <name val="Arial"/>
    </font>
    <font>
      <sz val="10"/>
      <color theme="1"/>
      <name val="Arial"/>
    </font>
    <font>
      <b/>
      <sz val="10"/>
      <color theme="1"/>
      <name val="Arial"/>
    </font>
    <font>
      <b/>
      <sz val="12"/>
      <color theme="1"/>
      <name val="Calibri"/>
      <family val="2"/>
      <scheme val="minor"/>
    </font>
    <font>
      <b/>
      <sz val="7.5"/>
      <color rgb="FF000000"/>
      <name val="Arial"/>
    </font>
    <font>
      <sz val="7.5"/>
      <color rgb="FF000000"/>
      <name val="Arial"/>
    </font>
    <font>
      <sz val="12"/>
      <color rgb="FF000000"/>
      <name val="Calibri"/>
      <family val="2"/>
      <scheme val="minor"/>
    </font>
    <font>
      <b/>
      <sz val="7.5"/>
      <color theme="1"/>
      <name val="Arial"/>
    </font>
    <font>
      <sz val="12"/>
      <color theme="1"/>
      <name val="Calibri"/>
      <family val="2"/>
    </font>
    <font>
      <sz val="7.5"/>
      <color theme="1"/>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3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applyFont="1" applyAlignment="1"/>
    <xf numFmtId="0" fontId="0" fillId="0" borderId="0" xfId="0" applyFont="1" applyAlignment="1">
      <alignment wrapText="1"/>
    </xf>
    <xf numFmtId="0" fontId="0" fillId="0" borderId="0" xfId="0" applyFont="1" applyFill="1" applyBorder="1" applyAlignment="1"/>
    <xf numFmtId="0" fontId="3" fillId="0" borderId="0" xfId="0" applyFont="1" applyFill="1" applyBorder="1" applyAlignment="1"/>
    <xf numFmtId="0" fontId="2" fillId="0" borderId="0" xfId="0" applyFont="1" applyFill="1" applyBorder="1"/>
    <xf numFmtId="49" fontId="1" fillId="0" borderId="0" xfId="0" applyNumberFormat="1" applyFont="1" applyFill="1" applyBorder="1"/>
    <xf numFmtId="0" fontId="3" fillId="0" borderId="0" xfId="0" applyFont="1" applyFill="1" applyBorder="1"/>
    <xf numFmtId="49" fontId="3" fillId="0" borderId="0" xfId="0" applyNumberFormat="1" applyFont="1" applyFill="1" applyBorder="1"/>
    <xf numFmtId="0" fontId="0" fillId="0" borderId="0" xfId="0" applyFont="1" applyFill="1" applyBorder="1"/>
    <xf numFmtId="0" fontId="3" fillId="0" borderId="0" xfId="0" applyFont="1" applyFill="1" applyBorder="1" applyAlignment="1">
      <alignment horizontal="left"/>
    </xf>
    <xf numFmtId="0" fontId="6" fillId="0" borderId="0" xfId="0" applyFont="1" applyFill="1" applyBorder="1"/>
    <xf numFmtId="0" fontId="4" fillId="0" borderId="0" xfId="0" applyFont="1" applyFill="1" applyBorder="1"/>
    <xf numFmtId="0" fontId="7" fillId="0" borderId="0" xfId="1" applyFont="1" applyFill="1" applyBorder="1"/>
    <xf numFmtId="0" fontId="10" fillId="0" borderId="0" xfId="0" applyFont="1" applyFill="1" applyBorder="1"/>
    <xf numFmtId="0" fontId="1" fillId="0" borderId="0" xfId="0" applyFont="1" applyFill="1" applyBorder="1"/>
    <xf numFmtId="14" fontId="1" fillId="0" borderId="0" xfId="0" applyNumberFormat="1" applyFont="1" applyFill="1" applyBorder="1"/>
    <xf numFmtId="0" fontId="0" fillId="0" borderId="0" xfId="0" applyFont="1" applyFill="1" applyBorder="1" applyAlignment="1">
      <alignment horizontal="left"/>
    </xf>
    <xf numFmtId="14" fontId="3" fillId="0" borderId="0" xfId="0" applyNumberFormat="1" applyFont="1" applyFill="1" applyBorder="1"/>
    <xf numFmtId="0" fontId="2" fillId="0" borderId="0" xfId="0" applyFont="1" applyFill="1" applyBorder="1" applyAlignment="1"/>
    <xf numFmtId="0" fontId="2" fillId="0" borderId="0" xfId="0" applyFont="1" applyFill="1" applyBorder="1" applyAlignment="1">
      <alignment horizontal="left"/>
    </xf>
    <xf numFmtId="0" fontId="6" fillId="0" borderId="0" xfId="0" applyFont="1" applyFill="1" applyBorder="1" applyAlignment="1"/>
    <xf numFmtId="0" fontId="0" fillId="0" borderId="1" xfId="0" applyFont="1" applyFill="1" applyBorder="1"/>
    <xf numFmtId="0" fontId="3" fillId="0" borderId="1" xfId="0" applyFont="1" applyFill="1" applyBorder="1"/>
    <xf numFmtId="0" fontId="3" fillId="0" borderId="0" xfId="0" applyFont="1" applyFill="1" applyAlignment="1"/>
    <xf numFmtId="0" fontId="0" fillId="0" borderId="0" xfId="0" applyFont="1" applyFill="1" applyAlignment="1">
      <alignment wrapText="1"/>
    </xf>
    <xf numFmtId="0" fontId="0" fillId="0" borderId="0" xfId="0" applyFill="1"/>
    <xf numFmtId="0" fontId="5" fillId="0" borderId="0" xfId="0" applyFont="1" applyFill="1"/>
    <xf numFmtId="0" fontId="5" fillId="0" borderId="0" xfId="0" applyFont="1" applyFill="1" applyAlignment="1">
      <alignment horizontal="left"/>
    </xf>
    <xf numFmtId="49" fontId="3" fillId="0" borderId="0" xfId="0" applyNumberFormat="1" applyFont="1" applyFill="1"/>
    <xf numFmtId="0" fontId="7" fillId="0" borderId="0" xfId="1" applyFill="1"/>
    <xf numFmtId="0" fontId="0" fillId="0" borderId="1" xfId="0" applyFont="1" applyFill="1" applyBorder="1" applyAlignment="1">
      <alignment horizontal="left"/>
    </xf>
    <xf numFmtId="0" fontId="0" fillId="0" borderId="1" xfId="0" applyFont="1" applyFill="1" applyBorder="1" applyAlignment="1"/>
    <xf numFmtId="0" fontId="7" fillId="0" borderId="1" xfId="1" applyFont="1" applyFill="1" applyBorder="1"/>
    <xf numFmtId="0" fontId="6" fillId="0" borderId="0" xfId="0" applyFont="1" applyFill="1" applyBorder="1" applyAlignment="1">
      <alignment wrapText="1"/>
    </xf>
    <xf numFmtId="0" fontId="0" fillId="0" borderId="2" xfId="0" applyFont="1" applyFill="1" applyBorder="1"/>
    <xf numFmtId="0" fontId="9" fillId="0" borderId="0" xfId="0" applyFont="1" applyFill="1"/>
    <xf numFmtId="0" fontId="9" fillId="0" borderId="0" xfId="0" applyFont="1" applyFill="1" applyAlignment="1">
      <alignment horizontal="left"/>
    </xf>
    <xf numFmtId="0" fontId="9" fillId="0" borderId="0" xfId="0" applyFont="1" applyFill="1" applyAlignment="1"/>
    <xf numFmtId="49" fontId="3" fillId="0" borderId="2" xfId="0" applyNumberFormat="1" applyFont="1" applyFill="1" applyBorder="1"/>
    <xf numFmtId="0" fontId="0" fillId="0" borderId="0" xfId="0"/>
    <xf numFmtId="14" fontId="0" fillId="0" borderId="0" xfId="0" applyNumberFormat="1"/>
    <xf numFmtId="0" fontId="0" fillId="0" borderId="0" xfId="0" applyFill="1" applyBorder="1"/>
    <xf numFmtId="0" fontId="0" fillId="0" borderId="0" xfId="0" applyFont="1" applyFill="1"/>
    <xf numFmtId="0" fontId="0" fillId="0" borderId="0" xfId="0" applyAlignment="1">
      <alignment horizontal="left"/>
    </xf>
    <xf numFmtId="0" fontId="2" fillId="0" borderId="0" xfId="0" applyFont="1"/>
    <xf numFmtId="0" fontId="12" fillId="0" borderId="0" xfId="0" applyFont="1"/>
    <xf numFmtId="0" fontId="13" fillId="0" borderId="0" xfId="0" applyFont="1"/>
    <xf numFmtId="3" fontId="12" fillId="0" borderId="0" xfId="0" applyNumberFormat="1" applyFont="1"/>
    <xf numFmtId="0" fontId="14" fillId="0" borderId="0" xfId="0" applyFont="1"/>
    <xf numFmtId="2" fontId="14" fillId="0" borderId="0" xfId="0" applyNumberFormat="1" applyFont="1"/>
    <xf numFmtId="3" fontId="15" fillId="0" borderId="0" xfId="0" applyNumberFormat="1" applyFont="1"/>
    <xf numFmtId="9" fontId="15" fillId="0" borderId="0" xfId="171" applyFont="1"/>
    <xf numFmtId="9" fontId="0" fillId="0" borderId="0" xfId="0" applyNumberFormat="1"/>
    <xf numFmtId="0" fontId="16" fillId="0" borderId="0" xfId="0" applyFont="1" applyFill="1"/>
    <xf numFmtId="2" fontId="16" fillId="0" borderId="0" xfId="0" applyNumberFormat="1" applyFont="1" applyFill="1"/>
    <xf numFmtId="3" fontId="16" fillId="0" borderId="0" xfId="0" applyNumberFormat="1" applyFont="1" applyFill="1"/>
    <xf numFmtId="0" fontId="17" fillId="0" borderId="0" xfId="0" applyFont="1" applyAlignment="1">
      <alignment horizontal="left"/>
    </xf>
    <xf numFmtId="0" fontId="11" fillId="0" borderId="0" xfId="0" applyFont="1" applyAlignment="1">
      <alignment horizontal="left"/>
    </xf>
    <xf numFmtId="0" fontId="0" fillId="0" borderId="0" xfId="0" applyBorder="1"/>
    <xf numFmtId="0" fontId="7" fillId="0" borderId="0" xfId="1" applyFill="1" applyBorder="1"/>
    <xf numFmtId="14" fontId="0" fillId="0" borderId="0" xfId="0" applyNumberFormat="1" applyFont="1" applyAlignment="1"/>
    <xf numFmtId="49" fontId="3" fillId="0" borderId="0" xfId="0" applyNumberFormat="1" applyFont="1" applyFill="1" applyBorder="1" applyAlignment="1"/>
    <xf numFmtId="0" fontId="0" fillId="0" borderId="0" xfId="0" applyFont="1" applyFill="1" applyBorder="1" applyAlignment="1">
      <alignment wrapText="1"/>
    </xf>
    <xf numFmtId="0" fontId="0" fillId="0" borderId="0" xfId="0" applyAlignment="1"/>
    <xf numFmtId="0" fontId="5" fillId="0" borderId="0" xfId="0" applyFont="1" applyFill="1" applyAlignment="1"/>
    <xf numFmtId="0" fontId="0" fillId="0" borderId="0" xfId="0" applyAlignment="1">
      <alignment wrapText="1"/>
    </xf>
  </cellXfs>
  <cellStyles count="23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Hyperlink" xfId="1" builtinId="8"/>
    <cellStyle name="Normal" xfId="0" builtinId="0"/>
    <cellStyle name="Percent" xfId="171" builtinId="5"/>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1104900</xdr:colOff>
      <xdr:row>341</xdr:row>
      <xdr:rowOff>38100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0" Type="http://schemas.openxmlformats.org/officeDocument/2006/relationships/hyperlink" Target="http://www.killedbypolice.net/victims/150676.jpg" TargetMode="External"/><Relationship Id="rId31" Type="http://schemas.openxmlformats.org/officeDocument/2006/relationships/hyperlink" Target="http://bloximages.chicago2.vip.townnews.com/news.hjnews.com/content/tncms/assets/v3/editorial/c/a4/ca4f81e2-cf7d-5033-933f-f993eb1d4c29/55ba527445ee0.image.jpg" TargetMode="External"/><Relationship Id="rId32" Type="http://schemas.openxmlformats.org/officeDocument/2006/relationships/hyperlink" Target="http://images1.westword.com/imager/u/745xauto/6970529/sam.forgy.portrait.800.cropped.jpg" TargetMode="External"/><Relationship Id="rId33" Type="http://schemas.openxmlformats.org/officeDocument/2006/relationships/hyperlink" Target="http://www.thedenverchannel.com/news/local-news/naked-man-shot-and-killed-by-boulder-police-was-reportedly-high-on-lsd" TargetMode="External"/><Relationship Id="rId34" Type="http://schemas.openxmlformats.org/officeDocument/2006/relationships/hyperlink" Target="http://bayoutimelive.com/wp-content/uploads/2013/04/Jean-P.-Falgout.jpg" TargetMode="External"/><Relationship Id="rId35" Type="http://schemas.openxmlformats.org/officeDocument/2006/relationships/hyperlink" Target="http://www.houmatoday.com/article/20150728/ARTICLES/150729727/1319?p=1&amp;tc=pg" TargetMode="External"/><Relationship Id="rId36" Type="http://schemas.openxmlformats.org/officeDocument/2006/relationships/hyperlink" Target="http://www.wistv.com/story/29644189/sled-investigating-deputy-involved-shooting-in-lexington-county" TargetMode="External"/><Relationship Id="rId37" Type="http://schemas.openxmlformats.org/officeDocument/2006/relationships/hyperlink" Target="http://www.ksla.com/story/29634844/spd-officers-involved-in-shooting-while-responding-to-hostage-situation" TargetMode="External"/><Relationship Id="rId38" Type="http://schemas.openxmlformats.org/officeDocument/2006/relationships/hyperlink" Target="http://www.independent.co.uk/incoming/article10446695.ece/alternates/w620/Zach-hammond.jpg" TargetMode="External"/><Relationship Id="rId39" Type="http://schemas.openxmlformats.org/officeDocument/2006/relationships/hyperlink" Target="http://www.independentmail.com/news/man-killed-by-seneca-police-officer" TargetMode="External"/><Relationship Id="rId400" Type="http://schemas.openxmlformats.org/officeDocument/2006/relationships/hyperlink" Target="http://fox2now.com/2015/04/14/man-identified-in-alton-officer-involved-shooting/" TargetMode="External"/><Relationship Id="rId401" Type="http://schemas.openxmlformats.org/officeDocument/2006/relationships/hyperlink" Target="http://abc11.com/news/sampson-county-sheriffs-deputy-shoots-and-kills-robbery-suspect/654777/" TargetMode="External"/><Relationship Id="rId402" Type="http://schemas.openxmlformats.org/officeDocument/2006/relationships/hyperlink" Target="http://www.indystar.com/story/news/crime/2015/04/12/officer-involved-shooting-reported-indys-eastside/25678213/" TargetMode="External"/><Relationship Id="rId403" Type="http://schemas.openxmlformats.org/officeDocument/2006/relationships/hyperlink" Target="http://www.koco.com/news/police-investigating-reported-shooting-in-newalla/32332484" TargetMode="External"/><Relationship Id="rId404" Type="http://schemas.openxmlformats.org/officeDocument/2006/relationships/hyperlink" Target="http://www.dailymail.co.uk/news/article-3051433/Bodycam-footage-shows-Sand-Springs-Officer-Brian-Barnett-killing-Donald-Allen.html" TargetMode="External"/><Relationship Id="rId405" Type="http://schemas.openxmlformats.org/officeDocument/2006/relationships/hyperlink" Target="http://www.appeal-democrat.com/corning_observer/deputy-shoots-kills-corning-man-stabbing-father/article_800aa990-e23b-11e4-9469-435eb6fa3396.html" TargetMode="External"/><Relationship Id="rId406" Type="http://schemas.openxmlformats.org/officeDocument/2006/relationships/hyperlink" Target="http://www.pennlive.com/midstate/index.ssf/2015/04/adams_county_prison_gunman_die.html" TargetMode="External"/><Relationship Id="rId407" Type="http://schemas.openxmlformats.org/officeDocument/2006/relationships/hyperlink" Target="http://www.jconline.com/story/news/2015/05/01/officers-justified-use-lethal-force/26708803/" TargetMode="External"/><Relationship Id="rId408" Type="http://schemas.openxmlformats.org/officeDocument/2006/relationships/hyperlink" Target="http://www.northescambia.com/2015/04/santa-rosa-deputy-attacked-by-man-with-sword-suspect-shot-and-killed" TargetMode="External"/><Relationship Id="rId409" Type="http://schemas.openxmlformats.org/officeDocument/2006/relationships/hyperlink" Target="http://newsok.com/oklahoma-agents-investigate-fatal-deputy-involved-shooting-in-creek-county/article/5408706" TargetMode="External"/><Relationship Id="rId1280" Type="http://schemas.openxmlformats.org/officeDocument/2006/relationships/hyperlink" Target="http://www.reviewjournal.com/news/las-vegas/metro-woman-killed-after-firing-officers-stolen-car" TargetMode="External"/><Relationship Id="rId1281" Type="http://schemas.openxmlformats.org/officeDocument/2006/relationships/hyperlink" Target="http://www.dispatch.com/content/stories/local/2015/10/15/officer-kills-suspect-during-far-east-side-robbery.html" TargetMode="External"/><Relationship Id="rId1282" Type="http://schemas.openxmlformats.org/officeDocument/2006/relationships/hyperlink" Target="http://www.desertsun.com/story/news/crime_courts/2015/10/14/possible-shooting-indio-apartments/73951052/" TargetMode="External"/><Relationship Id="rId1283" Type="http://schemas.openxmlformats.org/officeDocument/2006/relationships/hyperlink" Target="http://www.thecalifornian.com/story/news/my-safety/2015/10/14/officer-involved-shooting-breaks-out-seaside/73954434/" TargetMode="External"/><Relationship Id="rId1284" Type="http://schemas.openxmlformats.org/officeDocument/2006/relationships/hyperlink" Target="http://www.sfexaminer.com/new-details-emerge-fatal-mid-market-police-shooting/" TargetMode="External"/><Relationship Id="rId1285" Type="http://schemas.openxmlformats.org/officeDocument/2006/relationships/hyperlink" Target="http://www.cleveland.com/parma/index.ssf/2015/10/suspect_in_robbery_of_parma_pa.html" TargetMode="External"/><Relationship Id="rId1286" Type="http://schemas.openxmlformats.org/officeDocument/2006/relationships/hyperlink" Target="http://www.pe.com/articles/shooting-782957-information-officer.html" TargetMode="External"/><Relationship Id="rId1287" Type="http://schemas.openxmlformats.org/officeDocument/2006/relationships/hyperlink" Target="http://www.cdispatch.com/news/article.asp?aid=45542" TargetMode="External"/><Relationship Id="rId1288" Type="http://schemas.openxmlformats.org/officeDocument/2006/relationships/hyperlink" Target="http://www.al.com/news/index.ssf/2015/10/alabama_state_troopers_shoot_a.html" TargetMode="External"/><Relationship Id="rId1289" Type="http://schemas.openxmlformats.org/officeDocument/2006/relationships/hyperlink" Target="http://www.latimes.com/local/lanow/la-me-ln-deputy-involved-shooting-san-gabriel-valley-20151016-story.html" TargetMode="External"/><Relationship Id="rId280" Type="http://schemas.openxmlformats.org/officeDocument/2006/relationships/hyperlink" Target="http://www.kpho.com/story/29143797/suspect-dead-following-police-shooting-in-eagar-ariz" TargetMode="External"/><Relationship Id="rId281" Type="http://schemas.openxmlformats.org/officeDocument/2006/relationships/hyperlink" Target="http://www.freep.com/story/news/local/michigan/detroit/2015/05/23/barricaded-standoff-detroit/27839681/" TargetMode="External"/><Relationship Id="rId282" Type="http://schemas.openxmlformats.org/officeDocument/2006/relationships/hyperlink" Target="http://www.kshb.com/news/crime/james-horn-man-who-locked-woman-in-box-wanted-in-connection-to-double-murder" TargetMode="External"/><Relationship Id="rId283" Type="http://schemas.openxmlformats.org/officeDocument/2006/relationships/hyperlink" Target="http://www.wpxi.com/news/news/local/troopers-shoot-person-inside-grocery-store/nmMF2/" TargetMode="External"/><Relationship Id="rId284" Type="http://schemas.openxmlformats.org/officeDocument/2006/relationships/hyperlink" Target="http://www.local10.com/news/markus-clark-dies-at-florida-medical-center-after-arrest/33152392" TargetMode="External"/><Relationship Id="rId285" Type="http://schemas.openxmlformats.org/officeDocument/2006/relationships/hyperlink" Target="http://www.wsvn.com/story/29128211/man-dead-after-barricading-himself-inside-fort-lauderdale-home" TargetMode="External"/><Relationship Id="rId286" Type="http://schemas.openxmlformats.org/officeDocument/2006/relationships/hyperlink" Target="http://www.wave3.com/story/29120867/shooting-investigation-in-owensboro" TargetMode="External"/><Relationship Id="rId287" Type="http://schemas.openxmlformats.org/officeDocument/2006/relationships/hyperlink" Target="http://www.abcnews4.com/story/29122044/police-close-off-downtown-charleston-streets-believe-lt-rogers-shooting-suspect-inside" TargetMode="External"/><Relationship Id="rId288" Type="http://schemas.openxmlformats.org/officeDocument/2006/relationships/hyperlink" Target="http://www.nj.com/bergen/index.ssf/2015/05/police-involved_shooting_under_investigation_in_ha.html" TargetMode="External"/><Relationship Id="rId289" Type="http://schemas.openxmlformats.org/officeDocument/2006/relationships/hyperlink" Target="http://www.elpasotimes.com/latestnews/ci_28159979/officer-involved-shooting-northeast-el-paso" TargetMode="External"/><Relationship Id="rId730" Type="http://schemas.openxmlformats.org/officeDocument/2006/relationships/hyperlink" Target="http://www.culvercityobserver.com/story/2013/10/10/news/man-shot-at-ccpd-hq-identified/3089.html" TargetMode="External"/><Relationship Id="rId731" Type="http://schemas.openxmlformats.org/officeDocument/2006/relationships/hyperlink" Target="http://homicide.latimes.com/post/ruben-ramos-escobedo/" TargetMode="External"/><Relationship Id="rId732" Type="http://schemas.openxmlformats.org/officeDocument/2006/relationships/hyperlink" Target="http://articles.orlandosentinel.com/2013-09-18/news/os-winter-garden-officer-involved-shooting-20130918_1_winter-garden-man-unarmed-man-roommate" TargetMode="External"/><Relationship Id="rId733" Type="http://schemas.openxmlformats.org/officeDocument/2006/relationships/hyperlink" Target="http://triblive.com/news/allegheny/4669466-74/officer-police-victim" TargetMode="External"/><Relationship Id="rId734" Type="http://schemas.openxmlformats.org/officeDocument/2006/relationships/hyperlink" Target="http://www.wtva.com/news/national/story/Grand-jury-no-indictments-in-officer-involved/EE5Am7KlmUmIECC8X0k4Wg.cspx" TargetMode="External"/><Relationship Id="rId735" Type="http://schemas.openxmlformats.org/officeDocument/2006/relationships/hyperlink" Target="http://www.washingtonpost.com/blogs/local/wp/2014/07/08/ten-months-of-silence-in-the-fairfax-police-shooting-death-of-john-geer/" TargetMode="External"/><Relationship Id="rId736" Type="http://schemas.openxmlformats.org/officeDocument/2006/relationships/hyperlink" Target="http://homicide.latimes.com/post/dennis-hakeen-vasquez/" TargetMode="External"/><Relationship Id="rId737" Type="http://schemas.openxmlformats.org/officeDocument/2006/relationships/hyperlink" Target="http://www.pe.com/articles/palmer-674426-deputies-phillips.html" TargetMode="External"/><Relationship Id="rId738" Type="http://schemas.openxmlformats.org/officeDocument/2006/relationships/hyperlink" Target="http://www.khq.com/story/23228789/officer-involved-shooting-in-n-spokane" TargetMode="External"/><Relationship Id="rId739" Type="http://schemas.openxmlformats.org/officeDocument/2006/relationships/hyperlink" Target="http://blog.gulflive.com/mississippi-press-news/2013/10/gloster_police_offer_reinstate.html" TargetMode="External"/><Relationship Id="rId40" Type="http://schemas.openxmlformats.org/officeDocument/2006/relationships/hyperlink" Target="http://www.miamiherald.com/news/local/crime/article28915918.html" TargetMode="External"/><Relationship Id="rId41" Type="http://schemas.openxmlformats.org/officeDocument/2006/relationships/hyperlink" Target="http://www.reviewjournal.com/news/las-vegas/metro-officer-wounded-suspect-shot-death" TargetMode="External"/><Relationship Id="rId42" Type="http://schemas.openxmlformats.org/officeDocument/2006/relationships/hyperlink" Target="http://www.walb.com/story/29631891/1-dead-after-officer-involved-shooting-in-decatur-co" TargetMode="External"/><Relationship Id="rId43" Type="http://schemas.openxmlformats.org/officeDocument/2006/relationships/hyperlink" Target="http://www.nola.com/crime/index.ssf/2015/07/breaking_new_orleans_police_sh.html" TargetMode="External"/><Relationship Id="rId44" Type="http://schemas.openxmlformats.org/officeDocument/2006/relationships/hyperlink" Target="http://cdn.abclocal.go.com/content/kabc/images/cms/889902_1280x720.jpg" TargetMode="External"/><Relationship Id="rId45" Type="http://schemas.openxmlformats.org/officeDocument/2006/relationships/hyperlink" Target="http://www.latimes.com/local/lanow/la-me-ln-report-of-gunman-opening-fire-bring-lapd-swarm-in-studio-city-20150724-story.html" TargetMode="External"/><Relationship Id="rId46" Type="http://schemas.openxmlformats.org/officeDocument/2006/relationships/hyperlink" Target="http://www.killedbypolice.net/victims/2664.jpg" TargetMode="External"/><Relationship Id="rId47" Type="http://schemas.openxmlformats.org/officeDocument/2006/relationships/hyperlink" Target="http://www.wesh.com/news/bicyclist-struck-by-police-cruiser-has-died/34321568" TargetMode="External"/><Relationship Id="rId48" Type="http://schemas.openxmlformats.org/officeDocument/2006/relationships/hyperlink" Target="http://ksla.images.worldnow.com/images/8474631_G.jpg" TargetMode="External"/><Relationship Id="rId49" Type="http://schemas.openxmlformats.org/officeDocument/2006/relationships/hyperlink" Target="http://www.koco.com/news/okc-police-investigating-officerinvolved-shooting-on-northeast-side/34302646" TargetMode="External"/><Relationship Id="rId410" Type="http://schemas.openxmlformats.org/officeDocument/2006/relationships/hyperlink" Target="http://www.wyff4.com/news/family-of-man-killed-by-deputies-hires-attorney/32601896" TargetMode="External"/><Relationship Id="rId411" Type="http://schemas.openxmlformats.org/officeDocument/2006/relationships/hyperlink" Target="http://www.wctv.tv/home/headlines/Police-Respond-to-Apparent-Shooting-in-Valdosta-299123481.html" TargetMode="External"/><Relationship Id="rId412" Type="http://schemas.openxmlformats.org/officeDocument/2006/relationships/hyperlink" Target="http://www.latimes.com/local/lanow/la-me-ln-boyle-heights-ois-man-identified-20150410-story.html" TargetMode="External"/><Relationship Id="rId413" Type="http://schemas.openxmlformats.org/officeDocument/2006/relationships/hyperlink" Target="http://www.kerngoldenempire.com/news/top-stories/new-information-on-kcso-in-custody-death" TargetMode="External"/><Relationship Id="rId414" Type="http://schemas.openxmlformats.org/officeDocument/2006/relationships/hyperlink" Target="http://sanfrancisco.cbslocal.com/2015/04/14/armed-robbery-suspect-killed-by-sunnyvale-police-was-army-veteran/" TargetMode="External"/><Relationship Id="rId415" Type="http://schemas.openxmlformats.org/officeDocument/2006/relationships/hyperlink" Target="http://www.ksat.com/content/pns/ksat/news/2015/04/10/man-shot--killed-by-police-id-d.html" TargetMode="External"/><Relationship Id="rId416" Type="http://schemas.openxmlformats.org/officeDocument/2006/relationships/hyperlink" Target="http://www.ksat.com/content/pns/ksat/news/2015/04/10/man-shot--killed-by-police-id-d.html" TargetMode="External"/><Relationship Id="rId417" Type="http://schemas.openxmlformats.org/officeDocument/2006/relationships/hyperlink" Target="http://www.ktvb.com/story/news/crime/2015/04/07/deputy-shoots-kills-man-rifle/25414923/" TargetMode="External"/><Relationship Id="rId418" Type="http://schemas.openxmlformats.org/officeDocument/2006/relationships/hyperlink" Target="http://kfor.com/2015/04/08/officer-involved-shooting-in-shawnee-leaves-one-dead/" TargetMode="External"/><Relationship Id="rId419" Type="http://schemas.openxmlformats.org/officeDocument/2006/relationships/hyperlink" Target="http://www.wdsu.com/news/local-news/new-orleans/jpso-officer-involved-in-shooting-in-harvey/32215908" TargetMode="External"/><Relationship Id="rId1290" Type="http://schemas.openxmlformats.org/officeDocument/2006/relationships/hyperlink" Target="http://www.modbee.com/news/local/crime/article39598365.html" TargetMode="External"/><Relationship Id="rId1291" Type="http://schemas.openxmlformats.org/officeDocument/2006/relationships/hyperlink" Target="http://archive.ydr.com/local/ci_28983263/police-respond-saturday-afternoon-shooting-york" TargetMode="External"/><Relationship Id="rId1292" Type="http://schemas.openxmlformats.org/officeDocument/2006/relationships/hyperlink" Target="http://www.richmond.com/news/local/chesterfield/article_c725c915-9977-5246-be48-5a2b51f13953.html" TargetMode="External"/><Relationship Id="rId1293" Type="http://schemas.openxmlformats.org/officeDocument/2006/relationships/hyperlink" Target="http://www.sun-sentinel.com/local/palm-beach/fl-palm-beach-gardens-officer-shooting-20151019-story.html" TargetMode="External"/><Relationship Id="rId1294" Type="http://schemas.openxmlformats.org/officeDocument/2006/relationships/hyperlink" Target="http://abc30.com/news/neighbor-says-police-officer-who-shot-suspect-may-have-saved-him/1039573/" TargetMode="External"/><Relationship Id="rId1295" Type="http://schemas.openxmlformats.org/officeDocument/2006/relationships/hyperlink" Target="http://www.nola.com/crime/index.ssf/2015/10/man_fatally_shot_by_st_tammany.html" TargetMode="External"/><Relationship Id="rId1296" Type="http://schemas.openxmlformats.org/officeDocument/2006/relationships/hyperlink" Target="http://www.desmoinesregister.com/story/news/crime-and-courts/2015/10/21/cedar-rapids-fatal-police-shooting/74316302/?from=global&amp;sessionKey=&amp;autologin=" TargetMode="External"/><Relationship Id="rId1297" Type="http://schemas.openxmlformats.org/officeDocument/2006/relationships/hyperlink" Target="http://www.sandiegouniontribune.com/news/2015/oct/20/officer-involved-shooting-downtown-san-diego/" TargetMode="External"/><Relationship Id="rId1298" Type="http://schemas.openxmlformats.org/officeDocument/2006/relationships/hyperlink" Target="http://www.courier-journal.com/story/news/crime/2015/10/20/jeffersontown-police-shoot-robbery-suspect/74283040/" TargetMode="External"/><Relationship Id="rId1299" Type="http://schemas.openxmlformats.org/officeDocument/2006/relationships/hyperlink" Target="http://www.nbcsandiego.com/news/local/Customs-Border-Protection-CBP-Officer-Shoots-Kills-Man-at-Calexico-Port-of-Entry-335010591.html" TargetMode="External"/><Relationship Id="rId290" Type="http://schemas.openxmlformats.org/officeDocument/2006/relationships/hyperlink" Target="http://jacksonville.com/news/crime/2015-05-21/story/suspect-shot-deputies-st-augustine-beach-has-died" TargetMode="External"/><Relationship Id="rId291" Type="http://schemas.openxmlformats.org/officeDocument/2006/relationships/hyperlink" Target="http://www.postandcourier.com/article/20150521/PC16/150529889/man-shot-last-night-after-cutting-deputy-dies" TargetMode="External"/><Relationship Id="rId292" Type="http://schemas.openxmlformats.org/officeDocument/2006/relationships/hyperlink" Target="http://www.gillettenewsrecord.com/news/local/article_8ce9749e-ffea-11e4-b7e5-5f207815da4f.html" TargetMode="External"/><Relationship Id="rId293" Type="http://schemas.openxmlformats.org/officeDocument/2006/relationships/hyperlink" Target="http://www.wowt.com/home/headlines/Police-Officer-Shot-304450711.html?ref=711" TargetMode="External"/><Relationship Id="rId294" Type="http://schemas.openxmlformats.org/officeDocument/2006/relationships/hyperlink" Target="http://www.thv11.com/story/news/crime/2015/05/19/police-respond-to-cabot-shooting/27627629/" TargetMode="External"/><Relationship Id="rId295" Type="http://schemas.openxmlformats.org/officeDocument/2006/relationships/hyperlink" Target="http://www.newsnet5.com/news/local-news/oh-summit/summit-county-sheriffs-deputy-fatally-shoots-man-with-knife-in-green" TargetMode="External"/><Relationship Id="rId296" Type="http://schemas.openxmlformats.org/officeDocument/2006/relationships/hyperlink" Target="http://www.wgal.com/news/breaking-news-officer-shot-in-lancaster/33104470" TargetMode="External"/><Relationship Id="rId297" Type="http://schemas.openxmlformats.org/officeDocument/2006/relationships/hyperlink" Target="http://www.arlnow.com/2015/05/19/breaking-officer-involved-shooting-in-buckingham/" TargetMode="External"/><Relationship Id="rId298" Type="http://schemas.openxmlformats.org/officeDocument/2006/relationships/hyperlink" Target="http://www.kjct8.com/news/headlines/Officer-involved-shooting-near-downtown-Grand-Junction-304404101.html" TargetMode="External"/><Relationship Id="rId299" Type="http://schemas.openxmlformats.org/officeDocument/2006/relationships/hyperlink" Target="http://k2radio.com/inmate-fought-deputies-before-dying-affidavit-details-bin-williams-last-days/" TargetMode="External"/><Relationship Id="rId740" Type="http://schemas.openxmlformats.org/officeDocument/2006/relationships/hyperlink" Target="http://www.huffingtonpost.com/2013/08/08/james-lee-dimaggio_n_3724734.html" TargetMode="External"/><Relationship Id="rId741" Type="http://schemas.openxmlformats.org/officeDocument/2006/relationships/hyperlink" Target="http://hamptonroads.com/2013/08/man-killed-deputyinvolved-isle-wight-shooting" TargetMode="External"/><Relationship Id="rId742" Type="http://schemas.openxmlformats.org/officeDocument/2006/relationships/hyperlink" Target="http://www.theindychannel.com/news/local-news/impd-suspect-dies-while-being-arrested" TargetMode="External"/><Relationship Id="rId743" Type="http://schemas.openxmlformats.org/officeDocument/2006/relationships/hyperlink" Target="http://www.huffingtonpost.com/2013/08/05/shaaliver-douse-shooting_n_3705623.html" TargetMode="External"/><Relationship Id="rId744" Type="http://schemas.openxmlformats.org/officeDocument/2006/relationships/hyperlink" Target="http://kfor.com/2013/08/02/warr-acres-police-involved-in-chase-shooting-reported/" TargetMode="External"/><Relationship Id="rId745" Type="http://schemas.openxmlformats.org/officeDocument/2006/relationships/hyperlink" Target="http://www.nola.com/crime/index.ssf/2014/04/report_doj_drops_probe_of_fbi-.html" TargetMode="External"/><Relationship Id="rId746" Type="http://schemas.openxmlformats.org/officeDocument/2006/relationships/hyperlink" Target="http://pjmedia.com/tatler/2013/07/30/the-strange-killing-of-larry-eugene-jackson-jr-by-an-austin-police-detective/" TargetMode="External"/><Relationship Id="rId747" Type="http://schemas.openxmlformats.org/officeDocument/2006/relationships/hyperlink" Target="http://www.wral.com/suspect-killed-in-officer-involved-shooting-identified/12688890/" TargetMode="External"/><Relationship Id="rId748" Type="http://schemas.openxmlformats.org/officeDocument/2006/relationships/hyperlink" Target="http://crimeblog.dallasnews.com/2013/07/police-shoot-burglary-suspect-in-confrontation-in-southeast-dallas.html/" TargetMode="External"/><Relationship Id="rId749" Type="http://schemas.openxmlformats.org/officeDocument/2006/relationships/hyperlink" Target="http://explorevenango.com/vigil-rally-held-for-oil-city-woman-fatally-shot-by-police/" TargetMode="External"/><Relationship Id="rId50" Type="http://schemas.openxmlformats.org/officeDocument/2006/relationships/hyperlink" Target="http://philadelphia.cbslocal.com/2014/09/16/police-id-suspect-in-shooting-death-of-pregnant-woman-unborn-child/" TargetMode="External"/><Relationship Id="rId51" Type="http://schemas.openxmlformats.org/officeDocument/2006/relationships/hyperlink" Target="http://www.killedbypolice.net/victims/150651.jpg" TargetMode="External"/><Relationship Id="rId52" Type="http://schemas.openxmlformats.org/officeDocument/2006/relationships/hyperlink" Target="http://www.killedbypolice.net/victims/150637.jpg" TargetMode="External"/><Relationship Id="rId53" Type="http://schemas.openxmlformats.org/officeDocument/2006/relationships/hyperlink" Target="http://www.killedbypolice.net/victims/150642.jpg" TargetMode="External"/><Relationship Id="rId54" Type="http://schemas.openxmlformats.org/officeDocument/2006/relationships/hyperlink" Target="http://www.cincinnati.com/story/news/2015/07/29/publish/30830777/" TargetMode="External"/><Relationship Id="rId55" Type="http://schemas.openxmlformats.org/officeDocument/2006/relationships/hyperlink" Target="http://www.visaliatimesdelta.com/story/news/local/2015/07/22/single-bullet-killed-farmersville-man/30501679/" TargetMode="External"/><Relationship Id="rId56" Type="http://schemas.openxmlformats.org/officeDocument/2006/relationships/hyperlink" Target="http://www.azcentral.com/story/news/local/phoenix/2015/07/18/west-phoenix-fatal-officer-involved-shooting-abrk/30349421/" TargetMode="External"/><Relationship Id="rId57" Type="http://schemas.openxmlformats.org/officeDocument/2006/relationships/hyperlink" Target="http://www.thedenverchannel.com/news/local-news/man-dead-shot-by-fort-collins-officers-after-suspect-tried-to-attack-them-with-knife" TargetMode="External"/><Relationship Id="rId58" Type="http://schemas.openxmlformats.org/officeDocument/2006/relationships/hyperlink" Target="http://www.kake.com/home/headlines/KBI-investigating-officer-involved-shooting-in-northwest-Kansas-316960821.html" TargetMode="External"/><Relationship Id="rId59" Type="http://schemas.openxmlformats.org/officeDocument/2006/relationships/hyperlink" Target="http://www.orlandosentinel.com/news/breaking-news/os-orlando-police-suspect-shooting-20150717-story.html" TargetMode="External"/><Relationship Id="rId420" Type="http://schemas.openxmlformats.org/officeDocument/2006/relationships/hyperlink" Target="http://www.turnto23.com/news/local-news/suspect-dies-after-officer-involved-shooting-in-tehachapi-040615" TargetMode="External"/><Relationship Id="rId421" Type="http://schemas.openxmlformats.org/officeDocument/2006/relationships/hyperlink" Target="http://www.seattletimes.com/seattle-news/coulee-dam-man-dies-following-taser-incident/" TargetMode="External"/><Relationship Id="rId422" Type="http://schemas.openxmlformats.org/officeDocument/2006/relationships/hyperlink" Target="http://www.ocala.com/article/20150429/ARTICLES/150429614" TargetMode="External"/><Relationship Id="rId423" Type="http://schemas.openxmlformats.org/officeDocument/2006/relationships/hyperlink" Target="http://www.indystar.com/story/news/crime/2015/04/06/armed-man-shot-and-killed-by-police-on-southwestside/25348529/" TargetMode="External"/><Relationship Id="rId424" Type="http://schemas.openxmlformats.org/officeDocument/2006/relationships/hyperlink" Target="http://mugshot-record-search.com/mugshot/AZ/Maricopa-County-Sheriff-Office/2015-Mar-16/8155067/Kenneth-Cockerel" TargetMode="External"/><Relationship Id="rId425" Type="http://schemas.openxmlformats.org/officeDocument/2006/relationships/hyperlink" Target="http://www.abc15.com/news/region-phoenix-metro/north-phoenix/police-identify-ken-cockerel-as-man-who-stabbed-himself-then-threatened-officers-with-knives" TargetMode="External"/><Relationship Id="rId426" Type="http://schemas.openxmlformats.org/officeDocument/2006/relationships/hyperlink" Target="http://ktla.com/2015/04/05/armed-man-is-fatally-shot-by-anaheim-police-1-day-after-posting-bail/" TargetMode="External"/><Relationship Id="rId427" Type="http://schemas.openxmlformats.org/officeDocument/2006/relationships/hyperlink" Target="http://www.huffingtonpost.com/2015/04/29/justus-howell_n_7172814.html" TargetMode="External"/><Relationship Id="rId428" Type="http://schemas.openxmlformats.org/officeDocument/2006/relationships/hyperlink" Target="http://www.koat.com/news/state-police-officers-fatally-shoot-east-mountains-man/32197688" TargetMode="External"/><Relationship Id="rId429" Type="http://schemas.openxmlformats.org/officeDocument/2006/relationships/hyperlink" Target="http://www.newson6.com/story/28722322/sheriff-man-who-died-after-being-tasered-broke-warner-officers-eye-bone-first" TargetMode="External"/><Relationship Id="rId1100" Type="http://schemas.openxmlformats.org/officeDocument/2006/relationships/hyperlink" Target="http://www.courant.com/breaking-news/hc-bolton-chase-update-0818-20150817-story.html" TargetMode="External"/><Relationship Id="rId1101" Type="http://schemas.openxmlformats.org/officeDocument/2006/relationships/hyperlink" Target="http://www.silive.com/news/index.ssf/2015/08/im_coming_out_now_mama_suspect.html" TargetMode="External"/><Relationship Id="rId1102" Type="http://schemas.openxmlformats.org/officeDocument/2006/relationships/hyperlink" Target="http://www.mysanantonio.com/news/local/article/Man-brandishes-gun-at-Boerne-police-is-shot-and-6446247.php" TargetMode="External"/><Relationship Id="rId1103" Type="http://schemas.openxmlformats.org/officeDocument/2006/relationships/hyperlink" Target="http://www.sfgate.com/crime/article/Prostitution-call-preceded-fatal-Sunnyvale-police-6448999.php" TargetMode="External"/><Relationship Id="rId1104" Type="http://schemas.openxmlformats.org/officeDocument/2006/relationships/hyperlink" Target="http://www.latimes.com/local/lanow/la-me-ln-kern-county-shooting-20150815-story.html" TargetMode="External"/><Relationship Id="rId1105" Type="http://schemas.openxmlformats.org/officeDocument/2006/relationships/hyperlink" Target="http://www.madisoncourier.com/Content/News/News/Article/Hanover-man-dead-in-officer-involved-shooting/178/961/92193" TargetMode="External"/><Relationship Id="rId1106" Type="http://schemas.openxmlformats.org/officeDocument/2006/relationships/hyperlink" Target="http://www.nevadaappeal.com/news/17729220-113/several-popping-noises-right-consecutive" TargetMode="External"/><Relationship Id="rId1107" Type="http://schemas.openxmlformats.org/officeDocument/2006/relationships/hyperlink" Target="http://www.sgvtribune.com/general-news/20150816/suspect-dies-after-being-shot-with-taser-by-police" TargetMode="External"/><Relationship Id="rId1108" Type="http://schemas.openxmlformats.org/officeDocument/2006/relationships/hyperlink" Target="http://www.nbcbayarea.com/news/local/Officer-Involved-Shooting-in-San-Jose-322019022.html?utm_source=dlvr.it&amp;utm_medium=twitter" TargetMode="External"/><Relationship Id="rId1109" Type="http://schemas.openxmlformats.org/officeDocument/2006/relationships/hyperlink" Target="http://www.mysanantonio.com/news/local/article/Kerrville-police-shoot-kill-man-who-fired-rifle-6448471.php" TargetMode="External"/><Relationship Id="rId100" Type="http://schemas.openxmlformats.org/officeDocument/2006/relationships/hyperlink" Target="http://www.bakersfield.com/news/2015/07/09/bakersfield-police-man-fatally-shot-tuesday-pointed-gun-at-officers.html" TargetMode="External"/><Relationship Id="rId101" Type="http://schemas.openxmlformats.org/officeDocument/2006/relationships/hyperlink" Target="http://www.themonitor.com/news/local/authorities-armed-man-in-edinburg-standoff-killed-in-officer-involved/article_62b2b456-24f2-11e5-b79b-6b2f14f63dc2.html" TargetMode="External"/><Relationship Id="rId102" Type="http://schemas.openxmlformats.org/officeDocument/2006/relationships/hyperlink" Target="http://www.pressofatlanticcity.com/eedition/news/grand-jury-may-decide-fate-of-cop/article_d75e1ab1-8f1e-5086-b543-3243f95fc088.html" TargetMode="External"/><Relationship Id="rId103" Type="http://schemas.openxmlformats.org/officeDocument/2006/relationships/hyperlink" Target="http://www.wlky.com/news/man-dies-after-being-shot-by-elizabethtown-police/34052212" TargetMode="External"/><Relationship Id="rId104" Type="http://schemas.openxmlformats.org/officeDocument/2006/relationships/hyperlink" Target="http://www.kansascity.com/news/local/crime/iwklhy/picture26752486/ALTERNATES/FREE_640/Booth" TargetMode="External"/><Relationship Id="rId105" Type="http://schemas.openxmlformats.org/officeDocument/2006/relationships/hyperlink" Target="http://www.homefacts.com/images/offenders/texas/thumb/01958213.jpg" TargetMode="External"/><Relationship Id="rId106" Type="http://schemas.openxmlformats.org/officeDocument/2006/relationships/hyperlink" Target="http://crimeblog.dallasnews.com/2015/07/authorities-man-shot-by-dallas-police-was-racist-killer-rapist-family-he-was-kind-loving.html/" TargetMode="External"/><Relationship Id="rId107" Type="http://schemas.openxmlformats.org/officeDocument/2006/relationships/hyperlink" Target="http://homicide.latimes.com/post/jason-m-hendley/" TargetMode="External"/><Relationship Id="rId108" Type="http://schemas.openxmlformats.org/officeDocument/2006/relationships/hyperlink" Target="http://www.mercedsunstar.com/news/local/crime/article26705443.html" TargetMode="External"/><Relationship Id="rId109" Type="http://schemas.openxmlformats.org/officeDocument/2006/relationships/hyperlink" Target="http://www.fox10phoenix.com/story/29484924/2015/07/06/suspect-hospitalized-after-officer-involved-shooting-in-mesa" TargetMode="External"/><Relationship Id="rId750" Type="http://schemas.openxmlformats.org/officeDocument/2006/relationships/hyperlink" Target="http://hiphopwired.com/2013/07/17/arkansas-cop-kills-wrongfully-suspected-in-car-thief-claims-self-defense/" TargetMode="External"/><Relationship Id="rId751" Type="http://schemas.openxmlformats.org/officeDocument/2006/relationships/hyperlink" Target="http://newsok.com/family-member-identifies-man-shot-by-oklahoma-city-police/article/3861642" TargetMode="External"/><Relationship Id="rId752" Type="http://schemas.openxmlformats.org/officeDocument/2006/relationships/hyperlink" Target="http://www.nj.com/essex/index.ssf/2013/09/woman_files_multi-million_dollar_suit_against_belleville_after_police_shot_husband_24_times.html" TargetMode="External"/><Relationship Id="rId753" Type="http://schemas.openxmlformats.org/officeDocument/2006/relationships/hyperlink" Target="http://www.post-gazette.com/stories/local/neighborhoods-north/man-shot-to-death-in-sewickley-694786/" TargetMode="External"/><Relationship Id="rId754" Type="http://schemas.openxmlformats.org/officeDocument/2006/relationships/hyperlink" Target="http://articles.baltimoresun.com/2013-06-11/news/bs-md-ar-road-rage-bail-20130610_1_police-officer-documents-hudson-county" TargetMode="External"/><Relationship Id="rId755" Type="http://schemas.openxmlformats.org/officeDocument/2006/relationships/hyperlink" Target="http://www.wsfa.com/story/22481859/selma-police-stunned-that-off-duty-officer-killed-two-then-self-over-the-weekend" TargetMode="External"/><Relationship Id="rId756" Type="http://schemas.openxmlformats.org/officeDocument/2006/relationships/hyperlink" Target="http://www.nydailynews.com/new-york/brooklyn/crazed-brooklyn-man-shot-cops-bad-mouthed-article-1.1297528" TargetMode="External"/><Relationship Id="rId757" Type="http://schemas.openxmlformats.org/officeDocument/2006/relationships/hyperlink" Target="http://wreg.com/2013/05/30/funeral-escort-riders-say-farewell-to-one-of-their-own/" TargetMode="External"/><Relationship Id="rId758" Type="http://schemas.openxmlformats.org/officeDocument/2006/relationships/hyperlink" Target="http://www.palmbeachpost.com/news/news/man-shot-and-killed-by-deputies-near-marriott-in-w/nXR2K/" TargetMode="External"/><Relationship Id="rId759" Type="http://schemas.openxmlformats.org/officeDocument/2006/relationships/hyperlink" Target="http://www.daytondailynews.com/news/news/crime-law/fbi-working-at-shooting-site/nXDWH/" TargetMode="External"/><Relationship Id="rId60" Type="http://schemas.openxmlformats.org/officeDocument/2006/relationships/hyperlink" Target="http://www.wmcactionnews5.com/story/29578116/man-dead-after-struggle-with-mpd-officer" TargetMode="External"/><Relationship Id="rId61" Type="http://schemas.openxmlformats.org/officeDocument/2006/relationships/hyperlink" Target="http://www.click2houston.com/news/hpd-investigating-after-possible-incustody-death-in-southeast-houston/34238632" TargetMode="External"/><Relationship Id="rId62" Type="http://schemas.openxmlformats.org/officeDocument/2006/relationships/hyperlink" Target="http://www.sbsun.com/general-news/20150718/sheriffs-deputies-shoot-kill-highland-man-in-needles" TargetMode="External"/><Relationship Id="rId63" Type="http://schemas.openxmlformats.org/officeDocument/2006/relationships/hyperlink" Target="http://www.cnn.com/2015/07/17/us/tennessee-shooter-mohammad-youssuf-abdulazeez/" TargetMode="External"/><Relationship Id="rId64" Type="http://schemas.openxmlformats.org/officeDocument/2006/relationships/hyperlink" Target="http://www.miamiherald.com/news/local/crime/article27524482.html" TargetMode="External"/><Relationship Id="rId65" Type="http://schemas.openxmlformats.org/officeDocument/2006/relationships/hyperlink" Target="https://localtvwiti.files.wordpress.com/2015/07/antonio-gonzales2.jpeg" TargetMode="External"/><Relationship Id="rId66" Type="http://schemas.openxmlformats.org/officeDocument/2006/relationships/hyperlink" Target="http://www.nbc15.com/home/headlines/Reports-of-shooting-in-Monroe-318229761.html" TargetMode="External"/><Relationship Id="rId67" Type="http://schemas.openxmlformats.org/officeDocument/2006/relationships/hyperlink" Target="http://media.graytvinc.com/images/saige+hack+2.jpg" TargetMode="External"/><Relationship Id="rId68" Type="http://schemas.openxmlformats.org/officeDocument/2006/relationships/hyperlink" Target="http://trib.com/news/local/crime-and-courts/authorities-identify-man-killed-in-law-enforcement-shooting/article_6d603afc-e1e5-5d5c-a156-708cc4078263.html" TargetMode="External"/><Relationship Id="rId69" Type="http://schemas.openxmlformats.org/officeDocument/2006/relationships/hyperlink" Target="http://www.myfoxal.com/story/29566625/man-in-opp-officer-involved-shooting-dies" TargetMode="External"/><Relationship Id="rId430" Type="http://schemas.openxmlformats.org/officeDocument/2006/relationships/hyperlink" Target="http://www.killedbypolice.net/victims/150297.jpg" TargetMode="External"/><Relationship Id="rId431" Type="http://schemas.openxmlformats.org/officeDocument/2006/relationships/hyperlink" Target="http://kwqc.com/2015/04/03/r-i-county-coroner-identifies-man-killed-in-officer-involved-shooting/" TargetMode="External"/><Relationship Id="rId432" Type="http://schemas.openxmlformats.org/officeDocument/2006/relationships/hyperlink" Target="http://www.winchesterstar.com/article/040615br" TargetMode="External"/><Relationship Id="rId433" Type="http://schemas.openxmlformats.org/officeDocument/2006/relationships/hyperlink" Target="http://www.timesunion.com/news/article/Taser-victim-Dontay-Ivy-to-be-laid-to-rest-6187858.php" TargetMode="External"/><Relationship Id="rId434" Type="http://schemas.openxmlformats.org/officeDocument/2006/relationships/hyperlink" Target="http://www.inquisitr.com/2003038/oklahoma-shooting-videos-reveal-eric-courtney-harris-last-moments-alive/" TargetMode="External"/><Relationship Id="rId435" Type="http://schemas.openxmlformats.org/officeDocument/2006/relationships/hyperlink" Target="http://www.kfvs12.com/story/28708976/man-identified-following-officer-involved-shooting-in-metropolis" TargetMode="External"/><Relationship Id="rId436" Type="http://schemas.openxmlformats.org/officeDocument/2006/relationships/hyperlink" Target="http://www.thetowntalk.com/story/news/local/2015/04/04/pineville-man-killed-deputy-idd-la-guardsman/25296693/" TargetMode="External"/><Relationship Id="rId437" Type="http://schemas.openxmlformats.org/officeDocument/2006/relationships/hyperlink" Target="http://www.killedbypolice.net/victims/150292.jpg" TargetMode="External"/><Relationship Id="rId438" Type="http://schemas.openxmlformats.org/officeDocument/2006/relationships/hyperlink" Target="http://www.nbclosangeles.com/news/local/Fatal-Shooting-May-Have-Started-Over-Laugh-298532211.html" TargetMode="External"/><Relationship Id="rId439" Type="http://schemas.openxmlformats.org/officeDocument/2006/relationships/hyperlink" Target="http://www.click2houston.com/news/pd-man-with-pellet-gun-shot-dead-by-baytown-police-officer/32108156" TargetMode="External"/><Relationship Id="rId1110" Type="http://schemas.openxmlformats.org/officeDocument/2006/relationships/hyperlink" Target="http://www.chron.com/houston/article/Officer-involved-shooting-in-Northeast-Houston-6449062.php" TargetMode="External"/><Relationship Id="rId1111" Type="http://schemas.openxmlformats.org/officeDocument/2006/relationships/hyperlink" Target="https://spokane-news.com/2015/08/26/sirr-team-update-stevens-county-deputys-officer-involved-shooting-in-hunters-wa/" TargetMode="External"/><Relationship Id="rId1112" Type="http://schemas.openxmlformats.org/officeDocument/2006/relationships/hyperlink" Target="http://www.stltoday.com/news/local/crime-and-courts/fires-set-off-police-confront-crowds-hours-after-st-louis/article_9eae9155-9f8e-5296-b836-45326918fda3.html" TargetMode="External"/><Relationship Id="rId1113" Type="http://schemas.openxmlformats.org/officeDocument/2006/relationships/hyperlink" Target="http://www.startribune.com/man-shot-in-gunfire-exchange-with-officers-in-north-carolina/322391871/" TargetMode="External"/><Relationship Id="rId1114" Type="http://schemas.openxmlformats.org/officeDocument/2006/relationships/hyperlink" Target="http://www.fredericksburg.com/news/crime_courts/king-george-sheriff-deputy-gave-man-every-opportunity-to-surrender/article_5b6e9432-4a75-11e5-8dd2-cb62e7e351c0.html" TargetMode="External"/><Relationship Id="rId1115" Type="http://schemas.openxmlformats.org/officeDocument/2006/relationships/hyperlink" Target="http://wivb.com/2015/08/23/troy-officers-hospitalized-after-shootout-gunman-dead/" TargetMode="External"/><Relationship Id="rId1116" Type="http://schemas.openxmlformats.org/officeDocument/2006/relationships/hyperlink" Target="http://www.wfmynews2.com/story/news/local/2015/08/24/one-dead-archdale-officer-involved-shooting/32252479/" TargetMode="External"/><Relationship Id="rId1117" Type="http://schemas.openxmlformats.org/officeDocument/2006/relationships/hyperlink" Target="http://www.wvtm13.com/news/cullman-county-authorities-identify-man-shot-by-arab-police/34883830" TargetMode="External"/><Relationship Id="rId1118" Type="http://schemas.openxmlformats.org/officeDocument/2006/relationships/hyperlink" Target="http://www.nj.com/ocean/index.ssf/2015/08/family_says_emotional_goodbye_to_brick_man_shot_by.html" TargetMode="External"/><Relationship Id="rId1119" Type="http://schemas.openxmlformats.org/officeDocument/2006/relationships/hyperlink" Target="http://www.firstcoastnews.com/story/news/crime/2015/08/23/jso-officer-involved-incident-reported-west-jacksonville/32231241/" TargetMode="External"/><Relationship Id="rId110" Type="http://schemas.openxmlformats.org/officeDocument/2006/relationships/hyperlink" Target="http://homicide.latimes.com/post/john-leonard-berry/" TargetMode="External"/><Relationship Id="rId111" Type="http://schemas.openxmlformats.org/officeDocument/2006/relationships/hyperlink" Target="https://localtvkfor.files.wordpress.com/2015/07/rogers-tyler.jpg" TargetMode="External"/><Relationship Id="rId112" Type="http://schemas.openxmlformats.org/officeDocument/2006/relationships/hyperlink" Target="https://localtvkstu.files.wordpress.com/2015/07/gormley.jpg" TargetMode="External"/><Relationship Id="rId113" Type="http://schemas.openxmlformats.org/officeDocument/2006/relationships/hyperlink" Target="http://www.loscerritosnews.net/2015/07/12/hundreds-protest-johnny-ray-andersons-shooting-death-in-hawaiian-gardens/" TargetMode="External"/><Relationship Id="rId114" Type="http://schemas.openxmlformats.org/officeDocument/2006/relationships/hyperlink" Target="http://cdn.patch.com/users/1372433/2015/07/T800x600/201507559ff12e799d0.png" TargetMode="External"/><Relationship Id="rId115" Type="http://schemas.openxmlformats.org/officeDocument/2006/relationships/hyperlink" Target="http://www.mercurynews.com/crime-courts/ci_28445274/pleasanton-investigation-continues-into-fatal-police-shooting-19" TargetMode="External"/><Relationship Id="rId116" Type="http://schemas.openxmlformats.org/officeDocument/2006/relationships/hyperlink" Target="https://media.licdn.com/media/p/3/000/0d2/16d/29b38bd.jpg" TargetMode="External"/><Relationship Id="rId117" Type="http://schemas.openxmlformats.org/officeDocument/2006/relationships/hyperlink" Target="http://www.dallasnews.com/news/crime/headlines/20150706-austin-police-id-gunman-victim-at-sundays-hotel-shooting.ece" TargetMode="External"/><Relationship Id="rId118" Type="http://schemas.openxmlformats.org/officeDocument/2006/relationships/hyperlink" Target="http://kxan.com/2015/07/06/police-say-man-killed-in-north-austin-aimed-a-bb-pistol-at-officers/" TargetMode="External"/><Relationship Id="rId119" Type="http://schemas.openxmlformats.org/officeDocument/2006/relationships/hyperlink" Target="http://www.miamiherald.com/news/local/community/miami-dade/little-havana/article26604022.html" TargetMode="External"/><Relationship Id="rId760" Type="http://schemas.openxmlformats.org/officeDocument/2006/relationships/hyperlink" Target="http://www.chron.com/news/houston-texas/houston/article/HPD-officer-wounded-suspect-killed-in-shootout-4362891.php" TargetMode="External"/><Relationship Id="rId761" Type="http://schemas.openxmlformats.org/officeDocument/2006/relationships/hyperlink" Target="http://crimeblog.dallasnews.com/2013/03/dallas-police-officer-fatally-shoots-suspect-after-major-disturbance-at-apartment-complex.html/" TargetMode="External"/><Relationship Id="rId762" Type="http://schemas.openxmlformats.org/officeDocument/2006/relationships/hyperlink" Target="http://www.dnainfo.com/new-york/20130310/east-flatbush/police-fatally-shoot-allegedly-armed-teenager-brooklyn" TargetMode="External"/><Relationship Id="rId763" Type="http://schemas.openxmlformats.org/officeDocument/2006/relationships/hyperlink" Target="http://articles.sun-sentinel.com/2013-03-12/news/fl-boca-officer-involved-named-20130311_1_boca-raton-police-police-officers-facebook-profile" TargetMode="External"/><Relationship Id="rId764" Type="http://schemas.openxmlformats.org/officeDocument/2006/relationships/hyperlink" Target="http://www.myfoxhouston.com/story/21431932/suspected-purse-snatcher-shot-by-houston-police-officer" TargetMode="External"/><Relationship Id="rId765" Type="http://schemas.openxmlformats.org/officeDocument/2006/relationships/hyperlink" Target="http://www.phillyburbs.com/news/crime/da-warminster-officer-accidentally-shot-year-old-during-standoff/article_2e02c0de-13d0-54ef-88d7-e00c66713ba5.html" TargetMode="External"/><Relationship Id="rId766" Type="http://schemas.openxmlformats.org/officeDocument/2006/relationships/hyperlink" Target="http://www.chron.com/news/houston-texas/houston/article/HPD-kills-person-at-westside-complex-4276703.php" TargetMode="External"/><Relationship Id="rId767" Type="http://schemas.openxmlformats.org/officeDocument/2006/relationships/hyperlink" Target="http://www.wrdw.com/home/headlines/Deputies-respond-to-reports-of-a-shooting-at-Fox-Trace-189340421.html" TargetMode="External"/><Relationship Id="rId768" Type="http://schemas.openxmlformats.org/officeDocument/2006/relationships/hyperlink" Target="http://jacksonville.com/news/crime/2014-09-06/story/lawsuit-pits-family-against-jacksonville-police-over-fatal-police" TargetMode="External"/><Relationship Id="rId769" Type="http://schemas.openxmlformats.org/officeDocument/2006/relationships/hyperlink" Target="http://wreg.com/2013/01/18/man-shot-killed-by-memphis-police/" TargetMode="External"/><Relationship Id="rId70" Type="http://schemas.openxmlformats.org/officeDocument/2006/relationships/hyperlink" Target="http://homicide.latimes.com/post/jason-charles-davis/" TargetMode="External"/><Relationship Id="rId71" Type="http://schemas.openxmlformats.org/officeDocument/2006/relationships/hyperlink" Target="http://media.mlive.com/grpress/news_impact/photo/eugene-kailingjpg-1325419215b33c26.jpg" TargetMode="External"/><Relationship Id="rId72" Type="http://schemas.openxmlformats.org/officeDocument/2006/relationships/hyperlink" Target="http://www.clickorlando.com/news/1-dead-in-deputyinvolved-shooting-in-lake-county/34153664" TargetMode="External"/><Relationship Id="rId73" Type="http://schemas.openxmlformats.org/officeDocument/2006/relationships/hyperlink" Target="http://wkbn.com/2015/07/14/man-dies-in-shootout-with-police-in-southington/" TargetMode="External"/><Relationship Id="rId74" Type="http://schemas.openxmlformats.org/officeDocument/2006/relationships/hyperlink" Target="http://www.brownsvilleherald.com/news/local/article_d17faf7e-2cfe-11e5-b74c-2b2b278cba62.html" TargetMode="External"/><Relationship Id="rId75" Type="http://schemas.openxmlformats.org/officeDocument/2006/relationships/hyperlink" Target="http://www.dispatch.com/content/graphics/2015/07/13/nyal-brown.jpg" TargetMode="External"/><Relationship Id="rId76" Type="http://schemas.openxmlformats.org/officeDocument/2006/relationships/hyperlink" Target="http://www.dispatch.com/content/stories/local/2015/07/13/fatal-crash-on-hilltop.html" TargetMode="External"/><Relationship Id="rId77" Type="http://schemas.openxmlformats.org/officeDocument/2006/relationships/hyperlink" Target="http://www.trbimg.com/img-55a686d0/turbine/fl-plantation-cop-homeless-shooting-id-2015071-001/304/304x171" TargetMode="External"/><Relationship Id="rId78" Type="http://schemas.openxmlformats.org/officeDocument/2006/relationships/hyperlink" Target="http://www.sun-sentinel.com/local/broward/fl-plantation-cop-homeless-shooting-id-20150715-story.html" TargetMode="External"/><Relationship Id="rId79" Type="http://schemas.openxmlformats.org/officeDocument/2006/relationships/hyperlink" Target="http://www.rawstory.com/2015/07/denver-police-shoot-and-kill-a-mentally-ill-native-american-man-holding-a-knife-to-his-own-throat/" TargetMode="External"/><Relationship Id="rId440" Type="http://schemas.openxmlformats.org/officeDocument/2006/relationships/hyperlink" Target="http://www.nwitimes.com/news/local/lake/hobart-man-dies-while-in-police-custody/article_8c40ecd0-25ee-537c-a247-168e9f79d438.html" TargetMode="External"/><Relationship Id="rId441" Type="http://schemas.openxmlformats.org/officeDocument/2006/relationships/hyperlink" Target="http://www.10tv.com/content/stories/2015/03/29/pike-county-ohio--officer-involved-shooting-leaves-one-dead.html" TargetMode="External"/><Relationship Id="rId442" Type="http://schemas.openxmlformats.org/officeDocument/2006/relationships/hyperlink" Target="http://www.killedbypolice.net/victims/150279.jpg" TargetMode="External"/><Relationship Id="rId443" Type="http://schemas.openxmlformats.org/officeDocument/2006/relationships/hyperlink" Target="http://www.vcstar.com/news/local-news/oxnard/oxnard-woman-killed-by-police-after-domestic-dispute-call_34372240" TargetMode="External"/><Relationship Id="rId444" Type="http://schemas.openxmlformats.org/officeDocument/2006/relationships/hyperlink" Target="http://www.oregonlive.com/clark-county/index.ssf/2015/03/clark_county_jail_inmate_dies_1.html" TargetMode="External"/><Relationship Id="rId445" Type="http://schemas.openxmlformats.org/officeDocument/2006/relationships/hyperlink" Target="http://crimeblog.dallasnews.com/2015/03/man-in-arlington-police-custody-hospitazlied.html/" TargetMode="External"/><Relationship Id="rId446" Type="http://schemas.openxmlformats.org/officeDocument/2006/relationships/hyperlink" Target="http://www.19actionnews.com/story/28380324/one-dead-after-officer-involved-shooting-in-cleveland" TargetMode="External"/><Relationship Id="rId447" Type="http://schemas.openxmlformats.org/officeDocument/2006/relationships/hyperlink" Target="http://www.ksstradio.com/2015/03/09/texas-rangers-investigate-death-of-inmate/" TargetMode="External"/><Relationship Id="rId448" Type="http://schemas.openxmlformats.org/officeDocument/2006/relationships/hyperlink" Target="http://www.tristatehomepage.com/story/d/story/isp-investigating-officer-involved-shooting-in-ter/40703/pV4yrq5qR0S3uTbJYNfJsQ" TargetMode="External"/><Relationship Id="rId449" Type="http://schemas.openxmlformats.org/officeDocument/2006/relationships/hyperlink" Target="http://www.theindychannel.com/news/local-news/suspect-fatally-shot-by-impd-officer-on-east-side" TargetMode="External"/><Relationship Id="rId1120" Type="http://schemas.openxmlformats.org/officeDocument/2006/relationships/hyperlink" Target="http://bigstory.ap.org/article/591758407e704e56a35001a00033f9cd/white-officer-recovering-after-shootout-black-suspect" TargetMode="External"/><Relationship Id="rId1121" Type="http://schemas.openxmlformats.org/officeDocument/2006/relationships/hyperlink" Target="http://mauinow.com/2015/08/10/man-killed-in-keopuolani-shootout-identified/" TargetMode="External"/><Relationship Id="rId1122" Type="http://schemas.openxmlformats.org/officeDocument/2006/relationships/hyperlink" Target="http://www.whas11.com/story/news/crime/2015/08/06/man-fatally-shot-after-attacking-officers--knife/31203233/" TargetMode="External"/><Relationship Id="rId1123" Type="http://schemas.openxmlformats.org/officeDocument/2006/relationships/hyperlink" Target="http://www.tennessean.com/story/news/2015/08/06/police-describe-scene-inside-antioch-theater/31202637/" TargetMode="External"/><Relationship Id="rId1124" Type="http://schemas.openxmlformats.org/officeDocument/2006/relationships/hyperlink" Target="http://www.elpasotimes.com/news/ci_28636541/el-paso-police-id-man-killed-officer-involved" TargetMode="External"/><Relationship Id="rId1125" Type="http://schemas.openxmlformats.org/officeDocument/2006/relationships/hyperlink" Target="http://www.cincinnati.com/story/news/2015/08/07/ksp-investigating-officer-involved-elsmere-shooting/31273817/" TargetMode="External"/><Relationship Id="rId1126" Type="http://schemas.openxmlformats.org/officeDocument/2006/relationships/hyperlink" Target="http://atlantadailyworld.com/2015/08/21/rally-to-protest-taser-death-of-troy-robinson-by-police-at-dekalb-courthouse/" TargetMode="External"/><Relationship Id="rId1127" Type="http://schemas.openxmlformats.org/officeDocument/2006/relationships/hyperlink" Target="http://abc30.com/news/fresno-county-officer-involved-shooting-leaves-suspect-dead/910392/" TargetMode="External"/><Relationship Id="rId1128" Type="http://schemas.openxmlformats.org/officeDocument/2006/relationships/hyperlink" Target="http://www.reviewjournal.com/news/las-vegas/police-shoot-kill-man-holding-sharp-object" TargetMode="External"/><Relationship Id="rId1129" Type="http://schemas.openxmlformats.org/officeDocument/2006/relationships/hyperlink" Target="http://www.wlwt.com/news/police-id-robbery-suspect-who-died-after-taser-shock/35034920" TargetMode="External"/><Relationship Id="rId120" Type="http://schemas.openxmlformats.org/officeDocument/2006/relationships/hyperlink" Target="http://kwtv.images.worldnow.com/images/8241047_G.jpg" TargetMode="External"/><Relationship Id="rId121" Type="http://schemas.openxmlformats.org/officeDocument/2006/relationships/hyperlink" Target="http://i.guim.co.uk/img/media/6b8d2e8197fcd13bf1efa55dde76f7af6401fdfb/0_188_600_360/master/600.jpg?w=620&amp;q=85&amp;auto=format&amp;sharp=10&amp;s=cd2d313d4e808218cd2fff1e044bc896" TargetMode="External"/><Relationship Id="rId122" Type="http://schemas.openxmlformats.org/officeDocument/2006/relationships/hyperlink" Target="http://www.reviewjournal.com/news/las-vegas/gunman-killed-police-henderson-hotel-identified" TargetMode="External"/><Relationship Id="rId123" Type="http://schemas.openxmlformats.org/officeDocument/2006/relationships/hyperlink" Target="http://www.standardbanner.com/news/morristown-man-shot-by-police-was-also-wanted-here/article_e6215eb4-242a-11e5-b876-3f8c02fbda9f.html" TargetMode="External"/><Relationship Id="rId124" Type="http://schemas.openxmlformats.org/officeDocument/2006/relationships/hyperlink" Target="http://media.nbclosangeles.com/images/1203*675/7-3-15+Christian+Siqueiros+in-custody+death.JPG" TargetMode="External"/><Relationship Id="rId125" Type="http://schemas.openxmlformats.org/officeDocument/2006/relationships/hyperlink" Target="http://jacksonville.com/sites/default/files/imagecache/premium_415_wide_scale/Suspect_1.jpg" TargetMode="External"/><Relationship Id="rId126" Type="http://schemas.openxmlformats.org/officeDocument/2006/relationships/hyperlink" Target="http://victimsofpolice.com/2015/images/Julian-Joseph.jpg" TargetMode="External"/><Relationship Id="rId127" Type="http://schemas.openxmlformats.org/officeDocument/2006/relationships/hyperlink" Target="http://www.enterprisenews.com/galleryimage/WL/20150702/PHOTOGALLERY/702009988/PH/0/6/PH-702009988.jpg" TargetMode="External"/><Relationship Id="rId128" Type="http://schemas.openxmlformats.org/officeDocument/2006/relationships/hyperlink" Target="http://images.bimedia.net/images/150701_Kevin_Lamont_Judson_story_insert.jpg" TargetMode="External"/><Relationship Id="rId129" Type="http://schemas.openxmlformats.org/officeDocument/2006/relationships/hyperlink" Target="http://www.katu.com/news/local/DA-clears-deputy-in-deadly-McMinnville-shooting-316055961.html" TargetMode="External"/><Relationship Id="rId770" Type="http://schemas.openxmlformats.org/officeDocument/2006/relationships/hyperlink" Target="http://www.baynews9.com/content/dam/news/images/2012/12/Suspect-killed-110.jpg" TargetMode="External"/><Relationship Id="rId771" Type="http://schemas.openxmlformats.org/officeDocument/2006/relationships/hyperlink" Target="http://www.baynews9.com/content/news/baynews9/news/article.html/content/news/articles/bn9/2013/1/10/with_deputy_in_fight.html" TargetMode="External"/><Relationship Id="rId772" Type="http://schemas.openxmlformats.org/officeDocument/2006/relationships/hyperlink" Target="http://miami.cbslocal.com/2013/01/07/family-of-man-killed-in-police-involved-shooting-demands-answers/" TargetMode="External"/><Relationship Id="rId773" Type="http://schemas.openxmlformats.org/officeDocument/2006/relationships/hyperlink" Target="http://www.trbimg.com/img-50e7a90e/turbine/peter-jourdan-of-allentown.jpg-20130104/600" TargetMode="External"/><Relationship Id="rId774" Type="http://schemas.openxmlformats.org/officeDocument/2006/relationships/hyperlink" Target="http://www.tricitytribuneusa.com/wp-content/uploads/Chavez_Mug0642-300x300.jpg" TargetMode="External"/><Relationship Id="rId775" Type="http://schemas.openxmlformats.org/officeDocument/2006/relationships/hyperlink" Target="http://www.muskogeephoenix.com/news/man-dead-after-cherokee-county-deputy-forced-to-shoot-him/article_3f61699f-87c3-5576-ac6c-47ec84673edb.html" TargetMode="External"/><Relationship Id="rId776" Type="http://schemas.openxmlformats.org/officeDocument/2006/relationships/hyperlink" Target="http://www.click2houston.com/news/breaking-3-shot-in-northwest-harris-county-life-flight-on-scene/36144374" TargetMode="External"/><Relationship Id="rId777" Type="http://schemas.openxmlformats.org/officeDocument/2006/relationships/hyperlink" Target="http://www.killedbypolice.net/victims/150990.jpg" TargetMode="External"/><Relationship Id="rId778" Type="http://schemas.openxmlformats.org/officeDocument/2006/relationships/hyperlink" Target="http://www.killedbypolice.net/victims/150988.jpg" TargetMode="External"/><Relationship Id="rId779" Type="http://schemas.openxmlformats.org/officeDocument/2006/relationships/hyperlink" Target="http://www.killedbypolice.net/victims/150986.jpg" TargetMode="External"/><Relationship Id="rId80" Type="http://schemas.openxmlformats.org/officeDocument/2006/relationships/hyperlink" Target="http://www.oakpark.com/News/Articles/7-13-2015/Three-injured,-two-killed-in-River-Forest/" TargetMode="External"/><Relationship Id="rId81" Type="http://schemas.openxmlformats.org/officeDocument/2006/relationships/hyperlink" Target="http://media.cmgdigital.com/shared/lt/lt_cache/thumbnail/600/img/photos/2015/07/13/35/c5/DavidLepine_1.jpg" TargetMode="External"/><Relationship Id="rId82" Type="http://schemas.openxmlformats.org/officeDocument/2006/relationships/hyperlink" Target="http://www.statesman.com/news/news/crime-law/man-killed-by-austin-police-officer-sunday-had-a-v/nmyKL/" TargetMode="External"/><Relationship Id="rId83" Type="http://schemas.openxmlformats.org/officeDocument/2006/relationships/hyperlink" Target="http://wac.450f.edgecastcdn.net/80450F/k2radio.com/files/2015/07/chris-benton.jpg" TargetMode="External"/><Relationship Id="rId84" Type="http://schemas.openxmlformats.org/officeDocument/2006/relationships/hyperlink" Target="http://www.wyomingnews.com/articles/2015/07/16/breaking_news/01breaking_7-16-15.txt" TargetMode="External"/><Relationship Id="rId85" Type="http://schemas.openxmlformats.org/officeDocument/2006/relationships/hyperlink" Target="http://www.11alive.com/story/news/local/lawrenceville/2015/07/14/family-questions-procedures-in-gwinnett-police-taser-death/30160171/" TargetMode="External"/><Relationship Id="rId86" Type="http://schemas.openxmlformats.org/officeDocument/2006/relationships/hyperlink" Target="http://bloximages.newyork1.vip.townnews.com/appeal-democrat.com/content/tncms/assets/v3/editorial/a/50/a5039184-2b6b-11e5-b28b-c7b5c40fdd3d/55a726cc3856f.image.jpg?resize=631%2C760" TargetMode="External"/><Relationship Id="rId87" Type="http://schemas.openxmlformats.org/officeDocument/2006/relationships/hyperlink" Target="http://www.al.com/news/tuscaloosa/index.ssf/2015/07/tuscaloosa_police_release_more.html" TargetMode="External"/><Relationship Id="rId88" Type="http://schemas.openxmlformats.org/officeDocument/2006/relationships/hyperlink" Target="http://www.ajc.com/news/news/crime-law/man-dies-after-being-shot-by-newton-deputies/nmxjG/" TargetMode="External"/><Relationship Id="rId89" Type="http://schemas.openxmlformats.org/officeDocument/2006/relationships/hyperlink" Target="http://lasvegassun.com/news/2015/jul/15/police-body-cam-video-shows-traffic-stop-turn-dead/" TargetMode="External"/><Relationship Id="rId450" Type="http://schemas.openxmlformats.org/officeDocument/2006/relationships/hyperlink" Target="http://touch.mcall.com/" TargetMode="External"/><Relationship Id="rId451" Type="http://schemas.openxmlformats.org/officeDocument/2006/relationships/hyperlink" Target="http://www.starfl.com/news/local-news/officer-involved-shooting-under-investigation-1.440104" TargetMode="External"/><Relationship Id="rId452" Type="http://schemas.openxmlformats.org/officeDocument/2006/relationships/hyperlink" Target="http://crimeblog.dallasnews.com/2015/02/live-video-dallas-police-on-the-scene-of-officer-involved-shooting-at-bonnie-view-and-i-20.html/" TargetMode="External"/><Relationship Id="rId453" Type="http://schemas.openxmlformats.org/officeDocument/2006/relationships/hyperlink" Target="http://www.cbsnews.com/news/texas-officer-responding-to-home-fatally-shoots-off-duty-deputy/" TargetMode="External"/><Relationship Id="rId454" Type="http://schemas.openxmlformats.org/officeDocument/2006/relationships/hyperlink" Target="http://www.washingtonpost.com/local/crime/woman-dies-after-a-stun-gun-was-used-on-her-in-the-fairfax-county-jail/2015/02/08/14a7f498-4987-4e47-be50-5d31b39825ef_story.html" TargetMode="External"/><Relationship Id="rId455" Type="http://schemas.openxmlformats.org/officeDocument/2006/relationships/hyperlink" Target="http://www.trbimg.com/img-54da5444/turbine/os-joseph-paffen-20150210/243/243x137" TargetMode="External"/><Relationship Id="rId456" Type="http://schemas.openxmlformats.org/officeDocument/2006/relationships/hyperlink" Target="http://www.orlandosentinel.com/news/breaking-news/os-sovereign-citizen-deputy-shooting-20150210-story.html" TargetMode="External"/><Relationship Id="rId459" Type="http://schemas.openxmlformats.org/officeDocument/2006/relationships/hyperlink" Target="http://www.wacotrib.com/news/traffic/officers-shoot-kill-suspected-waco-area-robber-after-high-speed/article_0ad98762-1641-5888-80b2-3797f0b5c9f6.html" TargetMode="External"/><Relationship Id="rId457" Type="http://schemas.openxmlformats.org/officeDocument/2006/relationships/hyperlink" Target="http://www.wcnc.com/story/news/crime/2015/02/08/gastoina-police-officer-involved-in-deadly-shooting/23075073/" TargetMode="External"/><Relationship Id="rId458" Type="http://schemas.openxmlformats.org/officeDocument/2006/relationships/hyperlink" Target="http://woodtv.com/2015/02/07/suspect-in-officer-shooting-to-be-taken-off-life-support/" TargetMode="External"/><Relationship Id="rId1130" Type="http://schemas.openxmlformats.org/officeDocument/2006/relationships/hyperlink" Target="http://www.wtvm.com/story/29926838/teen-dies-after-police-tasing-incident" TargetMode="External"/><Relationship Id="rId1131" Type="http://schemas.openxmlformats.org/officeDocument/2006/relationships/hyperlink" Target="http://www.westword.com/news/william-rippley-before-cop-killed-him-theres-going-to-be-a-human-sacrifice-7091421" TargetMode="External"/><Relationship Id="rId1132" Type="http://schemas.openxmlformats.org/officeDocument/2006/relationships/hyperlink" Target="http://www.kvoa.com/story/29916976/officer-involved-shooting-near-park-and-drexel" TargetMode="External"/><Relationship Id="rId1133" Type="http://schemas.openxmlformats.org/officeDocument/2006/relationships/hyperlink" Target="http://www.tulsaworld.com/homepagelatest/cushing-police-officer-cleared-in-fatal-shooting/article_1bc89125-2051-5cb1-9dde-62c9791231cd.html" TargetMode="External"/><Relationship Id="rId1134" Type="http://schemas.openxmlformats.org/officeDocument/2006/relationships/hyperlink" Target="http://www.reviewjournal.com/news/las-vegas/man-dies-after-metro-involved-shooting-north-las-vegas" TargetMode="External"/><Relationship Id="rId1135" Type="http://schemas.openxmlformats.org/officeDocument/2006/relationships/hyperlink" Target="http://www.kltv.com/story/29931923/man-shot-by-longview-officer-dies" TargetMode="External"/><Relationship Id="rId1136" Type="http://schemas.openxmlformats.org/officeDocument/2006/relationships/hyperlink" Target="http://www.nydailynews.com/new-york/bystander-dies-hit-nypd-bullets-article-1.2341345" TargetMode="External"/><Relationship Id="rId1137" Type="http://schemas.openxmlformats.org/officeDocument/2006/relationships/hyperlink" Target="http://www.nbcnews.com/news/us-news/gilbert-flores-shooting-bexar-county-deputies-near-san-antonio-sparks-n420061" TargetMode="External"/><Relationship Id="rId1138" Type="http://schemas.openxmlformats.org/officeDocument/2006/relationships/hyperlink" Target="http://www.nbcsandiego.com/news/local/Robert-Hober-Eric-Oberndorfer-Fatal-Officer-Involved-Shooting-IDd-323528221.html" TargetMode="External"/><Relationship Id="rId1139" Type="http://schemas.openxmlformats.org/officeDocument/2006/relationships/hyperlink" Target="http://www.mysanantonio.com/news/local/article/Officer-involved-shooting-leaves-one-dead-on-6473238.php" TargetMode="External"/><Relationship Id="rId130" Type="http://schemas.openxmlformats.org/officeDocument/2006/relationships/hyperlink" Target="http://www.oregonlive.com/pacific-northwest-news/index.ssf/2015/07/oregon_state_police_shoot_and.html" TargetMode="External"/><Relationship Id="rId131" Type="http://schemas.openxmlformats.org/officeDocument/2006/relationships/hyperlink" Target="http://www.killedbypolice.net/victims/150628.jpg" TargetMode="External"/><Relationship Id="rId132" Type="http://schemas.openxmlformats.org/officeDocument/2006/relationships/hyperlink" Target="http://www.wyff4.com/image/view/-/33914720/highRes/1/-/maxh/630/maxw/1200/-/157k9k3/-/Clay-Alan-Lickteig-jpg.jpg" TargetMode="External"/><Relationship Id="rId133" Type="http://schemas.openxmlformats.org/officeDocument/2006/relationships/hyperlink" Target="http://www.wyff4.com/news/police-man-killed-after-shootout-with-officers/33901040" TargetMode="External"/><Relationship Id="rId134" Type="http://schemas.openxmlformats.org/officeDocument/2006/relationships/hyperlink" Target="http://www.timesunion.com/news/article/Sheriff-Edinburgh-resident-dead-in-officer-6357460.php" TargetMode="External"/><Relationship Id="rId135" Type="http://schemas.openxmlformats.org/officeDocument/2006/relationships/hyperlink" Target="http://www.portlandmercury.com/images/blogimages/2015/06/29/1435620050-screen_shot_2015-06-29_at_4.20.07_pm.png" TargetMode="External"/><Relationship Id="rId136" Type="http://schemas.openxmlformats.org/officeDocument/2006/relationships/hyperlink" Target="http://www.kgw.com/story/news/local/2015/06/29/police-shooting-winco-parking-lot-portland/29455487/" TargetMode="External"/><Relationship Id="rId137" Type="http://schemas.openxmlformats.org/officeDocument/2006/relationships/hyperlink" Target="http://wfla.com/2015/07/09/tampa-hit-and-run-investigation-focuses-on-tpd-officer/" TargetMode="External"/><Relationship Id="rId138" Type="http://schemas.openxmlformats.org/officeDocument/2006/relationships/hyperlink" Target="http://www.news9.com/story/29443076/tahlequah-police-release-body-cam-video-in-fatal-officer-involved-shooting" TargetMode="External"/><Relationship Id="rId139" Type="http://schemas.openxmlformats.org/officeDocument/2006/relationships/hyperlink" Target="http://www.mysanantonio.com/news/local/article/Suspect-killed-by-polcie-during-chase-identified-6355557.php" TargetMode="External"/><Relationship Id="rId900" Type="http://schemas.openxmlformats.org/officeDocument/2006/relationships/hyperlink" Target="http://www.killedbypolice.net/victims/151061.jpg" TargetMode="External"/><Relationship Id="rId901" Type="http://schemas.openxmlformats.org/officeDocument/2006/relationships/hyperlink" Target="http://www.killedbypolice.net/victims/151058.jpg" TargetMode="External"/><Relationship Id="rId902" Type="http://schemas.openxmlformats.org/officeDocument/2006/relationships/hyperlink" Target="http://www.killedbypolice.net/victims/151049.jpg" TargetMode="External"/><Relationship Id="rId903" Type="http://schemas.openxmlformats.org/officeDocument/2006/relationships/hyperlink" Target="http://www.killedbypolice.net/victims/151040.jpg" TargetMode="External"/><Relationship Id="rId904" Type="http://schemas.openxmlformats.org/officeDocument/2006/relationships/hyperlink" Target="http://www.killedbypolice.net/victims/151038.jpg" TargetMode="External"/><Relationship Id="rId905" Type="http://schemas.openxmlformats.org/officeDocument/2006/relationships/hyperlink" Target="http://www.killedbypolice.net/victims/151035.jpg" TargetMode="External"/><Relationship Id="rId906" Type="http://schemas.openxmlformats.org/officeDocument/2006/relationships/hyperlink" Target="http://www.killedbypolice.net/victims/151032.jpg" TargetMode="External"/><Relationship Id="rId907" Type="http://schemas.openxmlformats.org/officeDocument/2006/relationships/hyperlink" Target="http://www.killedbypolice.net/victims/151031.jpg" TargetMode="External"/><Relationship Id="rId908" Type="http://schemas.openxmlformats.org/officeDocument/2006/relationships/hyperlink" Target="http://www.killedbypolice.net/victims/151030.jpg" TargetMode="External"/><Relationship Id="rId909" Type="http://schemas.openxmlformats.org/officeDocument/2006/relationships/hyperlink" Target="http://www.killedbypolice.net/victims/151027.jpg" TargetMode="External"/><Relationship Id="rId780" Type="http://schemas.openxmlformats.org/officeDocument/2006/relationships/hyperlink" Target="http://www.kgw.com/story/news/local/2015/10/29/police-chase-hwy-26-ends-crash-man-hospitalized/74787522/" TargetMode="External"/><Relationship Id="rId781" Type="http://schemas.openxmlformats.org/officeDocument/2006/relationships/hyperlink" Target="http://www.killedbypolice.net/victims/150985.jpg" TargetMode="External"/><Relationship Id="rId782" Type="http://schemas.openxmlformats.org/officeDocument/2006/relationships/hyperlink" Target="http://www.statesmanjournal.com/story/news/crime/2015/10/28/-5-southbound-traffic-detourced-kuebler/74775822/" TargetMode="External"/><Relationship Id="rId783" Type="http://schemas.openxmlformats.org/officeDocument/2006/relationships/hyperlink" Target="http://www.killedbypolice.net/victims/150984.jpg" TargetMode="External"/><Relationship Id="rId784" Type="http://schemas.openxmlformats.org/officeDocument/2006/relationships/hyperlink" Target="http://www.killedbypolice.net/victims/150983.jpg" TargetMode="External"/><Relationship Id="rId785" Type="http://schemas.openxmlformats.org/officeDocument/2006/relationships/hyperlink" Target="http://www.killedbypolice.net/victims/150982.jpg" TargetMode="External"/><Relationship Id="rId786" Type="http://schemas.openxmlformats.org/officeDocument/2006/relationships/hyperlink" Target="http://www.killedbypolice.net/victims/150981.jpg" TargetMode="External"/><Relationship Id="rId787" Type="http://schemas.openxmlformats.org/officeDocument/2006/relationships/hyperlink" Target="http://www.killedbypolice.net/victims/150979.jpg" TargetMode="External"/><Relationship Id="rId788" Type="http://schemas.openxmlformats.org/officeDocument/2006/relationships/hyperlink" Target="http://www.killedbypolice.net/victims/150977.jpg" TargetMode="External"/><Relationship Id="rId789" Type="http://schemas.openxmlformats.org/officeDocument/2006/relationships/hyperlink" Target="http://www.killedbypolice.net/victims/150976.jpg" TargetMode="External"/><Relationship Id="rId90" Type="http://schemas.openxmlformats.org/officeDocument/2006/relationships/hyperlink" Target="http://chicago.suntimes.com/crime/7/71/759984/chicago-police-involved-grand-crossing-shooting" TargetMode="External"/><Relationship Id="rId91" Type="http://schemas.openxmlformats.org/officeDocument/2006/relationships/hyperlink" Target="http://www.scpr.org/news/2015/07/10/53025/mid-wilshire-police-shooting-suspect-in-skateboard/" TargetMode="External"/><Relationship Id="rId92" Type="http://schemas.openxmlformats.org/officeDocument/2006/relationships/hyperlink" Target="http://www.azcentral.com/story/news/local/phoenix/2015/07/10/phoenix-police-shooting-suspect-cactus-abrk/29978125/" TargetMode="External"/><Relationship Id="rId93" Type="http://schemas.openxmlformats.org/officeDocument/2006/relationships/hyperlink" Target="http://www.santacruzsentinel.com/20150714/memorial-fund-started-for-boulder-creek-teen-killed-by-deputies" TargetMode="External"/><Relationship Id="rId94" Type="http://schemas.openxmlformats.org/officeDocument/2006/relationships/hyperlink" Target="http://matchbin-assets.s3.amazonaws.com/public/sites/990/assets/26J5_1625924_profile_pic.jpg" TargetMode="External"/><Relationship Id="rId95" Type="http://schemas.openxmlformats.org/officeDocument/2006/relationships/hyperlink" Target="http://www.cachevalleydaily.com/news/local/article_95847b98-36af-11e5-a21d-5381b6067a1e.html" TargetMode="External"/><Relationship Id="rId96" Type="http://schemas.openxmlformats.org/officeDocument/2006/relationships/hyperlink" Target="http://www.gannett-cdn.com/-mm-/444b6b00164f56950327b2368f293f2ce83db955/c=0-295-1304-1032&amp;r=x633&amp;c=1200x630/local/-/media/2015/07/10/JacksonMS/JacksonMS/635721442175293352-IMG-0825.JPG.jpg" TargetMode="External"/><Relationship Id="rId97" Type="http://schemas.openxmlformats.org/officeDocument/2006/relationships/hyperlink" Target="http://media.oregonlive.com/beaverton_news/photo/westrichjpg-51507199625e81e6.jpg" TargetMode="External"/><Relationship Id="rId98" Type="http://schemas.openxmlformats.org/officeDocument/2006/relationships/hyperlink" Target="http://www.kgw.com/story/news/local/washington-county/2015/07/08/beaverton-officer-shot-trailer-hidden-estate/29857719/" TargetMode="External"/><Relationship Id="rId99" Type="http://schemas.openxmlformats.org/officeDocument/2006/relationships/hyperlink" Target="http://www.chron.com/news/houston-texas/houston/article/New-details-emerge-in-HPD-shooting-and-chase-6373997.php" TargetMode="External"/><Relationship Id="rId460" Type="http://schemas.openxmlformats.org/officeDocument/2006/relationships/hyperlink" Target="http://www.killedbypolice.net/victims/150102.jpg" TargetMode="External"/><Relationship Id="rId461" Type="http://schemas.openxmlformats.org/officeDocument/2006/relationships/hyperlink" Target="http://losangeles.cbslocal.com/2015/02/04/police-fatally-shoot-bank-robbery-suspect-in-chino-following-high-speed-chase/" TargetMode="External"/><Relationship Id="rId462" Type="http://schemas.openxmlformats.org/officeDocument/2006/relationships/hyperlink" Target="http://newsok.com/new-details-released-in-stillwater-homicide-officer-shooting/article/5389230" TargetMode="External"/><Relationship Id="rId463" Type="http://schemas.openxmlformats.org/officeDocument/2006/relationships/hyperlink" Target="http://alaska-native-news.com/inmate-dies-intake-anchorage-correctional-complex-15705" TargetMode="External"/><Relationship Id="rId464" Type="http://schemas.openxmlformats.org/officeDocument/2006/relationships/hyperlink" Target="http://www.statesman.com/news/news/local/officer-involved-shooting-being-investigated/njtpW/" TargetMode="External"/><Relationship Id="rId465" Type="http://schemas.openxmlformats.org/officeDocument/2006/relationships/hyperlink" Target="http://kfor.com/2015/01/17/update-on-off-duty-officer-shooting-at-garth-brooks-concert-in-tulsa/" TargetMode="External"/><Relationship Id="rId466" Type="http://schemas.openxmlformats.org/officeDocument/2006/relationships/hyperlink" Target="http://theadvocate.com/news/11346884-123/evangeline-parish-man-shot-killed" TargetMode="External"/><Relationship Id="rId467" Type="http://schemas.openxmlformats.org/officeDocument/2006/relationships/hyperlink" Target="http://www.greenfieldreporter.com/view/story/f769fa01fc134dab9ebc78994015adf8/AR--Fatal-Pharmacy-Robbery" TargetMode="External"/><Relationship Id="rId468" Type="http://schemas.openxmlformats.org/officeDocument/2006/relationships/hyperlink" Target="http://www.omaha.com/news/crime/autopsy-results-to-be-released-soon-in-case-of-man/article_57e6f9c6-981e-11e4-84ef-dfff4d2c6e13.html" TargetMode="External"/><Relationship Id="rId469" Type="http://schemas.openxmlformats.org/officeDocument/2006/relationships/hyperlink" Target="http://www.latimes.com/local/lanow/la-me-ln-taser-death-20150107-story.html" TargetMode="External"/><Relationship Id="rId1140" Type="http://schemas.openxmlformats.org/officeDocument/2006/relationships/hyperlink" Target="http://www.deseretnews.com/article/865635615/Man-shot-killed-by-Spanish-Fork-police-officer-in-church-parking-lot.html?pg=all" TargetMode="External"/><Relationship Id="rId1141" Type="http://schemas.openxmlformats.org/officeDocument/2006/relationships/hyperlink" Target="http://www.dallasnews.com/news/metro/20150903-dallas-police-man-killed-by-officer-had-pellet-gun.ece" TargetMode="External"/><Relationship Id="rId1142" Type="http://schemas.openxmlformats.org/officeDocument/2006/relationships/hyperlink" Target="http://www.dailynews.com/general-news/20150901/man-fatally-shot-by-police-in-van-nuys-was-homeless-coroner-says" TargetMode="External"/><Relationship Id="rId1143" Type="http://schemas.openxmlformats.org/officeDocument/2006/relationships/hyperlink" Target="http://www.kansascity.com/news/local/article32618871.html" TargetMode="External"/><Relationship Id="rId1144" Type="http://schemas.openxmlformats.org/officeDocument/2006/relationships/hyperlink" Target="http://www.mercurynews.com/crime-courts/ci_28734820/oakland-police-release-name-suspect-officer-fatal-shooting" TargetMode="External"/><Relationship Id="rId1145" Type="http://schemas.openxmlformats.org/officeDocument/2006/relationships/hyperlink" Target="http://www.timesfreepress.com/news/local/story/2015/aug/27/police-highway-153-blocked-after-fatal-shooting-hixson/322021/" TargetMode="External"/><Relationship Id="rId1146" Type="http://schemas.openxmlformats.org/officeDocument/2006/relationships/hyperlink" Target="http://www.sltrib.com/home/2880568-155/police-west-jordan-man-dead-after" TargetMode="External"/><Relationship Id="rId1147" Type="http://schemas.openxmlformats.org/officeDocument/2006/relationships/hyperlink" Target="http://www.tennessean.com/story/news/local/hendersonville/2015/08/26/hendersonville-police-investigating-incident/32386959/" TargetMode="External"/><Relationship Id="rId1148" Type="http://schemas.openxmlformats.org/officeDocument/2006/relationships/hyperlink" Target="http://articles.philly.com/2015-08-27/news/65891377_1_county-courthouse-smith-deputy-sheriff-shot" TargetMode="External"/><Relationship Id="rId1149" Type="http://schemas.openxmlformats.org/officeDocument/2006/relationships/hyperlink" Target="http://www.miamiherald.com/news/local/crime/article32465772.html" TargetMode="External"/><Relationship Id="rId140" Type="http://schemas.openxmlformats.org/officeDocument/2006/relationships/hyperlink" Target="http://a.abcnews.com/images/US/HT_richard_matt_jt_150606_4x3_992.jpg" TargetMode="External"/><Relationship Id="rId141" Type="http://schemas.openxmlformats.org/officeDocument/2006/relationships/hyperlink" Target="http://www.nbcnews.com/storyline/new-york-prison-escape/autopsy-shows-prison-escapee-richard-matt-was-drunk-when-he-n404676" TargetMode="External"/><Relationship Id="rId142" Type="http://schemas.openxmlformats.org/officeDocument/2006/relationships/hyperlink" Target="http://www.baltimoresun.com/news/maryland/crime/blog/bs-md-baltimore-county-0628-20150627-story.html" TargetMode="External"/><Relationship Id="rId143" Type="http://schemas.openxmlformats.org/officeDocument/2006/relationships/hyperlink" Target="http://abc30.com/news/man-wanted-after-deadly-fresno-county-deputy-involved-shooting-identified/808781/" TargetMode="External"/><Relationship Id="rId144" Type="http://schemas.openxmlformats.org/officeDocument/2006/relationships/hyperlink" Target="http://www.gannett-cdn.com/-mm-/8334042135d7f679c06190b7cdf533ced74a407e/c=15-0-465-600&amp;r=537&amp;c=0-0-534-712/local/-/media/2015/06/24/WVEC/WVEC/635707581920059394-DamienAlexanderHarrell.jpg" TargetMode="External"/><Relationship Id="rId145" Type="http://schemas.openxmlformats.org/officeDocument/2006/relationships/hyperlink" Target="http://www.13newsnow.com/story/news/local/peninsulanow/2015/06/24/incident-closes-part-of-ft-eustis-blvd-in-york-co/29204021/" TargetMode="External"/><Relationship Id="rId146" Type="http://schemas.openxmlformats.org/officeDocument/2006/relationships/hyperlink" Target="http://www.kansas.com/news/local/article25221067.html" TargetMode="External"/><Relationship Id="rId147" Type="http://schemas.openxmlformats.org/officeDocument/2006/relationships/hyperlink" Target="http://www.wthr.com/story/29391400/impd-officer-involved-in-shooting-after-short-pursuit" TargetMode="External"/><Relationship Id="rId148" Type="http://schemas.openxmlformats.org/officeDocument/2006/relationships/hyperlink" Target="http://bloximages.chicago2.vip.townnews.com/weatherforddemocrat.com/content/tncms/assets/v3/editorial/c/9c/c9c251be-1a8f-11e5-9a9f-0358863fe83b/558addd0ba8d6.image.jpg?resize=300%2C300" TargetMode="External"/><Relationship Id="rId149" Type="http://schemas.openxmlformats.org/officeDocument/2006/relationships/hyperlink" Target="http://www.star-telegram.com/news/local/community/fort-worth/article25340344.html" TargetMode="External"/><Relationship Id="rId910" Type="http://schemas.openxmlformats.org/officeDocument/2006/relationships/hyperlink" Target="http://www.killedbypolice.net/victims/151026.jpg" TargetMode="External"/><Relationship Id="rId911" Type="http://schemas.openxmlformats.org/officeDocument/2006/relationships/hyperlink" Target="http://www.killedbypolice.net/victims/151025.jpg" TargetMode="External"/><Relationship Id="rId912" Type="http://schemas.openxmlformats.org/officeDocument/2006/relationships/hyperlink" Target="http://www.killedbypolice.net/victims/151024.jpg" TargetMode="External"/><Relationship Id="rId913" Type="http://schemas.openxmlformats.org/officeDocument/2006/relationships/hyperlink" Target="http://www.killedbypolice.net/victims/151023.jpg" TargetMode="External"/><Relationship Id="rId914" Type="http://schemas.openxmlformats.org/officeDocument/2006/relationships/hyperlink" Target="http://www.killedbypolice.net/victims/151020.jpg" TargetMode="External"/><Relationship Id="rId915" Type="http://schemas.openxmlformats.org/officeDocument/2006/relationships/hyperlink" Target="http://www.killedbypolice.net/victims/151019.jpg" TargetMode="External"/><Relationship Id="rId916" Type="http://schemas.openxmlformats.org/officeDocument/2006/relationships/hyperlink" Target="http://www.killedbypolice.net/victims/151018.jpg" TargetMode="External"/><Relationship Id="rId917" Type="http://schemas.openxmlformats.org/officeDocument/2006/relationships/hyperlink" Target="http://www.killedbypolice.net/victims/151016.jpg" TargetMode="External"/><Relationship Id="rId918" Type="http://schemas.openxmlformats.org/officeDocument/2006/relationships/hyperlink" Target="http://www.killedbypolice.net/victims/151015.jpg" TargetMode="External"/><Relationship Id="rId919" Type="http://schemas.openxmlformats.org/officeDocument/2006/relationships/hyperlink" Target="http://www.killedbypolice.net/victims/151012.jpg" TargetMode="External"/><Relationship Id="rId790" Type="http://schemas.openxmlformats.org/officeDocument/2006/relationships/hyperlink" Target="http://6abc.com/news/police-suspect-dead-after-assaulting-septa-officer-in-kensington/1051327/" TargetMode="External"/><Relationship Id="rId791" Type="http://schemas.openxmlformats.org/officeDocument/2006/relationships/hyperlink" Target="http://www.killedbypolice.net/victims/150975.jpg" TargetMode="External"/><Relationship Id="rId792" Type="http://schemas.openxmlformats.org/officeDocument/2006/relationships/hyperlink" Target="http://www.killedbypolice.net/victims/150972.jpg" TargetMode="External"/><Relationship Id="rId793" Type="http://schemas.openxmlformats.org/officeDocument/2006/relationships/hyperlink" Target="http://www.killedbypolice.net/victims/150971.jpg" TargetMode="External"/><Relationship Id="rId794" Type="http://schemas.openxmlformats.org/officeDocument/2006/relationships/hyperlink" Target="http://www.zanesvilletimesrecorder.com/story/news/crime/2015/10/25/sheriff-one-dead-officer-involved-shooting/74581242/" TargetMode="External"/><Relationship Id="rId795" Type="http://schemas.openxmlformats.org/officeDocument/2006/relationships/hyperlink" Target="http://www.killedbypolice.net/victims/150970.jpg" TargetMode="External"/><Relationship Id="rId796" Type="http://schemas.openxmlformats.org/officeDocument/2006/relationships/hyperlink" Target="http://www.11alive.com/story/news/local/2015/10/24/two-deputies-shot-pickens-county/74569260/" TargetMode="External"/><Relationship Id="rId797" Type="http://schemas.openxmlformats.org/officeDocument/2006/relationships/hyperlink" Target="http://www.killedbypolice.net/victims/150969.jpg" TargetMode="External"/><Relationship Id="rId798" Type="http://schemas.openxmlformats.org/officeDocument/2006/relationships/hyperlink" Target="http://www.pe.com/articles/riverside-784400-officers-stop.html" TargetMode="External"/><Relationship Id="rId799" Type="http://schemas.openxmlformats.org/officeDocument/2006/relationships/hyperlink" Target="http://www.killedbypolice.net/victims/150968.jpg" TargetMode="External"/><Relationship Id="rId470" Type="http://schemas.openxmlformats.org/officeDocument/2006/relationships/hyperlink" Target="http://www.washingtonpost.com/news/the-watch/wp/2015/01/09/iowa-cop-reportedly-tries-to-shoot-dog-kills-woman-instead/" TargetMode="External"/><Relationship Id="rId471" Type="http://schemas.openxmlformats.org/officeDocument/2006/relationships/hyperlink" Target="http://www.miamiherald.com/news/local/community/florida-keys/tfsh2c/picture5621952/ALTERNATES/FREE_960/Roberto.jpg" TargetMode="External"/><Relationship Id="rId472" Type="http://schemas.openxmlformats.org/officeDocument/2006/relationships/hyperlink" Target="http://www.miamiherald.com/news/local/community/florida-keys/article5621958.html" TargetMode="External"/><Relationship Id="rId473" Type="http://schemas.openxmlformats.org/officeDocument/2006/relationships/hyperlink" Target="http://i.guim.co.uk/static/w-620/h--/q-95/sys-images/Guardian/Pix/pictures/2015/2/12/1423748301468/7245d83a-eba5-4117-8f2b-584fc9f566e8-bestSizeAvailable.jpeg" TargetMode="External"/><Relationship Id="rId474" Type="http://schemas.openxmlformats.org/officeDocument/2006/relationships/hyperlink" Target="http://www.alternet.org/news-amp-politics/kevin-davis-called-cops-help-out-friend-trouble-and-was-shot-death-police-his" TargetMode="External"/><Relationship Id="rId475" Type="http://schemas.openxmlformats.org/officeDocument/2006/relationships/hyperlink" Target="http://www.miamiherald.com/news/local/crime/2xyin4/picture5303859/ALTERNATES/FREE_960/Eric%20Tyrone%20Forbes.jpg" TargetMode="External"/><Relationship Id="rId476" Type="http://schemas.openxmlformats.org/officeDocument/2006/relationships/hyperlink" Target="http://www.local10.com/news/1-dead-in-new-years-eve-policeinvolved-shooting-in-miami/30477214" TargetMode="External"/><Relationship Id="rId477" Type="http://schemas.openxmlformats.org/officeDocument/2006/relationships/hyperlink" Target="http://www.presstelegram.com/general-news/20150101/armed-woman-killed-in-compton-deputy-involved-shooting" TargetMode="External"/><Relationship Id="rId478" Type="http://schemas.openxmlformats.org/officeDocument/2006/relationships/hyperlink" Target="http://6abc.com/news/sources-suspect-shot-killed-by-police-in-drexel-hill/455767/" TargetMode="External"/><Relationship Id="rId479" Type="http://schemas.openxmlformats.org/officeDocument/2006/relationships/hyperlink" Target="http://www.firstcoastnews.com/story/news/local/2014/12/29/st-johns-county-armed-suspect-killed/21031459/" TargetMode="External"/><Relationship Id="rId1150" Type="http://schemas.openxmlformats.org/officeDocument/2006/relationships/hyperlink" Target="http://www.santafenewmexican.com/news/high-speed-chase-ends-in-fatal-officer-involved-shooting/article_4c2bd7f0-4b29-11e5-bb0e-cbe70da6c311.html" TargetMode="External"/><Relationship Id="rId1151" Type="http://schemas.openxmlformats.org/officeDocument/2006/relationships/hyperlink" Target="http://www.azcentral.com/story/news/local/phoenix/breaking/2015/08/25/phoenix-pd-working-active-shooting-scene/32360753/" TargetMode="External"/><Relationship Id="rId1152" Type="http://schemas.openxmlformats.org/officeDocument/2006/relationships/hyperlink" Target="http://www.tampabay.com/news/publicsafety/crime/hillsborough-deputy-involved-in-shooting-one-suspect-wounded-deputy/2242748" TargetMode="External"/><Relationship Id="rId1153" Type="http://schemas.openxmlformats.org/officeDocument/2006/relationships/hyperlink" Target="http://www.scrippsmedia.com/ktnv/news/Man-shot-by-Las-Vegas-police-following-barricade-near-Buffalo-Alta-drives-322625862.html" TargetMode="External"/><Relationship Id="rId1154" Type="http://schemas.openxmlformats.org/officeDocument/2006/relationships/hyperlink" Target="http://www.bakersfieldnow.com/news/local/Family-demands-investigation-after-police-shooting-322761581.html" TargetMode="External"/><Relationship Id="rId1155" Type="http://schemas.openxmlformats.org/officeDocument/2006/relationships/hyperlink" Target="http://www.startribune.com/man-fatally-shot-by-itasca-county-deputy-is-id-d/322626551/" TargetMode="External"/><Relationship Id="rId1156" Type="http://schemas.openxmlformats.org/officeDocument/2006/relationships/hyperlink" Target="http://www.wral.com/police-wake-forest-man-charged-officers-with-knife-before-being-shot/14847812/" TargetMode="External"/><Relationship Id="rId1157" Type="http://schemas.openxmlformats.org/officeDocument/2006/relationships/hyperlink" Target="http://www.baltimoresun.com/news/maryland/bs-md-police-shooting-north-east-20150822-story.html" TargetMode="External"/><Relationship Id="rId1158" Type="http://schemas.openxmlformats.org/officeDocument/2006/relationships/hyperlink" Target="http://www.ifiberone.com/news/masoncounty/man-fatally-shot-by-mason-county-sheriff-s-deputy/article_3efae09e-4db8-11e5-a8f9-ff9b94dd2298.html" TargetMode="External"/><Relationship Id="rId1159" Type="http://schemas.openxmlformats.org/officeDocument/2006/relationships/hyperlink" Target="http://www.al.com/news/birmingham/index.ssf/2015/08/man_fatally_shot_by_tuscaloosa.html" TargetMode="External"/><Relationship Id="rId150" Type="http://schemas.openxmlformats.org/officeDocument/2006/relationships/hyperlink" Target="http://bloximages.newyork1.vip.townnews.com/omaha.com/content/tncms/assets/v3/editorial/d/d0/dd0b9724-19c9-11e5-93b4-936ae8b833ff/558991a743529.image.jpg" TargetMode="External"/><Relationship Id="rId151" Type="http://schemas.openxmlformats.org/officeDocument/2006/relationships/hyperlink" Target="http://journalstar.com/news/local/911/man-shot-by-deputy-has-died-sheriff-s-office-says/article_6edae1e6-0eba-5846-8dc1-79a7a3a032da.html" TargetMode="External"/><Relationship Id="rId152" Type="http://schemas.openxmlformats.org/officeDocument/2006/relationships/hyperlink" Target="http://www.post-gazette.com/image/2015/06/23/420x_q90_cMC_z_ca0,37,614,753/HarrisTyrone.jpg" TargetMode="External"/><Relationship Id="rId153" Type="http://schemas.openxmlformats.org/officeDocument/2006/relationships/hyperlink" Target="http://www.post-gazette.com/local/city/2015/06/22/Shooting-incident-blocks-traffic-on-Route-51-near-Bausman-pittsburgh/stories/201506220143" TargetMode="External"/><Relationship Id="rId154" Type="http://schemas.openxmlformats.org/officeDocument/2006/relationships/hyperlink" Target="http://www.sacbee.com/news/local/crime/article25297567.html" TargetMode="External"/><Relationship Id="rId155" Type="http://schemas.openxmlformats.org/officeDocument/2006/relationships/hyperlink" Target="http://chronicle.augusta.com/sites/default/files/imagecache/superphoto/14501857.jpg" TargetMode="External"/><Relationship Id="rId156" Type="http://schemas.openxmlformats.org/officeDocument/2006/relationships/hyperlink" Target="http://chronicle.augusta.com/news/crime-courts/2015-06-23/deputy-shoots-man-who-had-rifle-standoff-victim-died-monday-georgia" TargetMode="External"/><Relationship Id="rId157" Type="http://schemas.openxmlformats.org/officeDocument/2006/relationships/hyperlink" Target="http://bloximages.newyork1.vip.townnews.com/journalnow.com/content/tncms/assets/v3/editorial/4/1f/41fb4001-cb7b-5850-8587-b8e9677b73a9/558828f92bfd8.image.jpg" TargetMode="External"/><Relationship Id="rId158" Type="http://schemas.openxmlformats.org/officeDocument/2006/relationships/hyperlink" Target="http://www.wxii12.com/news/sheriffs-deputy-shot-in-wilkes-county/33705684" TargetMode="External"/><Relationship Id="rId159" Type="http://schemas.openxmlformats.org/officeDocument/2006/relationships/hyperlink" Target="http://www.gannett-cdn.com/-mm-/9084052019203598504c1c2c8d284ed18b0eeeb0/c=95-0-659-424&amp;r=x404&amp;c=534x401/local/-/media/2015/06/25/KTVB/KTVB/635708443303175916-Allen-Hernandez.jpg" TargetMode="External"/><Relationship Id="rId920" Type="http://schemas.openxmlformats.org/officeDocument/2006/relationships/hyperlink" Target="http://www.killedbypolice.net/victims/151011.jpg" TargetMode="External"/><Relationship Id="rId921" Type="http://schemas.openxmlformats.org/officeDocument/2006/relationships/hyperlink" Target="http://www.killedbypolice.net/victims/151008.jpg" TargetMode="External"/><Relationship Id="rId922" Type="http://schemas.openxmlformats.org/officeDocument/2006/relationships/hyperlink" Target="http://www.killedbypolice.net/victims/151007.jpg" TargetMode="External"/><Relationship Id="rId923" Type="http://schemas.openxmlformats.org/officeDocument/2006/relationships/hyperlink" Target="http://www.killedbypolice.net/victims/151006.jpg" TargetMode="External"/><Relationship Id="rId924" Type="http://schemas.openxmlformats.org/officeDocument/2006/relationships/hyperlink" Target="http://www.killedbypolice.net/victims/151005.jpg" TargetMode="External"/><Relationship Id="rId925" Type="http://schemas.openxmlformats.org/officeDocument/2006/relationships/hyperlink" Target="http://www.killedbypolice.net/victims/151003.jpg" TargetMode="External"/><Relationship Id="rId926" Type="http://schemas.openxmlformats.org/officeDocument/2006/relationships/hyperlink" Target="http://www.killedbypolice.net/victims/151002.jpg" TargetMode="External"/><Relationship Id="rId927" Type="http://schemas.openxmlformats.org/officeDocument/2006/relationships/hyperlink" Target="http://www.killedbypolice.net/victims/151000.jpg" TargetMode="External"/><Relationship Id="rId928" Type="http://schemas.openxmlformats.org/officeDocument/2006/relationships/hyperlink" Target="http://www.killedbypolice.net/victims/150998.jpg" TargetMode="External"/><Relationship Id="rId929" Type="http://schemas.openxmlformats.org/officeDocument/2006/relationships/hyperlink" Target="http://www.killedbypolice.net/victims/150997.jpg" TargetMode="External"/><Relationship Id="rId600" Type="http://schemas.openxmlformats.org/officeDocument/2006/relationships/hyperlink" Target="http://www.northwestgeorgianews.com/rome/adairsville-officer-on-administrative-leave-after-fatal-shooting/article_7082a720-119e-11e4-8eb9-001a4bcf6878.html" TargetMode="External"/><Relationship Id="rId601" Type="http://schemas.openxmlformats.org/officeDocument/2006/relationships/hyperlink" Target="http://www.koat.com/news/apd-involved-in-shooting-near-eubank-central/27095580" TargetMode="External"/><Relationship Id="rId602" Type="http://schemas.openxmlformats.org/officeDocument/2006/relationships/hyperlink" Target="http://www.kentreporter.com/news/272307371.html" TargetMode="External"/><Relationship Id="rId603" Type="http://schemas.openxmlformats.org/officeDocument/2006/relationships/hyperlink" Target="http://www.azcentral.com/story/news/local/tempe/2014/07/20/tempe-officer-involved-shooting-jonathan-williams-dead/12922577/" TargetMode="External"/><Relationship Id="rId604" Type="http://schemas.openxmlformats.org/officeDocument/2006/relationships/hyperlink" Target="http://www.fox5vegas.com/story/26071249/coroner-identifies-man-shot-by-nlv-police" TargetMode="External"/><Relationship Id="rId605" Type="http://schemas.openxmlformats.org/officeDocument/2006/relationships/hyperlink" Target="http://www.citizen-times.com/story/news/crime/2014/07/14/hendersonville-police-shoot-kill-suspect/12640863/" TargetMode="External"/><Relationship Id="rId606" Type="http://schemas.openxmlformats.org/officeDocument/2006/relationships/hyperlink" Target="http://www.12newsnow.com/story/26796642/vidor-officers-cleared-by-grand-jury-will-return-to-work-friday" TargetMode="External"/><Relationship Id="rId607" Type="http://schemas.openxmlformats.org/officeDocument/2006/relationships/hyperlink" Target="http://www.10tv.com/content/stories/2014/07/10/columbus-ohio-probation-officer-among-2-people-shot-in-southeast-columbus.html" TargetMode="External"/><Relationship Id="rId608" Type="http://schemas.openxmlformats.org/officeDocument/2006/relationships/hyperlink" Target="http://journaltimes.com/news/local/crime-and-courts/man-fatally-shot-by-police-identified/article_9983c98a-0620-11e4-8f7e-0019bb2963f4.html" TargetMode="External"/><Relationship Id="rId609" Type="http://schemas.openxmlformats.org/officeDocument/2006/relationships/hyperlink" Target="http://www.wcyb.com/news/tbi-investigating-death-of-man-in-custody/26809334" TargetMode="External"/><Relationship Id="rId480" Type="http://schemas.openxmlformats.org/officeDocument/2006/relationships/hyperlink" Target="http://www.chicoer.com/general-news/20141229/man-shot-killed-by-sheriffs-deputy-in-paradise" TargetMode="External"/><Relationship Id="rId481" Type="http://schemas.openxmlformats.org/officeDocument/2006/relationships/hyperlink" Target="http://edge.liveleak.com/80281E/ll_a_s/2014/Dec/29/LiveLeak-dot-com-ebe_1419888575-davidandrescott_1419888592.jpg.resized.jpg?d5e8cc8eccfb6039332f41f6249e92b06c91b4db65f5e99818bdd5924c40ded7397e&amp;ec_rate=230" TargetMode="External"/><Relationship Id="rId482" Type="http://schemas.openxmlformats.org/officeDocument/2006/relationships/hyperlink" Target="http://www.actionnewsjax.com/news/news/local/swat-called-out-fort-caroline-area/njbtC/" TargetMode="External"/><Relationship Id="rId483" Type="http://schemas.openxmlformats.org/officeDocument/2006/relationships/hyperlink" Target="http://www.al.com/news/birmingham/index.ssf/2014/12/51-year-old_man_shot_to_death.html" TargetMode="External"/><Relationship Id="rId484" Type="http://schemas.openxmlformats.org/officeDocument/2006/relationships/hyperlink" Target="http://www.wesh.com/image/view/-/30418970/medRes/2/-/maxh/220/maxw/220/-/o2mpgg/-/Quinten-Jamal-Smith-jpg.jpg" TargetMode="External"/><Relationship Id="rId485" Type="http://schemas.openxmlformats.org/officeDocument/2006/relationships/hyperlink" Target="http://www.wesh.com/news/sheriff-brevard-deputy-fatally-shoots-armed-wanted-man/30415088" TargetMode="External"/><Relationship Id="rId486" Type="http://schemas.openxmlformats.org/officeDocument/2006/relationships/hyperlink" Target="http://ww3.hdnux.com/photos/33/73/31/7321166/3/622x350.jpg" TargetMode="External"/><Relationship Id="rId487" Type="http://schemas.openxmlformats.org/officeDocument/2006/relationships/hyperlink" Target="http://www.kvue.com/story/news/state/2014/12/26/police-shoot-kill-man-firing-gun-in-texas-city-parking-lot/20907475/" TargetMode="External"/><Relationship Id="rId488" Type="http://schemas.openxmlformats.org/officeDocument/2006/relationships/hyperlink" Target="http://www.19actionnews.com/story/27709268/bedford-resident-shot-and-killed-during-confrontation-with-police" TargetMode="External"/><Relationship Id="rId489" Type="http://schemas.openxmlformats.org/officeDocument/2006/relationships/hyperlink" Target="http://www.oregonlive.com/portland/index.ssf/2014/12/man_dies_after_officer-involve.html" TargetMode="External"/><Relationship Id="rId1160" Type="http://schemas.openxmlformats.org/officeDocument/2006/relationships/hyperlink" Target="http://www.dailybulletin.com/general-news/20150821/ontario-police-identify-teen-killed-in-officer-involved-shooting" TargetMode="External"/><Relationship Id="rId1161" Type="http://schemas.openxmlformats.org/officeDocument/2006/relationships/hyperlink" Target="http://www.thenewscenter.tv/home/headlines/new-details.html" TargetMode="External"/><Relationship Id="rId1162" Type="http://schemas.openxmlformats.org/officeDocument/2006/relationships/hyperlink" Target="http://www.freep.com/story/news/local/michigan/oakland/2015/08/20/police-chase-troy-bloomfield-hills-warren-absconder-shooting/32056645/" TargetMode="External"/><Relationship Id="rId1163" Type="http://schemas.openxmlformats.org/officeDocument/2006/relationships/hyperlink" Target="http://www.latimes.com/local/crime/la-me-san-jose-police-20150822-story.html" TargetMode="External"/><Relationship Id="rId1164" Type="http://schemas.openxmlformats.org/officeDocument/2006/relationships/hyperlink" Target="http://www.wusa9.com/story/news/local/maryland/2015/08/15/suspect-shot-police-after-struggle-over-officers-gun/31772861/" TargetMode="External"/><Relationship Id="rId1165" Type="http://schemas.openxmlformats.org/officeDocument/2006/relationships/hyperlink" Target="http://www.sfgate.com/bayarea/article/Calls-for-justice-at-vigil-for-man-killed-by-6445927.php" TargetMode="External"/><Relationship Id="rId1166" Type="http://schemas.openxmlformats.org/officeDocument/2006/relationships/hyperlink" Target="http://www.cleveland19.com/story/29210147/cleveland-fugitive-reginald-marshall-killed-in-toledo-standoff" TargetMode="External"/><Relationship Id="rId1167" Type="http://schemas.openxmlformats.org/officeDocument/2006/relationships/hyperlink" Target="http://www.chicagotribune.com/news/local/breaking/ct-chicago-police-involved-shooting-20150829-story.html" TargetMode="External"/><Relationship Id="rId1168" Type="http://schemas.openxmlformats.org/officeDocument/2006/relationships/hyperlink" Target="http://www.kansascity.com/news/local/crime/article34741230.html" TargetMode="External"/><Relationship Id="rId1169" Type="http://schemas.openxmlformats.org/officeDocument/2006/relationships/hyperlink" Target="http://www.latimes.com/local/lanow/la-me-ln-san-diego-police-fatal-shooting-20150928-story.html" TargetMode="External"/><Relationship Id="rId160" Type="http://schemas.openxmlformats.org/officeDocument/2006/relationships/hyperlink" Target="http://www.ktvb.com/story/news/crime/2015/06/25/allen--hernandez-owyhee-sheriff/29283099/" TargetMode="External"/><Relationship Id="rId161" Type="http://schemas.openxmlformats.org/officeDocument/2006/relationships/hyperlink" Target="http://homicide.latimes.com.s3.amazonaws.com/media/homicide/72c81404-df51-4024-b054-47809e5bc39a.jpeg" TargetMode="External"/><Relationship Id="rId162" Type="http://schemas.openxmlformats.org/officeDocument/2006/relationships/hyperlink" Target="http://homicide.latimes.com/post/adrian-simental/" TargetMode="External"/><Relationship Id="rId163" Type="http://schemas.openxmlformats.org/officeDocument/2006/relationships/hyperlink" Target="http://d3trabu2dfbdfb.cloudfront.net/4/6/4658528_300x300.jpeg" TargetMode="External"/><Relationship Id="rId164" Type="http://schemas.openxmlformats.org/officeDocument/2006/relationships/hyperlink" Target="http://www.chron.com/news/houston-texas/article/Deputy-fatally-shoots-man-after-he-charges-6340675.php" TargetMode="External"/><Relationship Id="rId165" Type="http://schemas.openxmlformats.org/officeDocument/2006/relationships/hyperlink" Target="http://www.chicagotribune.com/news/local/breaking/ct-alfontish-cockerham-shot-by-police-20150626-story.html" TargetMode="External"/><Relationship Id="rId166" Type="http://schemas.openxmlformats.org/officeDocument/2006/relationships/hyperlink" Target="http://theadvocate.com/news/12712188-123/father-at-a-loss-for" TargetMode="External"/><Relationship Id="rId167" Type="http://schemas.openxmlformats.org/officeDocument/2006/relationships/hyperlink" Target="http://ak-cache.legacy.net/legacy/images/cobrands/birmingham/Photos/photo_20150625_AL0069125_0_danteljelks2015_20150625.jpg?v=0x00000000308a6237" TargetMode="External"/><Relationship Id="rId168" Type="http://schemas.openxmlformats.org/officeDocument/2006/relationships/hyperlink" Target="http://www.tuscaloosanews.com/article/20150622/news/150629934?p=1&amp;tc=pg" TargetMode="External"/><Relationship Id="rId169" Type="http://schemas.openxmlformats.org/officeDocument/2006/relationships/hyperlink" Target="http://www.gannett-cdn.com/-mm-/15e60ce64e0a486e11e80fc1732b57a8401a0831/c=1-0-179-238&amp;r=537&amp;c=0-0-534-712/local/-/media/2015/06/19/Cincinnati/B9317795377Z.1_20150619211539_000_GCBB4NLT3.1-0.jpg" TargetMode="External"/><Relationship Id="rId930" Type="http://schemas.openxmlformats.org/officeDocument/2006/relationships/hyperlink" Target="http://www.killedbypolice.net/victims/150996.jpg" TargetMode="External"/><Relationship Id="rId931" Type="http://schemas.openxmlformats.org/officeDocument/2006/relationships/hyperlink" Target="http://www.ajc.com/news/news/crime-law/officer-involved-shooting-reported-near-downtown-a/npY4J/" TargetMode="External"/><Relationship Id="rId932" Type="http://schemas.openxmlformats.org/officeDocument/2006/relationships/hyperlink" Target="http://www.denverpost.com/news/ci_29182697/aurora-accident-triggers-officer-involved-shooting-closes-roads" TargetMode="External"/><Relationship Id="rId933" Type="http://schemas.openxmlformats.org/officeDocument/2006/relationships/hyperlink" Target="http://journalstar.com/news/local/911/one-dead-five-in-custody-after-officer-involved-shooting/article_e4cfd9fb-e157-53ad-a637-cfa8b1b1468f.html" TargetMode="External"/><Relationship Id="rId934" Type="http://schemas.openxmlformats.org/officeDocument/2006/relationships/hyperlink" Target="http://www.kpho.com/story/30624737/mcso-deputy-shoots-kills-suicidal-man-who-pulled-out-gun" TargetMode="External"/><Relationship Id="rId935" Type="http://schemas.openxmlformats.org/officeDocument/2006/relationships/hyperlink" Target="http://www.kshb.com/news/crime/man-dead-in-officer-involved-shooting-in-dekalb-county-missouri" TargetMode="External"/><Relationship Id="rId936" Type="http://schemas.openxmlformats.org/officeDocument/2006/relationships/hyperlink" Target="http://www.whio.com/news/news/crime-law/person-shot-during-altercation-with-trooper-in-cel/npYFP/" TargetMode="External"/><Relationship Id="rId937" Type="http://schemas.openxmlformats.org/officeDocument/2006/relationships/hyperlink" Target="http://www.turnto23.com/news/breaking-news/officer-involved-shooting-near-downtown-restaurant-11292015" TargetMode="External"/><Relationship Id="rId938" Type="http://schemas.openxmlformats.org/officeDocument/2006/relationships/hyperlink" Target="http://www.wfaa.com/story/news/local/dallas-county/2015/11/28/police-kill-suspect-seagoville/76491256/" TargetMode="External"/><Relationship Id="rId939" Type="http://schemas.openxmlformats.org/officeDocument/2006/relationships/hyperlink" Target="http://www.ky3.com/news/local/man-shot-dead-in-confrontation-with-stone-county-deputies/21048998_36683524" TargetMode="External"/><Relationship Id="rId610" Type="http://schemas.openxmlformats.org/officeDocument/2006/relationships/hyperlink" Target="http://www.ajc.com/news/news/officer-involved-shooting-in-se-atlanta/ngYcr/" TargetMode="External"/><Relationship Id="rId611" Type="http://schemas.openxmlformats.org/officeDocument/2006/relationships/hyperlink" Target="http://www.nbcnewyork.com/news/local/Long-Island-Suffolk-County-Bay-Shore-Police-Involved-Shooting-Fatal-264868841.html" TargetMode="External"/><Relationship Id="rId612" Type="http://schemas.openxmlformats.org/officeDocument/2006/relationships/hyperlink" Target="http://www.wcyb.com/news/shooting-investigated-in-damascus/26694690" TargetMode="External"/><Relationship Id="rId613" Type="http://schemas.openxmlformats.org/officeDocument/2006/relationships/hyperlink" Target="http://www.nj.com/hudson/index.ssf/2014/06/authorities_release_identity_of_20-year-old_man_shot_by_police.html" TargetMode="External"/><Relationship Id="rId614" Type="http://schemas.openxmlformats.org/officeDocument/2006/relationships/hyperlink" Target="http://www.wusa9.com/story/news/local/upper-marlboro/2014/06/23/man-dies-in-prince-georges-county-jail/11267077/" TargetMode="External"/><Relationship Id="rId615" Type="http://schemas.openxmlformats.org/officeDocument/2006/relationships/hyperlink" Target="http://www.myfoxdfw.com/story/25833600/suspect-killed-in-garland-officer-involved-shooting" TargetMode="External"/><Relationship Id="rId616" Type="http://schemas.openxmlformats.org/officeDocument/2006/relationships/hyperlink" Target="http://blogs.seattletimes.com/today/2014/06/man-killed-by-port-orchard-police-identified/" TargetMode="External"/><Relationship Id="rId617" Type="http://schemas.openxmlformats.org/officeDocument/2006/relationships/hyperlink" Target="http://www.wsp.wa.gov/information/releases/2014_archive/mr061714.htm" TargetMode="External"/><Relationship Id="rId618" Type="http://schemas.openxmlformats.org/officeDocument/2006/relationships/hyperlink" Target="http://www.ky3.com/news/local/deadly-offiverinvolved-shooting-kills-cassville-man-officer-injured/21048998_26424836" TargetMode="External"/><Relationship Id="rId619" Type="http://schemas.openxmlformats.org/officeDocument/2006/relationships/hyperlink" Target="http://www.nbcnews.com/storyline/vegas-cop-killers/police-fatally-shot-las-vegas-gunman-jerad-miller-during-gunfight-n128546" TargetMode="External"/><Relationship Id="rId490" Type="http://schemas.openxmlformats.org/officeDocument/2006/relationships/hyperlink" Target="http://pickens.fetchyournews.com/archives/5043-UPDATED-Authorities-Confirm-Suspect-Has-Died,-Domestic-Call-Ends-in-Gun-Fire.html" TargetMode="External"/><Relationship Id="rId491" Type="http://schemas.openxmlformats.org/officeDocument/2006/relationships/hyperlink" Target="http://www.huffingtonpost.com/2014/12/24/antonio-martin-police-shooting_n_6376210.html" TargetMode="External"/><Relationship Id="rId492" Type="http://schemas.openxmlformats.org/officeDocument/2006/relationships/hyperlink" Target="http://www.valleynewslive.com/home/headlines/Man-Dead-in-Otter-Tail-Police-Chase-286635971.html" TargetMode="External"/><Relationship Id="rId493" Type="http://schemas.openxmlformats.org/officeDocument/2006/relationships/hyperlink" Target="http://www.doverpost.com/article/20141221/NEWS/141229971/13421/NEWS" TargetMode="External"/><Relationship Id="rId494" Type="http://schemas.openxmlformats.org/officeDocument/2006/relationships/hyperlink" Target="http://www.sacbee.com/news/local/crime/article4774815.html" TargetMode="External"/><Relationship Id="rId495" Type="http://schemas.openxmlformats.org/officeDocument/2006/relationships/hyperlink" Target="http://www.kpho.com/story/27660383/pd-phoenix-officer-involved-in-shooting" TargetMode="External"/><Relationship Id="rId496" Type="http://schemas.openxmlformats.org/officeDocument/2006/relationships/hyperlink" Target="http://www.wthr.com/story/27658447/police-pursuit-standoff-shuts-down-state-road-67-at-owen-morgan-county-line" TargetMode="External"/><Relationship Id="rId497" Type="http://schemas.openxmlformats.org/officeDocument/2006/relationships/hyperlink" Target="http://www.kirotv.com/news/news/deputy-involved-shooting-tacoma/njTnD/" TargetMode="External"/><Relationship Id="rId498" Type="http://schemas.openxmlformats.org/officeDocument/2006/relationships/hyperlink" Target="http://www.pnj.com/story/news/crime/2014/12/17/man-dies-two-weeks-tased/20545199/" TargetMode="External"/><Relationship Id="rId499" Type="http://schemas.openxmlformats.org/officeDocument/2006/relationships/hyperlink" Target="http://www.azcentral.com/story/news/local/phoenix/2014/12/17/phoenix-officer-shooting-teen-dies-abrk/20530475/" TargetMode="External"/><Relationship Id="rId1170" Type="http://schemas.openxmlformats.org/officeDocument/2006/relationships/hyperlink" Target="http://www.miamiherald.com/news/local/crime/article36802032.html" TargetMode="External"/><Relationship Id="rId1171" Type="http://schemas.openxmlformats.org/officeDocument/2006/relationships/hyperlink" Target="http://www.wrcbtv.com/story/30127734/suspect-dead-in-officer-involved-shooting-in-walker-county" TargetMode="External"/><Relationship Id="rId1172" Type="http://schemas.openxmlformats.org/officeDocument/2006/relationships/hyperlink" Target="http://abc7.com/news/woman-fatally-shot-by-lapd-in-south-los-angeles-identified/1006621/" TargetMode="External"/><Relationship Id="rId1173" Type="http://schemas.openxmlformats.org/officeDocument/2006/relationships/hyperlink" Target="http://www.dentonrc.com/local-news/local-news-headlines/20150928-ponder-officer-kills-man.ece" TargetMode="External"/><Relationship Id="rId1174" Type="http://schemas.openxmlformats.org/officeDocument/2006/relationships/hyperlink" Target="http://www.kob.com/article/stories/s3923423.shtml" TargetMode="External"/><Relationship Id="rId1175" Type="http://schemas.openxmlformats.org/officeDocument/2006/relationships/hyperlink" Target="http://theadvocate.com/news/acadiana/13551773-123/east-baton-rouge-deputies-investigating" TargetMode="External"/><Relationship Id="rId1176" Type="http://schemas.openxmlformats.org/officeDocument/2006/relationships/hyperlink" Target="http://wgntv.com/2015/09/26/man-killed-in-officer-involved-shooting-on-west-side/" TargetMode="External"/><Relationship Id="rId1177" Type="http://schemas.openxmlformats.org/officeDocument/2006/relationships/hyperlink" Target="http://www.wkyc.com/story/news/local/akron/2015/09/25/akron-police-shoot-kill-robbery-suspect/72829710/" TargetMode="External"/><Relationship Id="rId1178" Type="http://schemas.openxmlformats.org/officeDocument/2006/relationships/hyperlink" Target="http://www.wbir.com/story/news/2015/09/12/armed-suspect-shot-and-killed--kcso-swat-team/72174344/" TargetMode="External"/><Relationship Id="rId1179" Type="http://schemas.openxmlformats.org/officeDocument/2006/relationships/hyperlink" Target="http://www.denverpost.com/news/ci_28818708/robbery-suspect-shot-friday-by-broomfield-pd-died" TargetMode="External"/><Relationship Id="rId170" Type="http://schemas.openxmlformats.org/officeDocument/2006/relationships/hyperlink" Target="http://www.cincinnati.com/story/news/2015/06/19/trepierre-hummons-past/29018599/" TargetMode="External"/><Relationship Id="rId171" Type="http://schemas.openxmlformats.org/officeDocument/2006/relationships/hyperlink" Target="http://www.necn.com/news/new-england/Sister-Speaks-Out-About-Police-Involved-Shooting-308721631.html" TargetMode="External"/><Relationship Id="rId172" Type="http://schemas.openxmlformats.org/officeDocument/2006/relationships/hyperlink" Target="http://www.greeleytribune.com/news/16932384-113/weld-district-attorney-releases-names-of-man-woman" TargetMode="External"/><Relationship Id="rId173" Type="http://schemas.openxmlformats.org/officeDocument/2006/relationships/hyperlink" Target="http://www.nydailynews.com/new-york/suspect-shot-killed-cops-stabbing-officer-police-article-1.2262745" TargetMode="External"/><Relationship Id="rId174" Type="http://schemas.openxmlformats.org/officeDocument/2006/relationships/hyperlink" Target="http://www.grandforksherald.com/news/region/3770087-family-alleged-police-shooting-victim-speaks-out" TargetMode="External"/><Relationship Id="rId175" Type="http://schemas.openxmlformats.org/officeDocument/2006/relationships/hyperlink" Target="http://www.montgomeryadvertiser.com/story/news/local/progress/2015/06/18/sbi-investigate-officer-involved-shooting/28954689/" TargetMode="External"/><Relationship Id="rId176" Type="http://schemas.openxmlformats.org/officeDocument/2006/relationships/hyperlink" Target="http://www.kob.com/article/stories/s3831288.shtml" TargetMode="External"/><Relationship Id="rId177" Type="http://schemas.openxmlformats.org/officeDocument/2006/relationships/hyperlink" Target="http://www.wptv.com/news/region-indian-river-county/drug-related-death-investigated-in-indian-river-county" TargetMode="External"/><Relationship Id="rId178" Type="http://schemas.openxmlformats.org/officeDocument/2006/relationships/hyperlink" Target="http://newyork.cbslocal.com/2015/06/17/neptune-police-officer-shooting/" TargetMode="External"/><Relationship Id="rId179" Type="http://schemas.openxmlformats.org/officeDocument/2006/relationships/hyperlink" Target="http://abc30.com/news/visalia-police-shoot-and-kill-man-shortly-after-arriving-at-vacant-business-complex/789315/" TargetMode="External"/><Relationship Id="rId940" Type="http://schemas.openxmlformats.org/officeDocument/2006/relationships/hyperlink" Target="http://www.news-leader.com/story/news/crime/2015/11/26/man-killed-officer-involved-shooting/76409078/" TargetMode="External"/><Relationship Id="rId941" Type="http://schemas.openxmlformats.org/officeDocument/2006/relationships/hyperlink" Target="http://www.ky3.com/news/local/law-enforcement-work-standoff-near-ozarks-square/21048998_36658518" TargetMode="External"/><Relationship Id="rId942" Type="http://schemas.openxmlformats.org/officeDocument/2006/relationships/hyperlink" Target="http://www.wmicentral.com/officer-involved-shooting-in-eagar/article_3c603f82-9534-11e5-99b8-63c3ec52f2de.html" TargetMode="External"/><Relationship Id="rId943" Type="http://schemas.openxmlformats.org/officeDocument/2006/relationships/hyperlink" Target="http://philadelphia.cbslocal.com/2015/11/24/camden-county-prosecutor-investigating-fatal-shooting-involving-two-police-officers/" TargetMode="External"/><Relationship Id="rId944" Type="http://schemas.openxmlformats.org/officeDocument/2006/relationships/hyperlink" Target="http://minnesota.cbslocal.com/2015/11/24/reports-of-shots-fired-in-columbia-heights-police-say/" TargetMode="External"/><Relationship Id="rId945" Type="http://schemas.openxmlformats.org/officeDocument/2006/relationships/hyperlink" Target="http://lasvegas.cbslocal.com/2015/11/24/officer-involved-shooting-in-las-vegas/" TargetMode="External"/><Relationship Id="rId946" Type="http://schemas.openxmlformats.org/officeDocument/2006/relationships/hyperlink" Target="http://nbc4i.com/2015/11/23/3-people-reported-dead-after-reported-shooting-on-citys-west-side/" TargetMode="External"/><Relationship Id="rId947" Type="http://schemas.openxmlformats.org/officeDocument/2006/relationships/hyperlink" Target="http://www.kristv.com/story/30582358/concord-st-closed-off" TargetMode="External"/><Relationship Id="rId948" Type="http://schemas.openxmlformats.org/officeDocument/2006/relationships/hyperlink" Target="http://www.denverpost.com/news/ci_29154811/denver-police-fatally-shoot-gunman-during-standoff" TargetMode="External"/><Relationship Id="rId949" Type="http://schemas.openxmlformats.org/officeDocument/2006/relationships/hyperlink" Target="http://www.kolotv.com/home/headlines/Reno-Police-One-Person-Shot-on-Grove-St-352960401.html" TargetMode="External"/><Relationship Id="rId620" Type="http://schemas.openxmlformats.org/officeDocument/2006/relationships/hyperlink" Target="http://www.local8now.com/home/headlines/KPD-officer-shot-in-East-KNoxville-262228291.html" TargetMode="External"/><Relationship Id="rId621" Type="http://schemas.openxmlformats.org/officeDocument/2006/relationships/hyperlink" Target="http://www.wbaltv.com/news/police-investigate-mta-officerinvolved-shooting-at-cromwell-light-rail-station/26384134" TargetMode="External"/><Relationship Id="rId622" Type="http://schemas.openxmlformats.org/officeDocument/2006/relationships/hyperlink" Target="http://www.mlive.com/news/flint/index.ssf/2013/10/prosecutor_says_michigan_state.html" TargetMode="External"/><Relationship Id="rId623" Type="http://schemas.openxmlformats.org/officeDocument/2006/relationships/hyperlink" Target="http://www.firstcoastnews.com/story/news/local/2014/06/04/westside-jso-officer-involved-shooting/9985499/" TargetMode="External"/><Relationship Id="rId624" Type="http://schemas.openxmlformats.org/officeDocument/2006/relationships/hyperlink" Target="http://rapidcityjournal.com/news/local/police-rapid-city-man-shot-and-killed-by-officer-had/article_262374b9-bd2f-569a-9635-2170734ac0d0.html" TargetMode="External"/><Relationship Id="rId625" Type="http://schemas.openxmlformats.org/officeDocument/2006/relationships/hyperlink" Target="http://6abc.com/news/officer-released-from-hospital-suspect-dead-in-chester/89060/" TargetMode="External"/><Relationship Id="rId626" Type="http://schemas.openxmlformats.org/officeDocument/2006/relationships/hyperlink" Target="http://www.hickoryrecord.com/news/hickory-police-man-killed-in-officer-involved-shooting/article_701d15ba-ea50-11e3-ad29-001a4bcf6878.html" TargetMode="External"/><Relationship Id="rId627" Type="http://schemas.openxmlformats.org/officeDocument/2006/relationships/hyperlink" Target="http://www.wyff4.com/news/dispatchers-deputyinvolved-shooting-under-investigation-at-gas-station/26282954" TargetMode="External"/><Relationship Id="rId628" Type="http://schemas.openxmlformats.org/officeDocument/2006/relationships/hyperlink" Target="http://www.kake.com/home/headlines/Officer-involved-shooting-reported-south-of-Dexter-in-Cowley-County-261401221.html" TargetMode="External"/><Relationship Id="rId629" Type="http://schemas.openxmlformats.org/officeDocument/2006/relationships/hyperlink" Target="http://patersontimes.com/2014/05/31/armed-city-man-killed-by-city-detective-on-montgomery-street/" TargetMode="External"/><Relationship Id="rId1300" Type="http://schemas.openxmlformats.org/officeDocument/2006/relationships/hyperlink" Target="http://www.fresnobee.com/news/local/crime/article40741638.html" TargetMode="External"/><Relationship Id="rId1301" Type="http://schemas.openxmlformats.org/officeDocument/2006/relationships/hyperlink" Target="http://www.mlive.com/news/grand-rapids/index.ssf/2015/10/man_shot_dead_by_kentwood_poli.html" TargetMode="External"/><Relationship Id="rId1302" Type="http://schemas.openxmlformats.org/officeDocument/2006/relationships/hyperlink" Target="http://www.sacbee.com/news/local/crime/article41204820.html" TargetMode="External"/><Relationship Id="rId1303" Type="http://schemas.openxmlformats.org/officeDocument/2006/relationships/hyperlink" Target="http://www.shreveporttimes.com/story/news/2015/10/22/police-man-knife-shot-officer/74382544/" TargetMode="External"/><Relationship Id="rId1304" Type="http://schemas.openxmlformats.org/officeDocument/2006/relationships/hyperlink" Target="http://www.wkyt.com/wymt/home/headlines/Kentucky-State-Police-involved-in-fatal-shooting-in-Knott-County--336397431.html?device=tablet&amp;c=y" TargetMode="External"/><Relationship Id="rId1305" Type="http://schemas.openxmlformats.org/officeDocument/2006/relationships/hyperlink" Target="http://www.jsonline.com/news/crime/shotgun-wielding-man-shot-by-kenosha-county-deputy-has-died-b99603068z1-336891891.html" TargetMode="External"/><Relationship Id="rId1306" Type="http://schemas.openxmlformats.org/officeDocument/2006/relationships/hyperlink" Target="http://www.desertsun.com/story/news/crime_courts/2015/10/25/cathedral-city-officer-shooting/74582286/" TargetMode="External"/><Relationship Id="rId1307" Type="http://schemas.openxmlformats.org/officeDocument/2006/relationships/hyperlink" Target="http://www.adn.com/article/20151025/man-shot-killed-confrontation-trooper-kenai-peninsula" TargetMode="External"/><Relationship Id="rId1308" Type="http://schemas.openxmlformats.org/officeDocument/2006/relationships/hyperlink" Target="http://www.winknews.com/2015/10/26/cape-pd-identifies-suspect-in-deadly-weekend-shooting/" TargetMode="External"/><Relationship Id="rId1309" Type="http://schemas.openxmlformats.org/officeDocument/2006/relationships/hyperlink" Target="http://www.fredericknewspost.com/news/crime_and_justice/cops_and_crime/maryland-state-trooper-involved-in-shooting-at-east-patrick-street/article_f815b31a-5e20-5a00-9136-c0a71d2c7be7.html" TargetMode="External"/><Relationship Id="rId300" Type="http://schemas.openxmlformats.org/officeDocument/2006/relationships/hyperlink" Target="http://www.chicagotribune.com/news/local/breaking/ct-officials-robbery-suspect-shot-dead-after-opening-fire-on-cops-20150517-story.html" TargetMode="External"/><Relationship Id="rId301" Type="http://schemas.openxmlformats.org/officeDocument/2006/relationships/hyperlink" Target="http://www.utsandiego.com/news/2015/may/17/sdpd-ois-officer-shot-kearny-mesa-hospital/" TargetMode="External"/><Relationship Id="rId302" Type="http://schemas.openxmlformats.org/officeDocument/2006/relationships/hyperlink" Target="http://www.baynews9.com/content/news/baynews9/news/article.html/content/news/articles/bn9/2015/5/17/st_pete_officer_shot.html" TargetMode="External"/><Relationship Id="rId303" Type="http://schemas.openxmlformats.org/officeDocument/2006/relationships/hyperlink" Target="http://www.kob.com/article/stories/s3798987.shtml" TargetMode="External"/><Relationship Id="rId304" Type="http://schemas.openxmlformats.org/officeDocument/2006/relationships/hyperlink" Target="http://www.kcra.com/news/local-news/news-sacramento/sacramento-police-investigating-officerinvolved-shooting/33053756" TargetMode="External"/><Relationship Id="rId305" Type="http://schemas.openxmlformats.org/officeDocument/2006/relationships/hyperlink" Target="http://www.nydailynews.com/new-york/bronx-man-died-custody-drinking-sources-article-1.2224115" TargetMode="External"/><Relationship Id="rId306" Type="http://schemas.openxmlformats.org/officeDocument/2006/relationships/hyperlink" Target="http://www.wrex.com/story/29079166/2015/05/15/officer-involved-shooting-in-rockford" TargetMode="External"/><Relationship Id="rId307" Type="http://schemas.openxmlformats.org/officeDocument/2006/relationships/hyperlink" Target="http://www.mlive.com/news/kalamazoo/index.ssf/2015/05/police_kill_1_man_injure_anoth.html" TargetMode="External"/><Relationship Id="rId308" Type="http://schemas.openxmlformats.org/officeDocument/2006/relationships/hyperlink" Target="http://www.spokesman.com/stories/2015/may/13/jail-inmate-dies-shortly-after-arrest/" TargetMode="External"/><Relationship Id="rId309" Type="http://schemas.openxmlformats.org/officeDocument/2006/relationships/hyperlink" Target="http://jacksonville.com/news/crime/2015-05-12/story/suspect-dead-police-involved-shooting-westside-jacksonville-apartment" TargetMode="External"/><Relationship Id="rId1180" Type="http://schemas.openxmlformats.org/officeDocument/2006/relationships/hyperlink" Target="http://www.recordnet.com/article/20150910/NEWS/150919974" TargetMode="External"/><Relationship Id="rId1181" Type="http://schemas.openxmlformats.org/officeDocument/2006/relationships/hyperlink" Target="http://fox59.com/2015/09/10/officer-shot-in-hand-on-northwest-side/" TargetMode="External"/><Relationship Id="rId1182" Type="http://schemas.openxmlformats.org/officeDocument/2006/relationships/hyperlink" Target="http://ktla.com/2015/09/11/suspected-carjacker-fatally-shot-by-deputies-after-taking-hostages-at-downey-restaurant-authorities/" TargetMode="External"/><Relationship Id="rId1183" Type="http://schemas.openxmlformats.org/officeDocument/2006/relationships/hyperlink" Target="http://www.syracuse.com/state/index.ssf/2015/09/police_id_clarkson_students_who_died_in_stabbing_officer-involved_shooting.html?hootPostID=0d0dfea04a7259e481e5dcbb19168d52" TargetMode="External"/><Relationship Id="rId1184" Type="http://schemas.openxmlformats.org/officeDocument/2006/relationships/hyperlink" Target="http://fox11online.com/news/local/green-bay/ashwaubenon-police-release-identity-of-armed-robbery-suspect" TargetMode="External"/><Relationship Id="rId1185" Type="http://schemas.openxmlformats.org/officeDocument/2006/relationships/hyperlink" Target="http://www.adn.com/article/20150910/troopers-identify-man-killed-shootout-police-fairbanks" TargetMode="External"/><Relationship Id="rId1186" Type="http://schemas.openxmlformats.org/officeDocument/2006/relationships/hyperlink" Target="http://www.sgvtribune.com/general-news/20150910/second-victim-in-el-monte-attack-dies-after-being-set-on-fire" TargetMode="External"/><Relationship Id="rId1187" Type="http://schemas.openxmlformats.org/officeDocument/2006/relationships/hyperlink" Target="http://www.ohio.com/news/break-news/springfield-township-man-dies-after-confrontation-with-police-involving-taser-1.624097" TargetMode="External"/><Relationship Id="rId1188" Type="http://schemas.openxmlformats.org/officeDocument/2006/relationships/hyperlink" Target="http://www.ktuu.com/news/news/troopers-named-in-fairbanks-shooting-of-man-driving-stolen-vehicle/35223554" TargetMode="External"/><Relationship Id="rId1189" Type="http://schemas.openxmlformats.org/officeDocument/2006/relationships/hyperlink" Target="http://www.fresnobee.com/news/local/crime/article34390473.html" TargetMode="External"/><Relationship Id="rId180" Type="http://schemas.openxmlformats.org/officeDocument/2006/relationships/hyperlink" Target="http://www.kcra.com/image/view/-/33606430/medRes/1/-/maxh/460/maxw/620/-/xldfqjz/-/Kris-Jackson-061615-jpg.jpg" TargetMode="External"/><Relationship Id="rId181" Type="http://schemas.openxmlformats.org/officeDocument/2006/relationships/hyperlink" Target="https://tribfox40.files.wordpress.com/2015/06/kenneth-garcia.jpg" TargetMode="External"/><Relationship Id="rId182" Type="http://schemas.openxmlformats.org/officeDocument/2006/relationships/hyperlink" Target="http://www.kcra.com/news/local-news/news-stockton/stockton-police-investigate-officerinvolved-shooting-1-suspect-dead/33578792" TargetMode="External"/><Relationship Id="rId183" Type="http://schemas.openxmlformats.org/officeDocument/2006/relationships/hyperlink" Target="http://media.cmgdigital.com/shared/img/photos/2015/06/15/08/8a/Zane_Terryn.jpg" TargetMode="External"/><Relationship Id="rId184" Type="http://schemas.openxmlformats.org/officeDocument/2006/relationships/hyperlink" Target="http://www.wftv.com/news/news/local/trooper-teens-idd-brevard-county-shooting/nmdGr/" TargetMode="External"/><Relationship Id="rId185" Type="http://schemas.openxmlformats.org/officeDocument/2006/relationships/hyperlink" Target="http://whns.images.worldnow.com/images/8077680_G.jpg" TargetMode="External"/><Relationship Id="rId186" Type="http://schemas.openxmlformats.org/officeDocument/2006/relationships/hyperlink" Target="http://www.greenvilleonline.com/story/news/local/2015/06/14/moped-driver-killed-crash-greenville-county-deputy/71207792/" TargetMode="External"/><Relationship Id="rId187" Type="http://schemas.openxmlformats.org/officeDocument/2006/relationships/hyperlink" Target="http://www.gannett-cdn.com/-mm-/4a6db3c9477f4109c4cdeac9a88f4baf6e2f228c/c=0-5-305-412&amp;r=537&amp;c=0-0-534-712/local/-/media/2015/06/15/Louisville/B9317735012Z.1_20150615164435_000_GG6B398IT.1-0.jpg" TargetMode="External"/><Relationship Id="rId188" Type="http://schemas.openxmlformats.org/officeDocument/2006/relationships/hyperlink" Target="http://www.washingtonpost.com/news/morning-mix/wp/2015/06/14/new-video-shows-kentucky-police-officer-killing-flagpole-wielding-man/" TargetMode="External"/><Relationship Id="rId189" Type="http://schemas.openxmlformats.org/officeDocument/2006/relationships/hyperlink" Target="https://5f0ad1906cfcc43aa1e6-196c176a9165c4fb91294bcccfeafde1.ssl.cf1.rackcdn.com/b383b173-9988-4244-8538-f5128397eb44_profile.jpg" TargetMode="External"/><Relationship Id="rId950" Type="http://schemas.openxmlformats.org/officeDocument/2006/relationships/hyperlink" Target="http://www.kxii.com/home/headlines/New-details-released-in-officer-involved-shooting-in-Colbert-352955771.html" TargetMode="External"/><Relationship Id="rId951" Type="http://schemas.openxmlformats.org/officeDocument/2006/relationships/hyperlink" Target="http://www.pe.com/articles/report-787263-suspect-officers.html" TargetMode="External"/><Relationship Id="rId952" Type="http://schemas.openxmlformats.org/officeDocument/2006/relationships/hyperlink" Target="http://www.ajc.com/news/news/local/coweta-man-dies-after-being-tasered-by-deputies/npSZB/" TargetMode="External"/><Relationship Id="rId953" Type="http://schemas.openxmlformats.org/officeDocument/2006/relationships/hyperlink" Target="http://ktla.com/2015/11/20/fontana-officer-fatally-shoots-allegedly-armed-man/" TargetMode="External"/><Relationship Id="rId954" Type="http://schemas.openxmlformats.org/officeDocument/2006/relationships/hyperlink" Target="http://www.wsbtv.com/news/news/local/gbi-investigates-deadly-officer-involved-shooting-/npR4n/" TargetMode="External"/><Relationship Id="rId955" Type="http://schemas.openxmlformats.org/officeDocument/2006/relationships/hyperlink" Target="http://www.pressofatlanticcity.com/news/police-shoot-kill-man-in-little-egg-harbor-township/article_a155067e-8d51-11e5-820c-8f51f462e0d1.html" TargetMode="External"/><Relationship Id="rId956" Type="http://schemas.openxmlformats.org/officeDocument/2006/relationships/hyperlink" Target="http://www.walb.com/story/30540752/gbi-one-dead-in-officer-involved-shooting" TargetMode="External"/><Relationship Id="rId957" Type="http://schemas.openxmlformats.org/officeDocument/2006/relationships/hyperlink" Target="http://www.wfaa.com/story/news/crime/2015/11/17/weatherford-officer-fatally-shoots-man-in-patrol-vehicle/75931948/" TargetMode="External"/><Relationship Id="rId958" Type="http://schemas.openxmlformats.org/officeDocument/2006/relationships/hyperlink" Target="http://www.nbcmontana.com/news/beaverhead-co-sheriffs-office-says-dillon-man-dies-after-officerinvolved-shooting/36485584" TargetMode="External"/><Relationship Id="rId959" Type="http://schemas.openxmlformats.org/officeDocument/2006/relationships/hyperlink" Target="http://www.wdef.com/news/story/Whitfield-Deputy-Fatally-Shoots-Suspect-After-Car/2cVdW_rl30uLVjQAHyWeKw.cspx" TargetMode="External"/><Relationship Id="rId630" Type="http://schemas.openxmlformats.org/officeDocument/2006/relationships/hyperlink" Target="http://www.tricities.com/news/article_0ec2ddf4-e749-11e3-a6a8-0017a43b2370.html" TargetMode="External"/><Relationship Id="rId631" Type="http://schemas.openxmlformats.org/officeDocument/2006/relationships/hyperlink" Target="http://www.daytondailynews.com/news/news/crime-law/police-involved-shooting-reported-udf-dayton/nf7f7/?__federated=1" TargetMode="External"/><Relationship Id="rId632" Type="http://schemas.openxmlformats.org/officeDocument/2006/relationships/hyperlink" Target="http://www.bakersfieldnow.com/news/local/1-shot-killed-by-KC-deputy-in-Lebec-260562651.html" TargetMode="External"/><Relationship Id="rId633" Type="http://schemas.openxmlformats.org/officeDocument/2006/relationships/hyperlink" Target="https://www.facebook.com/curtise.welford" TargetMode="External"/><Relationship Id="rId634" Type="http://schemas.openxmlformats.org/officeDocument/2006/relationships/hyperlink" Target="http://www.expressnews.com/news/local/article/Officer-shoots-kills-woman-who-police-said-5490353.php" TargetMode="External"/><Relationship Id="rId635" Type="http://schemas.openxmlformats.org/officeDocument/2006/relationships/hyperlink" Target="http://nrvnews.com/wp-content/uploads/2014/05/saunders_thomas_neil.jpg" TargetMode="External"/><Relationship Id="rId636" Type="http://schemas.openxmlformats.org/officeDocument/2006/relationships/hyperlink" Target="http://www.wdbj7.com/news/local/developing-story-officerinvolved-shooting-in-giles-county/26045058" TargetMode="External"/><Relationship Id="rId637" Type="http://schemas.openxmlformats.org/officeDocument/2006/relationships/hyperlink" Target="http://www.kansascity.com/2014/05/20/5035276/kck-standoff-suspect-killed-by.html" TargetMode="External"/><Relationship Id="rId638" Type="http://schemas.openxmlformats.org/officeDocument/2006/relationships/hyperlink" Target="http://www.nbcnewyork.com/news/local/NYPD-Shooting-FDR-Drive-96-Street-259556971.html" TargetMode="External"/><Relationship Id="rId639" Type="http://schemas.openxmlformats.org/officeDocument/2006/relationships/hyperlink" Target="http://www.mercurynews.com/my-town/ci_25773669/concord-police-shoot-kill-suspect-thursday-evening" TargetMode="External"/><Relationship Id="rId1310" Type="http://schemas.openxmlformats.org/officeDocument/2006/relationships/hyperlink" Target="http://www.tampabay.com/news/publicsafety/crime/one-suspect-shot-two-in-custody-and-tampa-police-hunting-for-a-fourth/2251265" TargetMode="External"/><Relationship Id="rId1311" Type="http://schemas.openxmlformats.org/officeDocument/2006/relationships/hyperlink" Target="http://www.wtoc.com/story/30372168/gbi-releases-new-details-on-officer-involved-shooting-in-savannah" TargetMode="External"/><Relationship Id="rId1312" Type="http://schemas.openxmlformats.org/officeDocument/2006/relationships/hyperlink" Target="http://www.clarionledger.com/story/news/2015/10/28/fatal-deputy-involved-shooting-monroe-county/74730994/" TargetMode="External"/><Relationship Id="rId1313" Type="http://schemas.openxmlformats.org/officeDocument/2006/relationships/hyperlink" Target="http://www.dispatch.com/content/stories/local/2015/10/29/Officer-involved-shooting.html" TargetMode="External"/><Relationship Id="rId1314" Type="http://schemas.openxmlformats.org/officeDocument/2006/relationships/hyperlink" Target="http://www.gainesville.com/article/20151030/ARTICLES/151039969?tc=ar" TargetMode="External"/><Relationship Id="rId1315" Type="http://schemas.openxmlformats.org/officeDocument/2006/relationships/hyperlink" Target="http://www.nbcnews.com/news/us-news/fugitive-rapist-floyd-ray-cook-shot-killed-kentucky-police-n454186" TargetMode="External"/><Relationship Id="rId1316" Type="http://schemas.openxmlformats.org/officeDocument/2006/relationships/hyperlink" Target="http://crimeblog.dallasnews.com/2015/10/gunman-killed-by-police-after-overnight-chase-standoff-in-mesquite.html/" TargetMode="External"/><Relationship Id="rId1317" Type="http://schemas.openxmlformats.org/officeDocument/2006/relationships/hyperlink" Target="http://www.denverpost.com/news/ci_29052366/shooting-reported-near-downtown-colorado-springs" TargetMode="External"/><Relationship Id="rId1318" Type="http://schemas.openxmlformats.org/officeDocument/2006/relationships/hyperlink" Target="http://www.wsmv.com/story/30397967/father-of-officer-shooting-suspect-speaks-out" TargetMode="External"/><Relationship Id="rId1319" Type="http://schemas.openxmlformats.org/officeDocument/2006/relationships/hyperlink" Target="http://www.heraldstandard.com/news/hsnewsnow/woman-injured-in-bute-road-police-pursuit-has-died/article_d2b0eb60-ca0c-5a25-9600-76e7263fa5db.html" TargetMode="External"/><Relationship Id="rId310" Type="http://schemas.openxmlformats.org/officeDocument/2006/relationships/hyperlink" Target="http://wtop.com/montgomery-county/2015/05/death-of-man-after-police-tasing-investigated-in-montgomery-county/" TargetMode="External"/><Relationship Id="rId311" Type="http://schemas.openxmlformats.org/officeDocument/2006/relationships/hyperlink" Target="http://www.staradvertiser.com/news/breaking/20150512_Man_fatally_shot_at_Chinatown_Gateway_Plaza.html?id=303517261" TargetMode="External"/><Relationship Id="rId312" Type="http://schemas.openxmlformats.org/officeDocument/2006/relationships/hyperlink" Target="http://www.ocregister.com/articles/santa-661469-involved-margarita.html" TargetMode="External"/><Relationship Id="rId313" Type="http://schemas.openxmlformats.org/officeDocument/2006/relationships/hyperlink" Target="http://www.nbcwashington.com/news/local/Prince-Georges-County-Sheriffs-Deputy-Involved-in-Fatal-Shooting-303283731.html" TargetMode="External"/><Relationship Id="rId314" Type="http://schemas.openxmlformats.org/officeDocument/2006/relationships/hyperlink" Target="http://www.wfaa.com/story/news/crime/2015/05/11/fort-worth-police-report-officer-involved-shooting/27141917/" TargetMode="External"/><Relationship Id="rId315" Type="http://schemas.openxmlformats.org/officeDocument/2006/relationships/hyperlink" Target="http://www.kpho.com/story/29033947/man-dead-after-officer-involved-shooting-in-kearny" TargetMode="External"/><Relationship Id="rId316" Type="http://schemas.openxmlformats.org/officeDocument/2006/relationships/hyperlink" Target="http://www.news4jax.com/news/st-johns-county-investiges-deputy-involved-shooting/32947972" TargetMode="External"/><Relationship Id="rId317" Type="http://schemas.openxmlformats.org/officeDocument/2006/relationships/hyperlink" Target="http://www.wral.com/man-dies-while-in-police-custody-in-enfield/14637653/" TargetMode="External"/><Relationship Id="rId318" Type="http://schemas.openxmlformats.org/officeDocument/2006/relationships/hyperlink" Target="http://www.kirotv.com/news/news/tacoma-police-shoot-and-kill-armed-man-outside-his/nmDNM/" TargetMode="External"/><Relationship Id="rId319" Type="http://schemas.openxmlformats.org/officeDocument/2006/relationships/hyperlink" Target="http://www.kare11.com/story/news/2015/05/09/694-shut-down-man-dies-in-officer-involved-shooting/27034515/" TargetMode="External"/><Relationship Id="rId1190" Type="http://schemas.openxmlformats.org/officeDocument/2006/relationships/hyperlink" Target="http://www.wxyz.com/news/region/detroit/lathrup-village-police-officer-allegedly-kills-man-during-fight-on-detroits-west-side" TargetMode="External"/><Relationship Id="rId1191" Type="http://schemas.openxmlformats.org/officeDocument/2006/relationships/hyperlink" Target="http://archive.currentargus.com/carlsbad-news/ci_28783767/man-shot-and-killed-by-hobbs-police-was" TargetMode="External"/><Relationship Id="rId1192" Type="http://schemas.openxmlformats.org/officeDocument/2006/relationships/hyperlink" Target="http://www.local10.com/news/man-shot-and-killed-by-miami-police-after-domestic-violence-incident/35139464" TargetMode="External"/><Relationship Id="rId1193" Type="http://schemas.openxmlformats.org/officeDocument/2006/relationships/hyperlink" Target="http://www.ktbs.com/story/29975939/update-police-pursuit-ends-in-death-of-mentally-ill-suspect" TargetMode="External"/><Relationship Id="rId1194" Type="http://schemas.openxmlformats.org/officeDocument/2006/relationships/hyperlink" Target="http://www.providencejournal.com/article/20150907/NEWS/150909454" TargetMode="External"/><Relationship Id="rId1195" Type="http://schemas.openxmlformats.org/officeDocument/2006/relationships/hyperlink" Target="https://www.washingtonpost.com/local/with-6-month-old-baby-in-car-both-parents-killed-by-virginia-beach-police/2015/09/08/2e64a83c-565a-11e5-8bb1-b488d231bba2_story.html" TargetMode="External"/><Relationship Id="rId1196" Type="http://schemas.openxmlformats.org/officeDocument/2006/relationships/hyperlink" Target="https://www.washingtonpost.com/local/with-6-month-old-baby-in-car-both-parents-killed-by-virginia-beach-police/2015/09/08/2e64a83c-565a-11e5-8bb1-b488d231bba2_story.html" TargetMode="External"/><Relationship Id="rId1197" Type="http://schemas.openxmlformats.org/officeDocument/2006/relationships/hyperlink" Target="http://abc11.com/news/armed-man-killed-after-police-standoff-in-durham/971330/" TargetMode="External"/><Relationship Id="rId1198" Type="http://schemas.openxmlformats.org/officeDocument/2006/relationships/hyperlink" Target="http://www.latimes.com/local/lanow/la-me-ln-in-custody-death-long-beach-20150906-story.html" TargetMode="External"/><Relationship Id="rId1199" Type="http://schemas.openxmlformats.org/officeDocument/2006/relationships/hyperlink" Target="http://www.mitchellrepublic.com/news/local/3832217-authorities-mitchell-man-fatally-shot-own-gun-police-officer" TargetMode="External"/><Relationship Id="rId190" Type="http://schemas.openxmlformats.org/officeDocument/2006/relationships/hyperlink" Target="http://www.wrdw.com/home/headlines/Shooting-on-Coulter-Drive-in-North-Augusta-307293011.html" TargetMode="External"/><Relationship Id="rId191" Type="http://schemas.openxmlformats.org/officeDocument/2006/relationships/hyperlink" Target="http://media.cmgdigital.com/shared/img/photos/2015/07/01/63/fb/jimmy_payne_alteredREV2.jpg" TargetMode="External"/><Relationship Id="rId192" Type="http://schemas.openxmlformats.org/officeDocument/2006/relationships/hyperlink" Target="http://www.whio.com/news/news/officer-on-leave-during-crash-investigation/nmjmX/" TargetMode="External"/><Relationship Id="rId193" Type="http://schemas.openxmlformats.org/officeDocument/2006/relationships/hyperlink" Target="http://www.dallasnews.com/incoming/20150613-james-lance-boulware-1-.jpg.ece/BINARY/James-Lance-Boulware+%281%29.jpg" TargetMode="External"/><Relationship Id="rId194" Type="http://schemas.openxmlformats.org/officeDocument/2006/relationships/hyperlink" Target="http://www.dallasnews.com/news/local-news/20150613-report-of-shots-fired-near-dallas-police-headquarters-prompts-chase.ece" TargetMode="External"/><Relationship Id="rId195" Type="http://schemas.openxmlformats.org/officeDocument/2006/relationships/hyperlink" Target="http://assets.mediaspanonline.com/prod/11889528/7206529_h400.jpg" TargetMode="External"/><Relationship Id="rId196" Type="http://schemas.openxmlformats.org/officeDocument/2006/relationships/hyperlink" Target="http://wane.com/2015/06/15/coroner-releases-identity-of-man-shot-by-officer/" TargetMode="External"/><Relationship Id="rId197" Type="http://schemas.openxmlformats.org/officeDocument/2006/relationships/hyperlink" Target="http://bloximages.chicago2.vip.townnews.com/kokomotribune.com/content/tncms/assets/v3/editorial/7/fc/7fcd4704-6af4-59a9-8f7e-42671ea7d7cd/557df996651c8.image.jpg?resize=300%2C400" TargetMode="External"/><Relationship Id="rId198" Type="http://schemas.openxmlformats.org/officeDocument/2006/relationships/hyperlink" Target="http://www.kokomotribune.com/news/update-name-of-officer-involved-in-shooting-released/article_fac3c076-121b-11e5-91a2-63f77d795bb0.html" TargetMode="External"/><Relationship Id="rId199" Type="http://schemas.openxmlformats.org/officeDocument/2006/relationships/hyperlink" Target="http://wvns.images.worldnow.com/images/8063652_G.jpg" TargetMode="External"/><Relationship Id="rId960" Type="http://schemas.openxmlformats.org/officeDocument/2006/relationships/hyperlink" Target="http://6abc.com/news/police-off-duty-pha-officer-shot-killed-robbery-suspect-/1085987/" TargetMode="External"/><Relationship Id="rId961" Type="http://schemas.openxmlformats.org/officeDocument/2006/relationships/hyperlink" Target="http://www.wral.com/one-dead-in-officer-involved-shooting-in-harnett-county/15110806/" TargetMode="External"/><Relationship Id="rId962" Type="http://schemas.openxmlformats.org/officeDocument/2006/relationships/hyperlink" Target="http://www.pe.com/articles/riverside-786361-area-deputies.html" TargetMode="External"/><Relationship Id="rId963" Type="http://schemas.openxmlformats.org/officeDocument/2006/relationships/hyperlink" Target="http://www.jacksonsun.com/story/news/crime/2015/11/14/tbi-investigating-officer-involved-shooting-trenton/75775108/" TargetMode="External"/><Relationship Id="rId964" Type="http://schemas.openxmlformats.org/officeDocument/2006/relationships/hyperlink" Target="http://www.pe.com/articles/responding-786289-involved-sheriff.html" TargetMode="External"/><Relationship Id="rId965" Type="http://schemas.openxmlformats.org/officeDocument/2006/relationships/hyperlink" Target="http://www.wjcl.com/news/local-news/effingham-co-sheriff-deputy-shot-suspect-killed-after-deputy-involved-shooting/94554359/story" TargetMode="External"/><Relationship Id="rId966" Type="http://schemas.openxmlformats.org/officeDocument/2006/relationships/hyperlink" Target="http://www.mercurynews.com/bay-area-news/ci_29109035/sunnyvale-police-shoot-armed-male-at-apartment-complex" TargetMode="External"/><Relationship Id="rId967" Type="http://schemas.openxmlformats.org/officeDocument/2006/relationships/hyperlink" Target="http://www.live5news.com/story/30496764/sled-investigating-deputy-involved-shooting-in-aiken" TargetMode="External"/><Relationship Id="rId968" Type="http://schemas.openxmlformats.org/officeDocument/2006/relationships/hyperlink" Target="http://sanfrancisco.cbslocal.com/2015/11/11/reports-of-gunman-on-construction-site-near-san-francisco-hospital/" TargetMode="External"/><Relationship Id="rId969" Type="http://schemas.openxmlformats.org/officeDocument/2006/relationships/hyperlink" Target="http://www.abqjournal.com/673935/abqnewsseeker/bcso-investigates-south-valley-shooting.html" TargetMode="External"/><Relationship Id="rId640" Type="http://schemas.openxmlformats.org/officeDocument/2006/relationships/hyperlink" Target="http://www.houstontx.gov/police/nr/2014/may/nr051314-3.htm" TargetMode="External"/><Relationship Id="rId641" Type="http://schemas.openxmlformats.org/officeDocument/2006/relationships/hyperlink" Target="http://www.dcclothesline.com/2014/05/19/veteran-stopped-front-license-plate-beat-death-5-cops/" TargetMode="External"/><Relationship Id="rId642" Type="http://schemas.openxmlformats.org/officeDocument/2006/relationships/hyperlink" Target="http://www.suntimes.com/27377311-761/armed-man-shot-by-police-on-west-side-dies.html" TargetMode="External"/><Relationship Id="rId643" Type="http://schemas.openxmlformats.org/officeDocument/2006/relationships/hyperlink" Target="http://www.10tv.com/content/stories/2014/05/10/columbus-jonathan-drive-officer-involved-shooting.html" TargetMode="External"/><Relationship Id="rId644" Type="http://schemas.openxmlformats.org/officeDocument/2006/relationships/hyperlink" Target="http://www.nbclosangeles.com/news/local/Man-Killed-in-Fatal-Officer-Involved-Shooting-in-Ontario-258815701.html" TargetMode="External"/><Relationship Id="rId645" Type="http://schemas.openxmlformats.org/officeDocument/2006/relationships/hyperlink" Target="http://www.statesmanjournal.com/story/news/crime/2014/05/19/grand-jury-officer-justified-shooting-killing-armed-suspect/9307783/" TargetMode="External"/><Relationship Id="rId646" Type="http://schemas.openxmlformats.org/officeDocument/2006/relationships/hyperlink" Target="http://www.mlive.com/news/grand-rapids/index.ssf/2014/05/two_troopers_one_deputy_on_lea.html" TargetMode="External"/><Relationship Id="rId647" Type="http://schemas.openxmlformats.org/officeDocument/2006/relationships/hyperlink" Target="http://www.nydailynews.com/news/national/fired-fatally-shot-93-year-old-woman-rips-knee-jerk-reaction-article-1.1789207" TargetMode="External"/><Relationship Id="rId648" Type="http://schemas.openxmlformats.org/officeDocument/2006/relationships/hyperlink" Target="http://www.ksla.com/story/25422732/shreveport-police-confirm-man-who-fought-officers-has-died?clienttype=generic&amp;mobilecgbypass&amp;utm_content=buffer598c5&amp;utm_medium=social&amp;utm_source=twitter.com&amp;utm_campaign=buffer" TargetMode="External"/><Relationship Id="rId649" Type="http://schemas.openxmlformats.org/officeDocument/2006/relationships/hyperlink" Target="http://m.union-bulletin.com/news/2014/apr/29/update-investigation-continues-athena-mans-fatal-s/?templates=mobile" TargetMode="External"/><Relationship Id="rId1320" Type="http://schemas.openxmlformats.org/officeDocument/2006/relationships/hyperlink" Target="http://extras.mnginteractive.com/live/media/site568/2015/0903/20150903__bettertyree~1_200.JPG" TargetMode="External"/><Relationship Id="rId1321" Type="http://schemas.openxmlformats.org/officeDocument/2006/relationships/hyperlink" Target="http://www.mercurynews.com/bay-area-news/ci_28758811/san-jose-jail-death-new-details-from-inmates" TargetMode="External"/><Relationship Id="rId1322" Type="http://schemas.openxmlformats.org/officeDocument/2006/relationships/hyperlink" Target="http://www.killedbypolice.net/victims/150755.jpg" TargetMode="External"/><Relationship Id="rId1323" Type="http://schemas.openxmlformats.org/officeDocument/2006/relationships/hyperlink" Target="https://djournal.com/news/man-dies-after-police-chase-2/" TargetMode="External"/><Relationship Id="rId1324" Type="http://schemas.openxmlformats.org/officeDocument/2006/relationships/hyperlink" Target="http://www.killedbypolice.net/victims/150896.jpg" TargetMode="External"/><Relationship Id="rId1325" Type="http://schemas.openxmlformats.org/officeDocument/2006/relationships/hyperlink" Target="http://www.kristv.com/story/30147782/texas-rangers-investigating-aransas-co-death" TargetMode="External"/><Relationship Id="rId1326" Type="http://schemas.openxmlformats.org/officeDocument/2006/relationships/hyperlink" Target="http://www.mercurynews.com/crime-courts/ci_28894656/san-jose-latest-inmate-jail-death-sparks-internal" TargetMode="External"/><Relationship Id="rId1327" Type="http://schemas.openxmlformats.org/officeDocument/2006/relationships/hyperlink" Target="http://www.fresnobee.com/news/local/crime/article37140321.html" TargetMode="External"/><Relationship Id="rId1328" Type="http://schemas.openxmlformats.org/officeDocument/2006/relationships/hyperlink" Target="http://www.redding.com/news/local-news/happy-valley-road-closing-in-search-for-armed-suspect" TargetMode="External"/><Relationship Id="rId1329" Type="http://schemas.openxmlformats.org/officeDocument/2006/relationships/hyperlink" Target="http://www.killedbypolice.net/victims/150924.jpg" TargetMode="External"/><Relationship Id="rId320" Type="http://schemas.openxmlformats.org/officeDocument/2006/relationships/hyperlink" Target="http://www.nola.com/crime/index.ssf/2015/05/officer-involved_shooting_repo.html" TargetMode="External"/><Relationship Id="rId321" Type="http://schemas.openxmlformats.org/officeDocument/2006/relationships/hyperlink" Target="http://www.localsyr.com/story/d/story/authorities-investigating-fatal-officer-involved-s/67882/io8DUgiTsEG_yMWZyCVbHw" TargetMode="External"/><Relationship Id="rId322" Type="http://schemas.openxmlformats.org/officeDocument/2006/relationships/hyperlink" Target="http://ktla.com/2015/05/07/apparent-deputy-involved-shooting-prompts-emergency-response-in-cerritos/" TargetMode="External"/><Relationship Id="rId323" Type="http://schemas.openxmlformats.org/officeDocument/2006/relationships/hyperlink" Target="http://www.heraldtribune.com/article/20150507/ARTICLE/150509754/2416/NEWS" TargetMode="External"/><Relationship Id="rId324" Type="http://schemas.openxmlformats.org/officeDocument/2006/relationships/hyperlink" Target="http://www.wsbtv.com/news/news/local/gwinnett-county-police-investigate-officer-involve/nmBY5/" TargetMode="External"/><Relationship Id="rId325" Type="http://schemas.openxmlformats.org/officeDocument/2006/relationships/hyperlink" Target="http://www.wsoctv.com/news/news/local/police-investigate-officer-involved-shooting-wake-/nmBQL/" TargetMode="External"/><Relationship Id="rId1000" Type="http://schemas.openxmlformats.org/officeDocument/2006/relationships/hyperlink" Target="http://www.redding.com/homepage-showcase/matthew-graham-killed-in-dunsmuir-shootout-with-officers_38935482" TargetMode="External"/><Relationship Id="rId1001" Type="http://schemas.openxmlformats.org/officeDocument/2006/relationships/hyperlink" Target="http://abc7.com/news/suspect-holding-knife-killed-in-west-covina-officer-involved-shooting/828284/" TargetMode="External"/><Relationship Id="rId1002" Type="http://schemas.openxmlformats.org/officeDocument/2006/relationships/hyperlink" Target="http://www.mlive.com/news/detroit/index.ssf/2015/07/st_clair_shores_police_car_tur.html" TargetMode="External"/><Relationship Id="rId1003" Type="http://schemas.openxmlformats.org/officeDocument/2006/relationships/hyperlink" Target="http://www.nbcsandiego.com/news/local/Man-with-Knife-Shot-Killed-by-San-Diego-Police-Officer-Identified-311679131.html" TargetMode="External"/><Relationship Id="rId1004" Type="http://schemas.openxmlformats.org/officeDocument/2006/relationships/hyperlink" Target="http://www.ksdk.com/story/news/nation/2015/07/20/man-hogtied-police-death/30433375/" TargetMode="External"/><Relationship Id="rId1005" Type="http://schemas.openxmlformats.org/officeDocument/2006/relationships/hyperlink" Target="http://patch.com/new-jersey/lacey/toms-river-man-struck-killed-lacey-police-cruiser-0?" TargetMode="External"/><Relationship Id="rId1006" Type="http://schemas.openxmlformats.org/officeDocument/2006/relationships/hyperlink" Target="http://abc7.com/news/man-dies-of-heart-attack-while-in-montclair-police-custody/826399/" TargetMode="External"/><Relationship Id="rId1007" Type="http://schemas.openxmlformats.org/officeDocument/2006/relationships/hyperlink" Target="http://www.mlive.com/news/grand-rapids/index.ssf/2015/07/no_reason_to_shoot_him_step-da.html" TargetMode="External"/><Relationship Id="rId1008" Type="http://schemas.openxmlformats.org/officeDocument/2006/relationships/hyperlink" Target="https://www.bostonglobe.com/metro/2015/07/14/roxbury-man-identified-person-fatally-shot-lynn-police-officer-during-drug-investigation/HluhRMJJeFBqMqtUt3gNWP/story.html" TargetMode="External"/><Relationship Id="rId1009" Type="http://schemas.openxmlformats.org/officeDocument/2006/relationships/hyperlink" Target="http://www.citizen-times.com/story/news/crime/2015/07/14/sbi-investigating-custody-death-henderson-jail/30124137/" TargetMode="External"/><Relationship Id="rId326" Type="http://schemas.openxmlformats.org/officeDocument/2006/relationships/hyperlink" Target="http://www.recordonline.com/article/20150507/NEWS/150509481" TargetMode="External"/><Relationship Id="rId327" Type="http://schemas.openxmlformats.org/officeDocument/2006/relationships/hyperlink" Target="http://abc7.com/news/man-shot-to-death-by-lapd-in-venice-after-disturbing-the-peace-call/699856/" TargetMode="External"/><Relationship Id="rId328" Type="http://schemas.openxmlformats.org/officeDocument/2006/relationships/hyperlink" Target="http://newyork.cbslocal.com/2015/05/06/nj-turnpike-pedestrians-killed-police-car/" TargetMode="External"/><Relationship Id="rId329" Type="http://schemas.openxmlformats.org/officeDocument/2006/relationships/hyperlink" Target="http://newyork.cbslocal.com/2015/05/06/nj-turnpike-pedestrians-killed-police-car/" TargetMode="External"/><Relationship Id="rId970" Type="http://schemas.openxmlformats.org/officeDocument/2006/relationships/hyperlink" Target="http://www.dailycamera.com/news/boulder/ci_29097757/suspects-reported-armed-robbery-high-speed-chase-boulder" TargetMode="External"/><Relationship Id="rId971" Type="http://schemas.openxmlformats.org/officeDocument/2006/relationships/hyperlink" Target="http://www.krcrtv.com/news/local/shooting-in-chico-leaves-one-dead/36369296" TargetMode="External"/><Relationship Id="rId972" Type="http://schemas.openxmlformats.org/officeDocument/2006/relationships/hyperlink" Target="http://www.mercurynews.com/crime-courts/ci_29098278/san-jose-authorities-identify-gunman-victim-deadly-cambrian" TargetMode="External"/><Relationship Id="rId973" Type="http://schemas.openxmlformats.org/officeDocument/2006/relationships/hyperlink" Target="http://wvmetronews.com/2015/11/09/one-dead-one-injured-in-police-search-for-fugitives/" TargetMode="External"/><Relationship Id="rId974" Type="http://schemas.openxmlformats.org/officeDocument/2006/relationships/hyperlink" Target="http://yourdailyjournal.com/news/18292/sbi-anson-deputy-shot-killed-domestic-violence-suspect" TargetMode="External"/><Relationship Id="rId975" Type="http://schemas.openxmlformats.org/officeDocument/2006/relationships/hyperlink" Target="http://ktla.com/2015/11/09/authorities-responding-to-possible-police-shooting-in-lake-balboa/" TargetMode="External"/><Relationship Id="rId976" Type="http://schemas.openxmlformats.org/officeDocument/2006/relationships/hyperlink" Target="http://www.lmtonline.com/front-news/article_2cdd3578-870c-11e5-96b2-1fbfed068503.html" TargetMode="External"/><Relationship Id="rId977" Type="http://schemas.openxmlformats.org/officeDocument/2006/relationships/hyperlink" Target="http://www.wftv.com/news/news/local/deputies-deland-police-officer-shoots-kills-uncle-/npHzw/" TargetMode="External"/><Relationship Id="rId978" Type="http://schemas.openxmlformats.org/officeDocument/2006/relationships/hyperlink" Target="http://www.reviewjournal.com/news/las-vegas/school-police-shoot-kill-threatening-driver-south-valley-park" TargetMode="External"/><Relationship Id="rId979" Type="http://schemas.openxmlformats.org/officeDocument/2006/relationships/hyperlink" Target="http://www.oregonlive.com/portland/index.ssf/2015/11/police_activity_closes_streets.html" TargetMode="External"/><Relationship Id="rId650" Type="http://schemas.openxmlformats.org/officeDocument/2006/relationships/hyperlink" Target="http://www.news-graphic.com/image_5c8d94e0-b110-11e2-af2b-001a4bcf887a.html" TargetMode="External"/><Relationship Id="rId651" Type="http://schemas.openxmlformats.org/officeDocument/2006/relationships/hyperlink" Target="http://www.natchezdemocrat.com/2014/04/25/man-dies-after-stun-gun-shock-state-agency-inspecting-acso-traffic-stop-death/" TargetMode="External"/><Relationship Id="rId652" Type="http://schemas.openxmlformats.org/officeDocument/2006/relationships/hyperlink" Target="http://www.wtok.com/news/headlines/Update-on-Emmanuel-Wooten-Search-256704901.html" TargetMode="External"/><Relationship Id="rId653" Type="http://schemas.openxmlformats.org/officeDocument/2006/relationships/hyperlink" Target="http://triblive.com/news/allegheny/6036085-74/zappala-officer-police" TargetMode="External"/><Relationship Id="rId654" Type="http://schemas.openxmlformats.org/officeDocument/2006/relationships/hyperlink" Target="http://www.wwaytv3.com/2014/04/14/updated-sbi-investigating-officer-involved-shooting-pender-county" TargetMode="External"/><Relationship Id="rId655" Type="http://schemas.openxmlformats.org/officeDocument/2006/relationships/hyperlink" Target="http://www.miamiherald.com/news/local/crime/article2176191.html" TargetMode="External"/><Relationship Id="rId656" Type="http://schemas.openxmlformats.org/officeDocument/2006/relationships/hyperlink" Target="http://www.kansas.com/2014/04/10/3396426/man-dead-after-officer-involved.html" TargetMode="External"/><Relationship Id="rId657" Type="http://schemas.openxmlformats.org/officeDocument/2006/relationships/hyperlink" Target="http://www.wrhi.com/2014/04/officer-involved-shooting-in-york-county-leaves-one-man-dead-91986" TargetMode="External"/><Relationship Id="rId658" Type="http://schemas.openxmlformats.org/officeDocument/2006/relationships/hyperlink" Target="http://www.charlotteobserver.com/2014/04/09/4830144_experts-weigh-in-on-york-county.html" TargetMode="External"/><Relationship Id="rId659" Type="http://schemas.openxmlformats.org/officeDocument/2006/relationships/hyperlink" Target="http://www.palmbeachpost.com/news/news/pbso-investigating-officer-involved-shooting-in-su/nfTT5/" TargetMode="External"/><Relationship Id="rId1330" Type="http://schemas.openxmlformats.org/officeDocument/2006/relationships/hyperlink" Target="http://www.abc-7.com/story/30262286/ccso-suspect-dies-after-deputy-involved-shooting" TargetMode="External"/><Relationship Id="rId1331" Type="http://schemas.openxmlformats.org/officeDocument/2006/relationships/hyperlink" Target="http://www.presleyflukerfunerals.com/storage/Dukes-Gerald.jpg?__SQUARESPACE_CACHEVERSION=1434663870356" TargetMode="External"/><Relationship Id="rId1332" Type="http://schemas.openxmlformats.org/officeDocument/2006/relationships/hyperlink" Target="http://whnt.com/2015/06/04/man-dies-in-crash-during-chase-with-falkville-police-officer/" TargetMode="External"/><Relationship Id="rId1333" Type="http://schemas.openxmlformats.org/officeDocument/2006/relationships/hyperlink" Target="http://wlbt.images.worldnow.com/images/7660774_G.jpg" TargetMode="External"/><Relationship Id="rId1334" Type="http://schemas.openxmlformats.org/officeDocument/2006/relationships/hyperlink" Target="http://www.wapt.com/news/family-seeks-answers-after-loved-one-dies-in-crash/32806478" TargetMode="External"/><Relationship Id="rId1335" Type="http://schemas.openxmlformats.org/officeDocument/2006/relationships/hyperlink" Target="http://www.fatalencounters.org/wp-content/uploads/2013/10/BryanOverstreet.png" TargetMode="External"/><Relationship Id="rId1336" Type="http://schemas.openxmlformats.org/officeDocument/2006/relationships/hyperlink" Target="http://www.walb.com/story/28916690/sylvester-man-run-over-by-patrol-car" TargetMode="External"/><Relationship Id="rId1337" Type="http://schemas.openxmlformats.org/officeDocument/2006/relationships/hyperlink" Target="http://www.clickondetroit.com/news/9yearold-critically-injured-after-brother-flees-police/30246604" TargetMode="External"/><Relationship Id="rId1338" Type="http://schemas.openxmlformats.org/officeDocument/2006/relationships/hyperlink" Target="http://www.kmov.com/story/28421811/victim-of-fatal-officer-involved-accident-identified" TargetMode="External"/><Relationship Id="rId1339" Type="http://schemas.openxmlformats.org/officeDocument/2006/relationships/hyperlink" Target="http://www.wftv.com/news/news/local/crash-heavy-law-enforcement-presence-causes-delays/npJ6S/" TargetMode="External"/><Relationship Id="rId330" Type="http://schemas.openxmlformats.org/officeDocument/2006/relationships/hyperlink" Target="http://www.sgvtribune.com/general-news/20150505/2-dead-1-injured-in-south-el-monte-stabbing-deputy-involved-shooting" TargetMode="External"/><Relationship Id="rId331" Type="http://schemas.openxmlformats.org/officeDocument/2006/relationships/hyperlink" Target="http://www.wsls.com/story/28977735/vsp-investigating-officer-involved-shooting-in-pulaski" TargetMode="External"/><Relationship Id="rId332" Type="http://schemas.openxmlformats.org/officeDocument/2006/relationships/hyperlink" Target="http://www.wkyt.com/wymt/home/headlines/Police-investigating-officer-involved-shooting-in-Perry-County-302391481.html" TargetMode="External"/><Relationship Id="rId333" Type="http://schemas.openxmlformats.org/officeDocument/2006/relationships/hyperlink" Target="http://www.keprtv.com/SWAT-on-scene-of-standoff-in-Kennewick-302418671.html" TargetMode="External"/><Relationship Id="rId334" Type="http://schemas.openxmlformats.org/officeDocument/2006/relationships/hyperlink" Target="http://facebook.com/KilledByPolice/posts/1034785363216267" TargetMode="External"/><Relationship Id="rId335" Type="http://schemas.openxmlformats.org/officeDocument/2006/relationships/hyperlink" Target="http://www.wfaa.com/story/news/local/2015/05/03/garland-curtis-culwell-center-swat/26848435/" TargetMode="External"/><Relationship Id="rId1010" Type="http://schemas.openxmlformats.org/officeDocument/2006/relationships/hyperlink" Target="http://www.nbclosangeles.com/news/local/Fatal-Deputy-Involved-Shooting-in-Moreno-Valley-315985111.html" TargetMode="External"/><Relationship Id="rId1011" Type="http://schemas.openxmlformats.org/officeDocument/2006/relationships/hyperlink" Target="http://www.kansascity.com/news/local/crime/article27006070.html" TargetMode="External"/><Relationship Id="rId1012" Type="http://schemas.openxmlformats.org/officeDocument/2006/relationships/hyperlink" Target="http://www.kansas.com/news/local/crime/r08yss/picture32105475/ALTERNATES/FREE_320/Nicholas%20Garner%201" TargetMode="External"/><Relationship Id="rId1013" Type="http://schemas.openxmlformats.org/officeDocument/2006/relationships/hyperlink" Targe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 TargetMode="External"/><Relationship Id="rId1014" Type="http://schemas.openxmlformats.org/officeDocument/2006/relationships/hyperlink" Target="https://tacomastories.files.wordpress.com/2015/08/jasongalaviz.jpg?w=300&amp;h=300" TargetMode="External"/><Relationship Id="rId1015" Type="http://schemas.openxmlformats.org/officeDocument/2006/relationships/hyperlink" Target="http://ak-cache.legacy.net/legacy/images/cobrands/dignitymemorial/photos/ecf6168a-835c-4498-a00e-86434b125335.jpgx?w=130&amp;h=180&amp;option=1&amp;v=0x000000003111f297" TargetMode="External"/><Relationship Id="rId1016" Type="http://schemas.openxmlformats.org/officeDocument/2006/relationships/hyperlink" Target="http://extras.mnginteractive.com/live/media/site568/2015/0807/20150807__ois~1.JPG" TargetMode="External"/><Relationship Id="rId1017" Type="http://schemas.openxmlformats.org/officeDocument/2006/relationships/hyperlink" Target="https://mgtvwric.files.wordpress.com/2015/08/frank-short.jpg" TargetMode="External"/><Relationship Id="rId1018" Type="http://schemas.openxmlformats.org/officeDocument/2006/relationships/hyperlink" Target="https://mgtvwhtm.files.wordpress.com/2015/08/55c248d06dc55-image.jpg?w=300" TargetMode="External"/><Relationship Id="rId1019" Type="http://schemas.openxmlformats.org/officeDocument/2006/relationships/hyperlink" Target="http://www.gannett-cdn.com/-mm-/4a642aabe5f985a52bba9ddf24c8c1b9c310561c/c=0-58-401-593&amp;r=537&amp;c=0-0-534-712/local/-/media/2015/08/03/Muncie/B9318324335Z.1_20150803220258_000_GL1BHGGFA.1-0.jpg" TargetMode="External"/><Relationship Id="rId336" Type="http://schemas.openxmlformats.org/officeDocument/2006/relationships/hyperlink" Target="http://krqe.com/2015/05/03/suspect-from-deputy-involved-shooting-dies/" TargetMode="External"/><Relationship Id="rId337" Type="http://schemas.openxmlformats.org/officeDocument/2006/relationships/hyperlink" Target="http://www.deseretnews.com/article/865627866/Roosevelt-police-shoot-kill-man-wielding-handgun-near-hospital.html?pg=all" TargetMode="External"/><Relationship Id="rId338" Type="http://schemas.openxmlformats.org/officeDocument/2006/relationships/hyperlink" Target="http://www.wboc.com/story/28959278/police-investigating-officer-involved-shooting" TargetMode="External"/><Relationship Id="rId339" Type="http://schemas.openxmlformats.org/officeDocument/2006/relationships/hyperlink" Target="http://mugshots.com/search.html?q=alexia%20christian&amp;c=119250" TargetMode="External"/><Relationship Id="rId980" Type="http://schemas.openxmlformats.org/officeDocument/2006/relationships/hyperlink" Target="http://www.kmov.com/story/30452751/police-open-fire-on-suspect-charging-at-them-with-weapon" TargetMode="External"/><Relationship Id="rId981" Type="http://schemas.openxmlformats.org/officeDocument/2006/relationships/hyperlink" Target="http://www.postandcourier.com/article/20151105/PC16/151109561" TargetMode="External"/><Relationship Id="rId982" Type="http://schemas.openxmlformats.org/officeDocument/2006/relationships/hyperlink" Target="http://www.wdtv.com/wdtv.cfm?func=view&amp;section=5-News&amp;item=BREAKING-NEWS-One-Person-Killed-in-Police-Involved-Shooting-26608" TargetMode="External"/><Relationship Id="rId983" Type="http://schemas.openxmlformats.org/officeDocument/2006/relationships/hyperlink" Target="http://www.newson6.com/story/30447866/osbi-investigating-officer-involved-shooting-in-osage-county" TargetMode="External"/><Relationship Id="rId984" Type="http://schemas.openxmlformats.org/officeDocument/2006/relationships/hyperlink" Target="http://www.sandiegouniontribune.com/news/2015/nov/04/officer-involved-shooting-pacific-beach/" TargetMode="External"/><Relationship Id="rId985" Type="http://schemas.openxmlformats.org/officeDocument/2006/relationships/hyperlink" Target="http://www.mercedsunstar.com/news/local/education/uc-merced/article42944028.html" TargetMode="External"/><Relationship Id="rId986" Type="http://schemas.openxmlformats.org/officeDocument/2006/relationships/hyperlink" Target="http://www.ozarksfirst.com/news/one-man-dead-in-officer-involved-shooting" TargetMode="External"/><Relationship Id="rId987" Type="http://schemas.openxmlformats.org/officeDocument/2006/relationships/hyperlink" Target="http://www.katc.com/story/30434244/6-year-old-dead-another-in-critical-after-officer-involved-shooting-in-marksville" TargetMode="External"/><Relationship Id="rId988" Type="http://schemas.openxmlformats.org/officeDocument/2006/relationships/hyperlink" Target="http://www.oregonlive.com/pacific-northwest-news/index.ssf/2015/11/klamath_county_officials_ident.html" TargetMode="External"/><Relationship Id="rId989" Type="http://schemas.openxmlformats.org/officeDocument/2006/relationships/hyperlink" Target="http://www.kivitv.com/news/idaho-state-police-investigating-officer-involved-shooting" TargetMode="External"/><Relationship Id="rId660" Type="http://schemas.openxmlformats.org/officeDocument/2006/relationships/hyperlink" Target="http://www.click2houston.com/news/man-killed-after-pulling-gun-on-deputies-serving-warrant/25349872" TargetMode="External"/><Relationship Id="rId661" Type="http://schemas.openxmlformats.org/officeDocument/2006/relationships/hyperlink" Target="http://www.washingtonpost.com/local/crime/man-killed-in-police-shooting-in-prince-georges-county/2014/04/05/114eb076-bcc3-11e3-b195-dd0c1174052c_allComments.html?ctab=all" TargetMode="External"/><Relationship Id="rId662" Type="http://schemas.openxmlformats.org/officeDocument/2006/relationships/hyperlink" Target="http://whnt.com/2014/04/04/breaking-huntsville-police-confirm-officer-shot-residents-being-evacuated/" TargetMode="External"/><Relationship Id="rId663" Type="http://schemas.openxmlformats.org/officeDocument/2006/relationships/hyperlink" Target="http://www.wsbtv.com/news/news/local/officer-injured-suspect-killed-lawrenceville-apart/nfQTQ/" TargetMode="External"/><Relationship Id="rId664" Type="http://schemas.openxmlformats.org/officeDocument/2006/relationships/hyperlink" Target="http://www.washingtonpost.com/national/police-officer-fatally-shot-in-upstate-new-york/2014/03/31/ad349cc6-b8f4-11e3-80de-2ff8801f27af_story.html" TargetMode="External"/><Relationship Id="rId665" Type="http://schemas.openxmlformats.org/officeDocument/2006/relationships/hyperlink" Target="http://www.myfoxchicago.com/story/25108986/raason-shaw-man-shot-to-death-by-police-in-woodlawn" TargetMode="External"/><Relationship Id="rId666" Type="http://schemas.openxmlformats.org/officeDocument/2006/relationships/hyperlink" Target="http://www.wcti12.com/news/city-official-two-officers-injured-one-suspect-dead-in-shooting/25226556" TargetMode="External"/><Relationship Id="rId667" Type="http://schemas.openxmlformats.org/officeDocument/2006/relationships/hyperlink" Target="http://fox13now.com/2014/03/28/2-police-officers-hurt-1-man-dead-after-salt-lake-city-shooting/" TargetMode="External"/><Relationship Id="rId668" Type="http://schemas.openxmlformats.org/officeDocument/2006/relationships/hyperlink" Target="http://www.gannett-cdn.com/-mm-/cbbdacfe4e1c4318f635c9789244aebac3fd509e/c=0-526-968-1254&amp;r=x404&amp;c=534x401/local/-/media/Westchester/Westchester/2014/09/07/1410147536000-TJN-0901-tenadeath-1-(2).jpg" TargetMode="External"/><Relationship Id="rId669" Type="http://schemas.openxmlformats.org/officeDocument/2006/relationships/hyperlink" Target="http://www.tennessean.com/story/news/crime/2014/03/21/dozens-officers-scene-elliston-place-shooting/6716709/" TargetMode="External"/><Relationship Id="rId1340" Type="http://schemas.openxmlformats.org/officeDocument/2006/relationships/hyperlink" Target="https://mgtvwkrn.files.wordpress.com/2015/04/brian-acton.jpg?w=640" TargetMode="External"/><Relationship Id="rId1341" Type="http://schemas.openxmlformats.org/officeDocument/2006/relationships/hyperlink" Target="http://www.wsmv.com/story/28851839/man-accused-in-rape-dies-during-arrest" TargetMode="External"/><Relationship Id="rId1342" Type="http://schemas.openxmlformats.org/officeDocument/2006/relationships/hyperlink" Target="http://www.click2houston.com/news/breaking-3-shot-in-northwest-harris-county-life-flight-on-scene/36144374" TargetMode="External"/><Relationship Id="rId1343" Type="http://schemas.openxmlformats.org/officeDocument/2006/relationships/drawing" Target="../drawings/drawing1.xml"/><Relationship Id="rId340" Type="http://schemas.openxmlformats.org/officeDocument/2006/relationships/hyperlink" Target="http://www.ajc.com/news/news/shots-fired-in-downtown-atlanta/nk6jp/" TargetMode="External"/><Relationship Id="rId341" Type="http://schemas.openxmlformats.org/officeDocument/2006/relationships/hyperlink" Target="http://www.wsmv.com/story/28940658/police-investigating-shooting-in-south-nashville" TargetMode="External"/><Relationship Id="rId342" Type="http://schemas.openxmlformats.org/officeDocument/2006/relationships/hyperlink" Target="http://www.wsmv.com/story/28940658/police-investigating-shooting-in-south-nashville" TargetMode="External"/><Relationship Id="rId343" Type="http://schemas.openxmlformats.org/officeDocument/2006/relationships/hyperlink" Target="http://www.cbs8.com/story/28940667/homicide-detectives-on-scene-after-officer-involved-shooting-in-midway" TargetMode="External"/><Relationship Id="rId344" Type="http://schemas.openxmlformats.org/officeDocument/2006/relationships/hyperlink" Target="http://wtvr.com/2015/04/30/greensville-county-sheriff-shooting/" TargetMode="External"/><Relationship Id="rId345" Type="http://schemas.openxmlformats.org/officeDocument/2006/relationships/hyperlink" Target="http://www.13newsnow.com/story/news/local/virginia/2015/04/30/greensville-co-man-killed-in-officer-involved-shooting/26633591/" TargetMode="External"/><Relationship Id="rId1020" Type="http://schemas.openxmlformats.org/officeDocument/2006/relationships/hyperlink" Target="https://img.washingtonpost.com/wp-apps/imrs.php?src=https://img.washingtonpost.com/rf/image_908w/2010-2019/Wires/Images/2015-08-08/AP/Killings_by_Police-Football_Player-01655.jpg&amp;w=1484" TargetMode="External"/><Relationship Id="rId1021" Type="http://schemas.openxmlformats.org/officeDocument/2006/relationships/hyperlink" Target="https://cbsla.files.wordpress.com/2015/08/derrick_hunt.jpg?w=1280" TargetMode="External"/><Relationship Id="rId1022" Type="http://schemas.openxmlformats.org/officeDocument/2006/relationships/hyperlink" Target="http://www.mcleanfuneral.com/obituary/Jeffery-Clyde-Jeff-Wilkes/Gastonia-NC/1535971" TargetMode="External"/><Relationship Id="rId1023" Type="http://schemas.openxmlformats.org/officeDocument/2006/relationships/hyperlink" Target="http://khq.images.worldnow.com/images/8550850_G.jpg" TargetMode="External"/><Relationship Id="rId1024" Type="http://schemas.openxmlformats.org/officeDocument/2006/relationships/hyperlink" Target="http://www.postandcourier.com/storyimage/CP/20150810/PC16/150819946/EP/1/1/EP-150819946.jpg&amp;MaxW=520&amp;q=85" TargetMode="External"/><Relationship Id="rId1025" Type="http://schemas.openxmlformats.org/officeDocument/2006/relationships/hyperlink" Target="https://mgtvwnct.files.wordpress.com/2015/08/tsombe-clark.jpg" TargetMode="External"/><Relationship Id="rId1026" Type="http://schemas.openxmlformats.org/officeDocument/2006/relationships/hyperlink" Target="http://www.gannett-cdn.com/-mm-/02917320db0bb106be0fa752e1f70cf8886fb7bf/c=96-0-673-434&amp;r=x404&amp;c=534x401/local/-/media/2015/08/10/Indianapolis/Indianapolis/635747915088190620-andre-green-fox59.jpg" TargetMode="External"/><Relationship Id="rId1027" Type="http://schemas.openxmlformats.org/officeDocument/2006/relationships/hyperlink" Target="http://media.graytvinc.com/images/EricTompkins.jpg" TargetMode="External"/><Relationship Id="rId1028" Type="http://schemas.openxmlformats.org/officeDocument/2006/relationships/hyperlink" Target="http://www.gannett-cdn.com/-mm-/50bfa768de97848c37c1fb3e15502aa34121135b/c=0-164-480-435&amp;r=x633&amp;c=1200x630/local/-/media/2015/08/11/Phoenix/Phoenix/635749053959669052-Richard-Tyler-Young.jpg" TargetMode="External"/><Relationship Id="rId1029" Type="http://schemas.openxmlformats.org/officeDocument/2006/relationships/hyperlink" Target="http://bloximages.chicago2.vip.townnews.com/wacotrib.com/content/tncms/assets/v3/editorial/4/82/48227766-7587-5e01-bab0-26e1b520923e/55cbc329cd5f0.image.jpg?resize=300%2C376" TargetMode="External"/><Relationship Id="rId346" Type="http://schemas.openxmlformats.org/officeDocument/2006/relationships/hyperlink" Target="http://www.azcentral.com/story/news/local/mesa/2015/04/29/mesa-police-officer-involved-fatal-shooting-abrk/26610825/" TargetMode="External"/><Relationship Id="rId347" Type="http://schemas.openxmlformats.org/officeDocument/2006/relationships/hyperlink" Target="http://www.elpasotimes.com/news/ci_28023272/el-paso-police-officer-shot-and-killed-burglary" TargetMode="External"/><Relationship Id="rId348" Type="http://schemas.openxmlformats.org/officeDocument/2006/relationships/hyperlink" Target="http://kfor.com/2015/04/29/oklahoma-police-officer-involved-in-fatal-shooting/" TargetMode="External"/><Relationship Id="rId349" Type="http://schemas.openxmlformats.org/officeDocument/2006/relationships/hyperlink" Target="http://www.sacbee.com/news/local/crime/article19860156.html" TargetMode="External"/><Relationship Id="rId990" Type="http://schemas.openxmlformats.org/officeDocument/2006/relationships/hyperlink" Target="http://www.kare11.com/story/news/2015/11/01/bca-investigating-hutchinson-officer-involved-shooting/75021264/" TargetMode="External"/><Relationship Id="rId991" Type="http://schemas.openxmlformats.org/officeDocument/2006/relationships/hyperlink" Target="http://www.times-standard.com/20151101/chp-officer-shot-alleged-shooter-dead-after-eureka-traffic-stop" TargetMode="External"/><Relationship Id="rId992" Type="http://schemas.openxmlformats.org/officeDocument/2006/relationships/hyperlink" Target="http://eugenedailynews.com/2015/11/lane-county-sheriffs-deputy-hits-kills-bicyclist/" TargetMode="External"/><Relationship Id="rId993" Type="http://schemas.openxmlformats.org/officeDocument/2006/relationships/hyperlink" Target="http://www.wftv.com/news/news/local/crash-heavy-law-enforcement-presence-causes-delays/npJ6S/" TargetMode="External"/><Relationship Id="rId994" Type="http://schemas.openxmlformats.org/officeDocument/2006/relationships/hyperlink" Target="http://www.killedbypolice.net/victims/151084.jpg" TargetMode="External"/><Relationship Id="rId995" Type="http://schemas.openxmlformats.org/officeDocument/2006/relationships/hyperlink" Target="http://www.vnews.com/news/newsletter/17857473-95/haverhill-officers-unnamed-nh-ag-wont-give-any-shooting-details" TargetMode="External"/><Relationship Id="rId996" Type="http://schemas.openxmlformats.org/officeDocument/2006/relationships/hyperlink" Target="http://www.wxii12.com/news/stabbing-standoff-reported-in-stokes-co/34345684" TargetMode="External"/><Relationship Id="rId997" Type="http://schemas.openxmlformats.org/officeDocument/2006/relationships/hyperlink" Target="http://www.kctv5.com/story/29494552/armed-carjacking-suspect-dead-in-police-shooting" TargetMode="External"/><Relationship Id="rId998" Type="http://schemas.openxmlformats.org/officeDocument/2006/relationships/hyperlink" Target="http://www.startribune.com/officer-involved-shooting-at-plymouth-arby-s-leaves-one-man-dead/318383701/" TargetMode="External"/><Relationship Id="rId999" Type="http://schemas.openxmlformats.org/officeDocument/2006/relationships/hyperlink" Target="http://www.wtok.com/home/headlines/New-Details-in-Stonewall-Death-Investigation-313047501.html" TargetMode="External"/><Relationship Id="rId670" Type="http://schemas.openxmlformats.org/officeDocument/2006/relationships/hyperlink" Target="http://blogs.ocweekly.com/navelgazing/2014/03/police_shooting_in_anaheim_lea.php?page=2" TargetMode="External"/><Relationship Id="rId671" Type="http://schemas.openxmlformats.org/officeDocument/2006/relationships/hyperlink" Target="http://www.ketv.com/news/police-id-man-killed-in-officer-involved-shooting/25060968" TargetMode="External"/><Relationship Id="rId672" Type="http://schemas.openxmlformats.org/officeDocument/2006/relationships/hyperlink" Target="http://www.washingtonpost.com/local/crime/police-involved-in-shooting-person-in-nw/2014/03/18/7f80b924-ae8e-11e3-96dc-d6ea14c099f9_story.html" TargetMode="External"/><Relationship Id="rId673" Type="http://schemas.openxmlformats.org/officeDocument/2006/relationships/hyperlink" Target="http://www.peacefulalternatives.com/fh/obituaries/obituary.cfm?o_id=2458194&amp;fh_id=14153" TargetMode="External"/><Relationship Id="rId674" Type="http://schemas.openxmlformats.org/officeDocument/2006/relationships/hyperlink" Target="http://www.ajc.com/news/news/local/man-shot-and-killed-by-forsyth-county-deputies/nfFC8/" TargetMode="External"/><Relationship Id="rId675" Type="http://schemas.openxmlformats.org/officeDocument/2006/relationships/hyperlink" Target="http://www.firstcoastnews.com/story/news/crime/2014/03/15/lake-city-killed-police/6457449/" TargetMode="External"/><Relationship Id="rId676" Type="http://schemas.openxmlformats.org/officeDocument/2006/relationships/hyperlink" Target="http://www.reviewjournal.com/news/las-vegas/north-las-vegas-police-face-lawsuit-deadly-shooting-homeless-man" TargetMode="External"/><Relationship Id="rId677" Type="http://schemas.openxmlformats.org/officeDocument/2006/relationships/hyperlink" Target="http://www.newssun.com/news/article_513fe971-a208-543b-8a5c-71ff2376804d.html" TargetMode="External"/><Relationship Id="rId678" Type="http://schemas.openxmlformats.org/officeDocument/2006/relationships/hyperlink" Target="http://collegian.csufresno.edu/2014/03/07/woman-shot-twice-killed-by-fresno-police-officer-in-apartment-complex-west-of-campus/" TargetMode="External"/><Relationship Id="rId679" Type="http://schemas.openxmlformats.org/officeDocument/2006/relationships/hyperlink" Target="http://www.indystar.com/story/news/crime/2014/03/05/4-indianapolis-swat-officers-shot-suspect-is-killed/6097619/" TargetMode="External"/><Relationship Id="rId350" Type="http://schemas.openxmlformats.org/officeDocument/2006/relationships/hyperlink" Target="http://www.wwltv.com/story/news/crime/2015/04/28/nopd-on-scene-of-officer-needing-assistance/26555847/" TargetMode="External"/><Relationship Id="rId351" Type="http://schemas.openxmlformats.org/officeDocument/2006/relationships/hyperlink" Target="http://www.kfvs12.com/story/28915534/1-dead-after-standoff-in-marion" TargetMode="External"/><Relationship Id="rId352" Type="http://schemas.openxmlformats.org/officeDocument/2006/relationships/hyperlink" Target="http://www.kfvs12.com/story/28915534/1-dead-after-standoff-in-marion" TargetMode="External"/><Relationship Id="rId353" Type="http://schemas.openxmlformats.org/officeDocument/2006/relationships/hyperlink" Target="http://www.mansfieldnewsjournal.com/story/news/local/2015/04/27/mansfield-police-scene-standoff/26457727/" TargetMode="External"/><Relationship Id="rId354" Type="http://schemas.openxmlformats.org/officeDocument/2006/relationships/hyperlink" Target="http://www.mansfieldnewsjournal.com/story/news/local/2015/04/27/mansfield-police-scene-standoff/26457727/" TargetMode="External"/><Relationship Id="rId355" Type="http://schemas.openxmlformats.org/officeDocument/2006/relationships/hyperlink" Target="http://america.aljazeera.com/articles/2015/4/29/terrance-kellom-shot-dead-in-detroit-by-ice-agent.html" TargetMode="External"/><Relationship Id="rId1030" Type="http://schemas.openxmlformats.org/officeDocument/2006/relationships/hyperlink" Target="http://bloximages.newyork1.vip.townnews.com/oaoa.com/content/tncms/assets/v3/editorial/3/b1/3b1e4ae8-4132-11e5-bdc3-0b12b6b90913/55cbaf23977b2.image.jpg?resize=300%2C225" TargetMode="External"/><Relationship Id="rId1031" Type="http://schemas.openxmlformats.org/officeDocument/2006/relationships/hyperlink" Target="http://www.trbimg.com/img-55d2252a/turbine/hc-bolton-chase-update-0818-20150817-001/900/900x506" TargetMode="External"/><Relationship Id="rId1032" Type="http://schemas.openxmlformats.org/officeDocument/2006/relationships/hyperlink" Target="http://assets.dnainfo.com/generated/photo/2015/08/garland-tyree-1439558833.jpg/extralarge.jpg" TargetMode="External"/><Relationship Id="rId1033" Type="http://schemas.openxmlformats.org/officeDocument/2006/relationships/hyperlink" Target="http://www.fresnobee.com/news/local/crime/h2le4i/picture31453181/ALTERNATES/FREE_640/Allen%20Matthew%20Baker%20III" TargetMode="External"/><Relationship Id="rId1034" Type="http://schemas.openxmlformats.org/officeDocument/2006/relationships/hyperlink" Target="http://www.trbimg.com/img-55d0c66a/turbine/la-ashley-la0030492077-20150816/378/378x213" TargetMode="External"/><Relationship Id="rId1035" Type="http://schemas.openxmlformats.org/officeDocument/2006/relationships/hyperlink" Target="http://www.sgvtribune.com/apps/pbcsi.dll/storyimage/LC/20150819/NEWS/150819459/AR/0/AR-150819459.jpg&amp;maxh=400&amp;maxw=667" TargetMode="External"/><Relationship Id="rId1036" Type="http://schemas.openxmlformats.org/officeDocument/2006/relationships/hyperlink" Target="http://pbs.twimg.com/media/CMxQAW5VEAAvMJF.jpg" TargetMode="External"/><Relationship Id="rId1037" Type="http://schemas.openxmlformats.org/officeDocument/2006/relationships/hyperlink" Target="http://funds.gfmcdn.com/5696790_1439869229.992.jpg" TargetMode="External"/><Relationship Id="rId1038" Type="http://schemas.openxmlformats.org/officeDocument/2006/relationships/hyperlink" Target="https://blackopswiki.s3.amazonaws.com/uploads/article/avatar/367/large_avatar_frederick_roy.jpg" TargetMode="External"/><Relationship Id="rId1039" Type="http://schemas.openxmlformats.org/officeDocument/2006/relationships/hyperlink" Target="http://i.dailymail.co.uk/i/pix/2015/08/20/08/2B838CE700000578-3203849-image-a-8_1440056342444.jpg" TargetMode="External"/><Relationship Id="rId356" Type="http://schemas.openxmlformats.org/officeDocument/2006/relationships/hyperlink" Target="http://abc7.com/news/burglary-suspect-killed-in-officer-involved-shooting-in-fountain-valley/682399/" TargetMode="External"/><Relationship Id="rId357" Type="http://schemas.openxmlformats.org/officeDocument/2006/relationships/hyperlink" Target="http://www.guns.com/2015/04/30/game-warden-shoots-kills-man-who-tried-to-drown-him-after-checking-fishing-license/" TargetMode="External"/><Relationship Id="rId358" Type="http://schemas.openxmlformats.org/officeDocument/2006/relationships/hyperlink" Target="https://www.victoriaadvocate.com/news/2015/apr/27/parents-of-veteran-fatally-shot-by-police-seek-ans/" TargetMode="External"/><Relationship Id="rId359" Type="http://schemas.openxmlformats.org/officeDocument/2006/relationships/hyperlink" Target="https://www.victoriaadvocate.com/news/2015/apr/27/parents-of-veteran-fatally-shot-by-police-seek-ans/" TargetMode="External"/><Relationship Id="rId800" Type="http://schemas.openxmlformats.org/officeDocument/2006/relationships/hyperlink" Target="http://www.killedbypolice.net/victims/150967.jpg" TargetMode="External"/><Relationship Id="rId801" Type="http://schemas.openxmlformats.org/officeDocument/2006/relationships/hyperlink" Target="http://www.wesh.com/news/fhp-investigating-fatal-crash-in-casselberry/36003338" TargetMode="External"/><Relationship Id="rId802" Type="http://schemas.openxmlformats.org/officeDocument/2006/relationships/hyperlink" Target="http://www.killedbypolice.net/victims/150965.jpg" TargetMode="External"/><Relationship Id="rId803" Type="http://schemas.openxmlformats.org/officeDocument/2006/relationships/hyperlink" Target="http://www.killedbypolice.net/victims/150964.jpg" TargetMode="External"/><Relationship Id="rId804" Type="http://schemas.openxmlformats.org/officeDocument/2006/relationships/hyperlink" Target="http://www.killedbypolice.net/victims/150963.jpg" TargetMode="External"/><Relationship Id="rId805" Type="http://schemas.openxmlformats.org/officeDocument/2006/relationships/hyperlink" Target="http://www.kristv.com/story/30317738/man-dies-in-corpus-christi-pd-custody" TargetMode="External"/><Relationship Id="rId806" Type="http://schemas.openxmlformats.org/officeDocument/2006/relationships/hyperlink" Target="http://www.killedbypolice.net/victims/150960.jpg" TargetMode="External"/><Relationship Id="rId807" Type="http://schemas.openxmlformats.org/officeDocument/2006/relationships/hyperlink" Target="http://www.killedbypolice.net/victims/150959.jpg" TargetMode="External"/><Relationship Id="rId808" Type="http://schemas.openxmlformats.org/officeDocument/2006/relationships/hyperlink" Target="http://www.killedbypolice.net/victims/150958.jpg" TargetMode="External"/><Relationship Id="rId809" Type="http://schemas.openxmlformats.org/officeDocument/2006/relationships/hyperlink" Target="http://www.osagecountyonline.com/archives/18642" TargetMode="External"/><Relationship Id="rId680" Type="http://schemas.openxmlformats.org/officeDocument/2006/relationships/hyperlink" Target="http://www.utsandiego.com/news/2014/feb/26/suicidal-man-rifle-downtown-san-diego/" TargetMode="External"/><Relationship Id="rId681" Type="http://schemas.openxmlformats.org/officeDocument/2006/relationships/hyperlink" Target="http://www.news-gazette.com/news/local/2014-02-26/state-police-investigate-fatal-shooting-after-chase-danville.html" TargetMode="External"/><Relationship Id="rId682" Type="http://schemas.openxmlformats.org/officeDocument/2006/relationships/hyperlink" Target="http://thenewsherald.com/articles/2014/02/28/news/doc5310a54ba9b5b176742526.txt" TargetMode="External"/><Relationship Id="rId683" Type="http://schemas.openxmlformats.org/officeDocument/2006/relationships/hyperlink" Target="http://rollingout.com/wp-content/uploads/2014/02/Kenneth-Lucas-and-Family.jpg?f66a58" TargetMode="External"/><Relationship Id="rId684" Type="http://schemas.openxmlformats.org/officeDocument/2006/relationships/hyperlink" Target="http://rollingout.com/news/why-did-kenneth-lucas-jailed-in-texas-die-after-guards-left-cell/" TargetMode="External"/><Relationship Id="rId685" Type="http://schemas.openxmlformats.org/officeDocument/2006/relationships/hyperlink" Target="http://www.abc15.com/dpp/news/region_phoenix_metro/central_phoenix/phoenix-police-investigating-officer-involved-shooting-near-19th-avenue-and-culver-street" TargetMode="External"/><Relationship Id="rId686" Type="http://schemas.openxmlformats.org/officeDocument/2006/relationships/hyperlink" Target="http://www.chronline.com/article_b54aecd0-94b9-11e3-8b34-001a4bcf887a.html" TargetMode="External"/><Relationship Id="rId687" Type="http://schemas.openxmlformats.org/officeDocument/2006/relationships/hyperlink" Target="http://chippewa.com/dunnconnect/news/local/suspect-shot-during-search-warrant-in-town-of-red-cedar/article_c7a4ae88-2f57-59fd-a566-2ee0bef8573b.html" TargetMode="External"/><Relationship Id="rId688" Type="http://schemas.openxmlformats.org/officeDocument/2006/relationships/hyperlink" Target="http://www.spokesman.com/stories/2014/feb/11/possible-officer-involved-shooting-spokane-valley/" TargetMode="External"/><Relationship Id="rId689" Type="http://schemas.openxmlformats.org/officeDocument/2006/relationships/hyperlink" Target="http://www.washingtonpost.com/news/morning-mix/wp/2015/04/08/south-carolina-cop-now-faces-felony-charge-for-fatally-shooting-a-black-man-in-his-driveway/" TargetMode="External"/><Relationship Id="rId360" Type="http://schemas.openxmlformats.org/officeDocument/2006/relationships/hyperlink" Target="http://www.democracynow.org/2015/4/27/headlines/new_york_police_kill_mentally_ill_african_american_man" TargetMode="External"/><Relationship Id="rId361" Type="http://schemas.openxmlformats.org/officeDocument/2006/relationships/hyperlink" Target="http://www.nydailynews.com/new-york/cops-shoot-man-east-village-altercation-police-article-1.2198797" TargetMode="External"/><Relationship Id="rId362" Type="http://schemas.openxmlformats.org/officeDocument/2006/relationships/hyperlink" Target="http://www.wftv.com/news/news/local/1-fatally-shot-lake-county-deputy-involved-shootin/nk3ng/" TargetMode="External"/><Relationship Id="rId363" Type="http://schemas.openxmlformats.org/officeDocument/2006/relationships/hyperlink" Target="http://www.kktv.com/home/headlines/Deadly-Officer-Involved-Shooting-in-Trinidad-301252451.html" TargetMode="External"/><Relationship Id="rId364" Type="http://schemas.openxmlformats.org/officeDocument/2006/relationships/hyperlink" Target="http://www.miamiok.com/news/article_7116fd15-d23e-59c9-aa7e-043ec0f3871f.html" TargetMode="External"/><Relationship Id="rId365" Type="http://schemas.openxmlformats.org/officeDocument/2006/relationships/hyperlink" Target="http://www.statesmanjournal.com/story/news/2015/04/25/man-shot-killed-salem-police-identified/26377897/" TargetMode="External"/><Relationship Id="rId1040" Type="http://schemas.openxmlformats.org/officeDocument/2006/relationships/hyperlink" Target="http://whns.images.worldnow.com/images/8617596_G.jpg" TargetMode="External"/><Relationship Id="rId1041" Type="http://schemas.openxmlformats.org/officeDocument/2006/relationships/hyperlink" Target="http://bloximages.chicago2.vip.townnews.com/fredericksburg.com/content/tncms/assets/v3/editorial/c/6a/c6a518a6-4a8f-11e5-9867-e704cb5d9455/55db6586f3aca.image.jpg" TargetMode="External"/><Relationship Id="rId1042" Type="http://schemas.openxmlformats.org/officeDocument/2006/relationships/hyperlink" Target="https://lintvwivb.files.wordpress.com/2015/08/thaddeus-faison.jpg" TargetMode="External"/><Relationship Id="rId1043" Type="http://schemas.openxmlformats.org/officeDocument/2006/relationships/hyperlink" Target="https://localtvwhnt.files.wordpress.com/2015/08/christopher-tompkins.jpg?w=770" TargetMode="External"/><Relationship Id="rId1044" Type="http://schemas.openxmlformats.org/officeDocument/2006/relationships/hyperlink" Target="http://www.gannett-cdn.com/-mm-/2feee69581913188b2cf299f4cee3495a99e38ea/r=537&amp;c=0-0-534-712/http/cdn.tegna-tv.com/-mm-/79df8fa93a29cda0ccbefa9253fdd7143b4ca437/c=16-0-399-511/local/-/media/2015/08/24/WTLV/WTLV/635760223283433872-110.jpg" TargetMode="External"/><Relationship Id="rId1045" Type="http://schemas.openxmlformats.org/officeDocument/2006/relationships/hyperlink" Target="https://localtvwtvr.files.wordpress.com/2015/08/shooter.jpg?w=770&amp;h=433" TargetMode="External"/><Relationship Id="rId1046" Type="http://schemas.openxmlformats.org/officeDocument/2006/relationships/hyperlink" Target="http://img.huffingtonpost.com/asset/scalefit_630_noupscale/55cd530e1d00002f00144c8d.jpeg?cache=aG1Q941U8e" TargetMode="External"/><Relationship Id="rId1047" Type="http://schemas.openxmlformats.org/officeDocument/2006/relationships/hyperlink" Target="http://www.killedbypolice.net/victims/150696.jpg" TargetMode="External"/><Relationship Id="rId1048" Type="http://schemas.openxmlformats.org/officeDocument/2006/relationships/hyperlink" Target="http://s3.reutersmedia.net/resources/r/?m=02&amp;d=20150806&amp;t=2&amp;i=1069792663&amp;w=976&amp;fh=&amp;fw=&amp;ll=&amp;pl=&amp;sq=&amp;r=LYNXNPEB75047" TargetMode="External"/><Relationship Id="rId1049" Type="http://schemas.openxmlformats.org/officeDocument/2006/relationships/hyperlink" Target="http://extras.mnginteractive.com/live/media/site525/2015/0814/20150814_040907_unnamed.jpg" TargetMode="External"/><Relationship Id="rId366" Type="http://schemas.openxmlformats.org/officeDocument/2006/relationships/hyperlink" Target="http://www.oregonlive.com/pacific-northwest-news/index.ssf/2015/04/salem_police_wound_armed_man_e.html" TargetMode="External"/><Relationship Id="rId367" Type="http://schemas.openxmlformats.org/officeDocument/2006/relationships/hyperlink" Target="http://abc13.com/news/hpd-officer-hits-kills-bicyclist-in-southeast-houston/677753/" TargetMode="External"/><Relationship Id="rId368" Type="http://schemas.openxmlformats.org/officeDocument/2006/relationships/hyperlink" Target="http://www.presstelegram.com/general-news/20150424/police-no-weapon-found-at-scene-of-officer-involved-shooting-in-long-beach-thursday" TargetMode="External"/><Relationship Id="rId369" Type="http://schemas.openxmlformats.org/officeDocument/2006/relationships/hyperlink" Target="http://www.latimes.com/local/lanow/la-me-ln-lapd-shoots-sylmar-gunman-20150423-story.html" TargetMode="External"/><Relationship Id="rId810" Type="http://schemas.openxmlformats.org/officeDocument/2006/relationships/hyperlink" Target="http://www.killedbypolice.net/victims/150957.jpg" TargetMode="External"/><Relationship Id="rId811" Type="http://schemas.openxmlformats.org/officeDocument/2006/relationships/hyperlink" Target="http://www.killedbypolice.net/victims/150956.jpg" TargetMode="External"/><Relationship Id="rId812" Type="http://schemas.openxmlformats.org/officeDocument/2006/relationships/hyperlink" Target="http://www.killedbypolice.net/victims/150955.jpg" TargetMode="External"/><Relationship Id="rId813" Type="http://schemas.openxmlformats.org/officeDocument/2006/relationships/hyperlink" Target="http://krqe.com/2015/10/20/police-officer-involved-in-shooting-at-elephant-butte/" TargetMode="External"/><Relationship Id="rId814" Type="http://schemas.openxmlformats.org/officeDocument/2006/relationships/hyperlink" Target="http://www.killedbypolice.net/victims/150954.jpg" TargetMode="External"/><Relationship Id="rId815" Type="http://schemas.openxmlformats.org/officeDocument/2006/relationships/hyperlink" Target="http://www.killedbypolice.net/victims/150953.jpg" TargetMode="External"/><Relationship Id="rId816" Type="http://schemas.openxmlformats.org/officeDocument/2006/relationships/hyperlink" Target="http://www.killedbypolice.net/victims/150951.jpg" TargetMode="External"/><Relationship Id="rId817" Type="http://schemas.openxmlformats.org/officeDocument/2006/relationships/hyperlink" Target="http://www.killedbypolice.net/victims/150950.jpg" TargetMode="External"/><Relationship Id="rId818" Type="http://schemas.openxmlformats.org/officeDocument/2006/relationships/hyperlink" Target="http://www.killedbypolice.net/victims/150949.jpg" TargetMode="External"/><Relationship Id="rId819" Type="http://schemas.openxmlformats.org/officeDocument/2006/relationships/hyperlink" Target="http://www.startribune.com/Security-guard-fatally-shot-in-St.-Cloud-Hospital/333868281/" TargetMode="External"/><Relationship Id="rId690" Type="http://schemas.openxmlformats.org/officeDocument/2006/relationships/hyperlink" Target="http://kollegekidd.com/news/friends-family-remember-slain-robbery-suspect-deonta-mackey/" TargetMode="External"/><Relationship Id="rId691" Type="http://schemas.openxmlformats.org/officeDocument/2006/relationships/hyperlink" Target="http://www.ktbs.com/story/24667057/officer-involved-shooting-in-ruston-leaves-one-dead" TargetMode="External"/><Relationship Id="rId692" Type="http://schemas.openxmlformats.org/officeDocument/2006/relationships/hyperlink" Target="http://www.delmarvanow.com/article/20140205/NEWS/302050037" TargetMode="External"/><Relationship Id="rId693" Type="http://schemas.openxmlformats.org/officeDocument/2006/relationships/hyperlink" Target="http://www.wtxl.com/news/update-officer-involved-shooting-at-taylor-county-car-dealership/article_a27a9ab0-8e83-11e3-8e81-0017a43b2370.html" TargetMode="External"/><Relationship Id="rId694" Type="http://schemas.openxmlformats.org/officeDocument/2006/relationships/hyperlink" Target="http://www.sfgate.com/crime/article/Hayward-police-shoot-and-kill-armed-woman-5205798.php" TargetMode="External"/><Relationship Id="rId695" Type="http://schemas.openxmlformats.org/officeDocument/2006/relationships/hyperlink" Target="http://thumbs.mugshots.com/gallery/images/8d/63/Kevin-Dejon-Grissett-mugshot-24130338.400x800.jpg" TargetMode="External"/><Relationship Id="rId696" Type="http://schemas.openxmlformats.org/officeDocument/2006/relationships/hyperlink" Target="http://bloximages.newyork1.vip.townnews.com/scnow.com/content/tncms/assets/v3/editorial/9/af/9af467d9-6895-55d0-a65f-5d532b203c84/52f5bad3778ea.preview-300.jpg" TargetMode="External"/><Relationship Id="rId697" Type="http://schemas.openxmlformats.org/officeDocument/2006/relationships/hyperlink" Target="http://www.ivpressonline.com/news/local/one-suspect-dead-in-el-centro-shooting/article_8fb45b2a-8a44-11e3-8222-001a4bcf6878.html" TargetMode="External"/><Relationship Id="rId698" Type="http://schemas.openxmlformats.org/officeDocument/2006/relationships/hyperlink" Target="http://www.goupstate.com/article/20140124/ARTICLES/140129757?p=1&amp;tc=pg" TargetMode="External"/><Relationship Id="rId699" Type="http://schemas.openxmlformats.org/officeDocument/2006/relationships/hyperlink" Target="http://www.wdef.com/news/story/Sequatchie-Community-Mourns-Loss-Of-Josh-Layne/r6DlJk-F4kOv8aqGvHyA1g.cspx" TargetMode="External"/><Relationship Id="rId370" Type="http://schemas.openxmlformats.org/officeDocument/2006/relationships/hyperlink" Target="http://sanfrancisco.cbslocal.com/2015/04/24/woman-shot-deputies-sonoma-county-chase-dies/" TargetMode="External"/><Relationship Id="rId371" Type="http://schemas.openxmlformats.org/officeDocument/2006/relationships/hyperlink" Target="http://www.nytimes.com/2015/04/24/nyregion/man-killed-by-police-in-queens-had-a-history-of-instability.html?_r=0" TargetMode="External"/><Relationship Id="rId372" Type="http://schemas.openxmlformats.org/officeDocument/2006/relationships/hyperlink" Target="http://www.nytimes.com/2015/04/24/nyregion/man-killed-by-police-in-queens-had-a-history-of-instability.html?_r=0" TargetMode="External"/><Relationship Id="rId373" Type="http://schemas.openxmlformats.org/officeDocument/2006/relationships/hyperlink" Target="http://www.dispatch.com/content/stories/local/2015/04/27/Knox_County_jail_death.html" TargetMode="External"/><Relationship Id="rId374" Type="http://schemas.openxmlformats.org/officeDocument/2006/relationships/hyperlink" Target="http://www.newson6.com/story/28881786/choctaw-county-law-enforcement-officers-shot-serving-warrant" TargetMode="External"/><Relationship Id="rId375" Type="http://schemas.openxmlformats.org/officeDocument/2006/relationships/hyperlink" Target="http://www.newson6.com/story/28881786/choctaw-county-law-enforcement-officers-shot-serving-warrant" TargetMode="External"/><Relationship Id="rId1050" Type="http://schemas.openxmlformats.org/officeDocument/2006/relationships/hyperlink" Target="https://blackopswiki.s3.amazonaws.com/uploads/article/avatar/351/large_avatar_gustavvo_ponce-galon.jpg" TargetMode="External"/><Relationship Id="rId1051" Type="http://schemas.openxmlformats.org/officeDocument/2006/relationships/hyperlink" Target="https://ioneadwnews.files.wordpress.com/2015/08/troy.jpg?w=221&amp;h=228" TargetMode="External"/><Relationship Id="rId1052" Type="http://schemas.openxmlformats.org/officeDocument/2006/relationships/hyperlink" Target="http://www.fresnobee.com/news/local/crime/e474cp/picture30449874/ALTERNATES/FREE_960/080715%20Aaron%20Allen%20Marchese" TargetMode="External"/><Relationship Id="rId1053" Type="http://schemas.openxmlformats.org/officeDocument/2006/relationships/hyperlink" Target="http://www.reviewjournal.com/sites/default/files/styles/large/public/field/media/1003395444%20OISBRIEFING_0815.jpg?itok=K0Dq-QFt" TargetMode="External"/><Relationship Id="rId1054" Type="http://schemas.openxmlformats.org/officeDocument/2006/relationships/hyperlink" Target="http://www.wlwt.com/image/view/-/35034924/highRes/2/-/maxh/630/maxw/1200/-/wo4taiz/-/James-Carney-III-jpg.jpg" TargetMode="External"/><Relationship Id="rId1055" Type="http://schemas.openxmlformats.org/officeDocument/2006/relationships/hyperlink" Target="http://ak-cache.legacy.net/legacy/images/Cobrands/Ledger-Enquirer/Photos/LE0040243-1_20150901.jpg" TargetMode="External"/><Relationship Id="rId1056" Type="http://schemas.openxmlformats.org/officeDocument/2006/relationships/hyperlink" Target="http://images1.westword.com/imager/u/745xauto/7095329/william.rippley.facebook.4.jpg" TargetMode="External"/><Relationship Id="rId1057" Type="http://schemas.openxmlformats.org/officeDocument/2006/relationships/hyperlink" Target="http://1.bp.blogspot.com/-xOS3t4XLRDc/VegsAfvOjmI/AAAAAAABEY4/q1TEtNlCyyQ/s1600/jamesbrownIII.jpg" TargetMode="External"/><Relationship Id="rId1058" Type="http://schemas.openxmlformats.org/officeDocument/2006/relationships/hyperlink" Target="http://kltv.images.worldnow.com/images/8689606_G.jpg" TargetMode="External"/><Relationship Id="rId1059" Type="http://schemas.openxmlformats.org/officeDocument/2006/relationships/hyperlink" Target="http://ww3.hdnux.com/photos/40/54/31/8570490/3/920x920.jpg" TargetMode="External"/><Relationship Id="rId376" Type="http://schemas.openxmlformats.org/officeDocument/2006/relationships/hyperlink" Target="http://www.bakersfieldnow.com/news/local/Man-shot-in-Delano-300955291.html" TargetMode="External"/><Relationship Id="rId377" Type="http://schemas.openxmlformats.org/officeDocument/2006/relationships/hyperlink" Target="http://www.midhudsonnews.com/News/2015/April/24/Fishkill_inmate_Harrell-24Apr15.htm" TargetMode="External"/><Relationship Id="rId378" Type="http://schemas.openxmlformats.org/officeDocument/2006/relationships/hyperlink" Target="http://www.nj.com/middlesex/index.ssf/2015/04/man_killed_by_state_trooper_released_from_state_pr.html" TargetMode="External"/><Relationship Id="rId379" Type="http://schemas.openxmlformats.org/officeDocument/2006/relationships/hyperlink" Target="http://www.latimes.com/local/lanow/la-me-ln-lapd-lincoln-heights-shooting-20150422-story.html" TargetMode="External"/><Relationship Id="rId820" Type="http://schemas.openxmlformats.org/officeDocument/2006/relationships/hyperlink" Target="http://www.killedbypolice.net/victims/150948.jpg" TargetMode="External"/><Relationship Id="rId821" Type="http://schemas.openxmlformats.org/officeDocument/2006/relationships/hyperlink" Target="http://www.killedbypolice.net/victims/150947.jpg" TargetMode="External"/><Relationship Id="rId822" Type="http://schemas.openxmlformats.org/officeDocument/2006/relationships/hyperlink" Target="http://www.killedbypolice.net/victims/150946.jpg" TargetMode="External"/><Relationship Id="rId823" Type="http://schemas.openxmlformats.org/officeDocument/2006/relationships/hyperlink" Target="http://www.killedbypolice.net/victims/150945.jpg" TargetMode="External"/><Relationship Id="rId824" Type="http://schemas.openxmlformats.org/officeDocument/2006/relationships/hyperlink" Target="http://www.killedbypolice.net/victims/150944.jpg" TargetMode="External"/><Relationship Id="rId825" Type="http://schemas.openxmlformats.org/officeDocument/2006/relationships/hyperlink" Target="http://www.killedbypolice.net/victims/150943.jpg" TargetMode="External"/><Relationship Id="rId826" Type="http://schemas.openxmlformats.org/officeDocument/2006/relationships/hyperlink" Target="http://www.ajc.com/news/news/crime-law/gbi-murder-suspect-believed-killed-by-hall-county-/nn5PY/" TargetMode="External"/><Relationship Id="rId827" Type="http://schemas.openxmlformats.org/officeDocument/2006/relationships/hyperlink" Target="http://www.rgj.com/story/news/crime/2015/10/17/police-gardnerville-man-killed-mother-dies-hospital/74121444/" TargetMode="External"/><Relationship Id="rId828" Type="http://schemas.openxmlformats.org/officeDocument/2006/relationships/hyperlink" Target="http://www.houstonchronicle.com/news/houston-texas/houston/article/Police-fatally-shoot-man-barricaded-in-house-6575018.php" TargetMode="External"/><Relationship Id="rId829" Type="http://schemas.openxmlformats.org/officeDocument/2006/relationships/hyperlink" Target="http://www.killedbypolice.net/victims/150938.jpg" TargetMode="External"/><Relationship Id="rId500" Type="http://schemas.openxmlformats.org/officeDocument/2006/relationships/hyperlink" Target="http://www.muellersfuneralhomes.com/obituaries/Johnathon-Jd-Mar/Print/Wall" TargetMode="External"/><Relationship Id="rId501" Type="http://schemas.openxmlformats.org/officeDocument/2006/relationships/hyperlink" Target="http://www.ocregister.com/articles/mesa-645510-costa-warrants.html" TargetMode="External"/><Relationship Id="rId502" Type="http://schemas.openxmlformats.org/officeDocument/2006/relationships/hyperlink" Target="http://whotv.com/2014/12/17/marshalltown-police-critically-wound-armed-suspect-overnight/" TargetMode="External"/><Relationship Id="rId503" Type="http://schemas.openxmlformats.org/officeDocument/2006/relationships/hyperlink" Target="http://www.nbcphiladelphia.com/news/local/Mayfair-Police-Shooting-285796911.html" TargetMode="External"/><Relationship Id="rId504" Type="http://schemas.openxmlformats.org/officeDocument/2006/relationships/hyperlink" Target="http://www.tennessean.com/story/news/crime/2014/12/14/suspect-killed-officer-injured-south-nashville/20418519/" TargetMode="External"/><Relationship Id="rId505" Type="http://schemas.openxmlformats.org/officeDocument/2006/relationships/hyperlink" Target="http://www.arklatexhomepage.com/media/lib/186/8/4/d/84d8a85a-cc51-4371-b6d1-6a6fb81977f1/Story.jpg" TargetMode="External"/><Relationship Id="rId506" Type="http://schemas.openxmlformats.org/officeDocument/2006/relationships/hyperlink" Target="http://www.everythinglubbock.com/media/lib/197/b/e/9/be97488a-220f-42d4-a656-82afae53b037/Story.jpg" TargetMode="External"/><Relationship Id="rId507" Type="http://schemas.openxmlformats.org/officeDocument/2006/relationships/hyperlink" Target="http://www.newswest9.com/story/27643563/midland-police-identify-officer-killed-in-murder-suicide" TargetMode="External"/><Relationship Id="rId508" Type="http://schemas.openxmlformats.org/officeDocument/2006/relationships/hyperlink" Target="http://www.msnewsnow.com/story/27625936/madison-coroner-called-to-hwy-51-for-officer-involved-shooting" TargetMode="External"/><Relationship Id="rId509" Type="http://schemas.openxmlformats.org/officeDocument/2006/relationships/hyperlink" Target="http://www.wbir.com/story/news/local/sevierville-sevier/2014/12/13/spd-officer-shoots-kills-man-standoff/20349589/" TargetMode="External"/><Relationship Id="rId380" Type="http://schemas.openxmlformats.org/officeDocument/2006/relationships/hyperlink" Target="http://www.wtok.com/news/headlines/Lauderdale-County-Man-Dies-after-Arrest-300851931.html" TargetMode="External"/><Relationship Id="rId381" Type="http://schemas.openxmlformats.org/officeDocument/2006/relationships/hyperlink" Target="http://www.suntelegraph.com/story/2015/04/21/community/leasa-hlavinka-husband-was-a-doting-father/6849.html" TargetMode="External"/><Relationship Id="rId382" Type="http://schemas.openxmlformats.org/officeDocument/2006/relationships/hyperlink" Target="http://www.kentucky.com/2015/04/19/3809168/wilmore-man-killed-by-police-had.html" TargetMode="External"/><Relationship Id="rId383" Type="http://schemas.openxmlformats.org/officeDocument/2006/relationships/hyperlink" Target="http://www.azfamily.com/story/28852387/phoenix-pds-mental-health-squad-looks-to-reduce-violent-encounters" TargetMode="External"/><Relationship Id="rId384" Type="http://schemas.openxmlformats.org/officeDocument/2006/relationships/hyperlink" Target="http://www.chicagotribune.com/news/local/breaking/chi-man-fatally-shot-by-police-in-south-shore-20150417-story.html" TargetMode="External"/><Relationship Id="rId385" Type="http://schemas.openxmlformats.org/officeDocument/2006/relationships/hyperlink" Target="http://www.pe.com/articles/car-765208-officers-sheriff.html" TargetMode="External"/><Relationship Id="rId1060" Type="http://schemas.openxmlformats.org/officeDocument/2006/relationships/hyperlink" Target="http://media.ksat.com/photo/2015/09/02/Roger-Albrecht-shot-by-SAPD_1441236920219_158947_ver1.0_1280_720.jpg" TargetMode="External"/><Relationship Id="rId1061" Type="http://schemas.openxmlformats.org/officeDocument/2006/relationships/hyperlink" Target="http://img.deseretnews.com/images/article/midres/1589560/1589560.jpg" TargetMode="External"/><Relationship Id="rId1062" Type="http://schemas.openxmlformats.org/officeDocument/2006/relationships/hyperlink" Target="http://crimeblog.dallasnews.com/files/2015/08/Bertrand.jpg" TargetMode="External"/><Relationship Id="rId1063" Type="http://schemas.openxmlformats.org/officeDocument/2006/relationships/hyperlink" Target="http://www.chattanoogan.com/photos/2015/8/article.307038.large.jpg" TargetMode="External"/><Relationship Id="rId1064" Type="http://schemas.openxmlformats.org/officeDocument/2006/relationships/hyperlink" Target="http://img01.funeralnet.com/obit_photo.php?fullsize=1&amp;id=1540231&amp;clientid=jenkins-soffe&amp;iid=889565" TargetMode="External"/><Relationship Id="rId1065" Type="http://schemas.openxmlformats.org/officeDocument/2006/relationships/hyperlink" Target="http://www.gannett-cdn.com/-mm-/ba9b0cd1ff1977f0469200d5bdba66aed4208811/c=0-37-720-578&amp;r=x404&amp;c=534x401/local/-/media/2015/08/27/Nashville/Nashville/635762774997799576-SteveDoddBDay.JPG" TargetMode="External"/><Relationship Id="rId386" Type="http://schemas.openxmlformats.org/officeDocument/2006/relationships/hyperlink" Target="http://www.bakersfieldnow.com/news/local/Questions-raised-after-officer-involved-shooting-in-Shafter-300410121.html" TargetMode="External"/><Relationship Id="rId387" Type="http://schemas.openxmlformats.org/officeDocument/2006/relationships/hyperlink" Target="http://www.detroitnews.com/story/news/local/wayne-county/2015/04/17/assault-suspect-died-hit-taser-identified/25947299/" TargetMode="External"/><Relationship Id="rId388" Type="http://schemas.openxmlformats.org/officeDocument/2006/relationships/hyperlink" Target="http://www.abc17news.com/news/suspect-shot-and-killed-by-police/32394506" TargetMode="External"/><Relationship Id="rId389" Type="http://schemas.openxmlformats.org/officeDocument/2006/relationships/hyperlink" Target="http://www.nbcmiami.com/news/local/FDLE-Investigating-Fatal-Police-Involved-Shooting-in-Miami-Dade-300173991.html" TargetMode="External"/><Relationship Id="rId1066" Type="http://schemas.openxmlformats.org/officeDocument/2006/relationships/hyperlink" Target="http://media.philly.com/images/180*200/20150826_inq_sshooting26z-f.JPG" TargetMode="External"/><Relationship Id="rId1067" Type="http://schemas.openxmlformats.org/officeDocument/2006/relationships/hyperlink" Target="https://lintvkrqe.files.wordpress.com/2015/08/marvin.png?w=351" TargetMode="External"/><Relationship Id="rId1068" Type="http://schemas.openxmlformats.org/officeDocument/2006/relationships/hyperlink" Target="http://www.news3lv.com/media/lib/166/1/2/5/1253516c-7ddf-4dd7-8c51-c93e9f588679/Original.jpg" TargetMode="External"/><Relationship Id="rId1069" Type="http://schemas.openxmlformats.org/officeDocument/2006/relationships/hyperlink" Target="http://bloximages.chicago2.vip.townnews.com/grandrapidsmn.com/content/tncms/assets/v3/editorial/8/3b/83b1ca04-4ffc-11e5-ad77-6f83536a09fe/55e47f70cd36f.image.jpg?resize=300%2C213" TargetMode="External"/><Relationship Id="rId830" Type="http://schemas.openxmlformats.org/officeDocument/2006/relationships/hyperlink" Target="http://ktla.com/2015/10/16/1-dead-3-injured-in-deputy-involved-crash-in-west-hollywood/" TargetMode="External"/><Relationship Id="rId831" Type="http://schemas.openxmlformats.org/officeDocument/2006/relationships/hyperlink" Target="http://www.killedbypolice.net/victims/150937.jpg" TargetMode="External"/><Relationship Id="rId832" Type="http://schemas.openxmlformats.org/officeDocument/2006/relationships/hyperlink" Target="http://www.killedbypolice.net/victims/150935.jpg" TargetMode="External"/><Relationship Id="rId833" Type="http://schemas.openxmlformats.org/officeDocument/2006/relationships/hyperlink" Target="http://www.davisenterprise.com/?p=602436&amp;preview_id=602436" TargetMode="External"/><Relationship Id="rId834" Type="http://schemas.openxmlformats.org/officeDocument/2006/relationships/hyperlink" Target="http://www.killedbypolice.net/victims/150934.jpg" TargetMode="External"/><Relationship Id="rId835" Type="http://schemas.openxmlformats.org/officeDocument/2006/relationships/hyperlink" Target="http://www.killedbypolice.net/victims/150932.jpg" TargetMode="External"/><Relationship Id="rId836" Type="http://schemas.openxmlformats.org/officeDocument/2006/relationships/hyperlink" Target="http://www.killedbypolice.net/victims/150930.jpg" TargetMode="External"/><Relationship Id="rId837" Type="http://schemas.openxmlformats.org/officeDocument/2006/relationships/hyperlink" Target="http://www.killedbypolice.net/victims/150929.jpg" TargetMode="External"/><Relationship Id="rId838" Type="http://schemas.openxmlformats.org/officeDocument/2006/relationships/hyperlink" Target="http://www.killedbypolice.net/victims/150923.jpg" TargetMode="External"/><Relationship Id="rId839" Type="http://schemas.openxmlformats.org/officeDocument/2006/relationships/hyperlink" Target="http://www.killedbypolice.net/victims/150922.jpg" TargetMode="External"/><Relationship Id="rId510" Type="http://schemas.openxmlformats.org/officeDocument/2006/relationships/hyperlink" Target="http://www.kktv.com/home/headlines/One-Man-Hospialized-After-Officer-Involved-Shooting-285508201.html" TargetMode="External"/><Relationship Id="rId511" Type="http://schemas.openxmlformats.org/officeDocument/2006/relationships/hyperlink" Target="http://wvtm.membercenter.worldnow.com/story/27598792/1-dead-in-sanford-officer-involved-shooting" TargetMode="External"/><Relationship Id="rId512" Type="http://schemas.openxmlformats.org/officeDocument/2006/relationships/hyperlink" Target="http://abc7chicago.com/news/armed-man-84-fatally-shot-by-police-in-lake-station-ind/428887/" TargetMode="External"/><Relationship Id="rId513" Type="http://schemas.openxmlformats.org/officeDocument/2006/relationships/hyperlink" Target="http://www.lansingstatejournal.com/story/news/local/2014/12/08/shooting-lansing-township/20101031/" TargetMode="External"/><Relationship Id="rId514" Type="http://schemas.openxmlformats.org/officeDocument/2006/relationships/hyperlink" Target="http://www.mynews3.com/content/specials/crimetracker/story/One-dead-in-shooting-inside-Rio-casino-early-today/cN46O5Q68ky6b5gwzcAquQ.cspx" TargetMode="External"/><Relationship Id="rId515" Type="http://schemas.openxmlformats.org/officeDocument/2006/relationships/hyperlink" Target="http://ktla.com/2014/12/05/armed-man-shot-by-officers-near-hollywood-and-highland-lapd/" TargetMode="External"/><Relationship Id="rId516" Type="http://schemas.openxmlformats.org/officeDocument/2006/relationships/hyperlink" Target="http://wistv.images.worldnow.com/images/6145354_G.jpg" TargetMode="External"/><Relationship Id="rId517" Type="http://schemas.openxmlformats.org/officeDocument/2006/relationships/hyperlink" Target="http://www.wltx.com/story/news/local/2014/12/05/sled-investigating-officer-involved-shooting/19980013/" TargetMode="External"/><Relationship Id="rId518" Type="http://schemas.openxmlformats.org/officeDocument/2006/relationships/hyperlink" Target="http://www.thenewsstar.com/story/news/local/2014/12/23/officer-involved-shooting-named-separate-case/20814039/" TargetMode="External"/><Relationship Id="rId519" Type="http://schemas.openxmlformats.org/officeDocument/2006/relationships/hyperlink" Target="http://www.star-telegram.com/2014/12/03/6335890/fort-worth-police-fatally-shoot.html?rh=1" TargetMode="External"/><Relationship Id="rId390" Type="http://schemas.openxmlformats.org/officeDocument/2006/relationships/hyperlink" Target="http://www.brownrobinson.com/obituary/4199/Donte_Noble" TargetMode="External"/><Relationship Id="rId391" Type="http://schemas.openxmlformats.org/officeDocument/2006/relationships/hyperlink" Target="http://www.wyff4.com/news/police-find-man-stabbing-wife-shoot-kill-him/32384112" TargetMode="External"/><Relationship Id="rId392" Type="http://schemas.openxmlformats.org/officeDocument/2006/relationships/hyperlink" Target="http://www.dailybulletin.com/government-and-politics/20150416/man-fatally-shot-by-deputies-near-montclair-had-bb-gun" TargetMode="External"/><Relationship Id="rId393" Type="http://schemas.openxmlformats.org/officeDocument/2006/relationships/hyperlink" Target="http://wreg.com/2015/04/15/man-wielding-machete-is-shot-and-killed-by-jonesboro-patrolman/" TargetMode="External"/><Relationship Id="rId394" Type="http://schemas.openxmlformats.org/officeDocument/2006/relationships/hyperlink" Target="http://www.nbclosangeles.com/news/local/Highland-In-Custody-Death-Investigation-300128821.html" TargetMode="External"/><Relationship Id="rId395" Type="http://schemas.openxmlformats.org/officeDocument/2006/relationships/hyperlink" Target="http://denver.cbslocal.com/2015/04/16/marriage-down-the-tubes-i-hope-they-kill-me-says-killed-standoff-suspect-on-facebook/" TargetMode="External"/><Relationship Id="rId396" Type="http://schemas.openxmlformats.org/officeDocument/2006/relationships/hyperlink" Target="http://www.nj.com/mercer/index.ssf/2015/04/man_shot_by_hamilton_police_in_stabbing_incident_d.html" TargetMode="External"/><Relationship Id="rId397" Type="http://schemas.openxmlformats.org/officeDocument/2006/relationships/hyperlink" Target="http://www.recordonline.com/article/20150428/OPINION/150429329/101136/OPINION" TargetMode="External"/><Relationship Id="rId398" Type="http://schemas.openxmlformats.org/officeDocument/2006/relationships/hyperlink" Target="http://www.oregonlive.com/portland/index.ssf/2015/04/se_portland_double_murder_susp.html" TargetMode="External"/><Relationship Id="rId399" Type="http://schemas.openxmlformats.org/officeDocument/2006/relationships/hyperlink" Target="http://fox2now.com/2015/04/14/man-identified-in-alton-officer-involved-shooting/" TargetMode="External"/><Relationship Id="rId1070" Type="http://schemas.openxmlformats.org/officeDocument/2006/relationships/hyperlink" Target="https://localtvwghp.files.wordpress.com/2015/08/untitled-213.jpg?w=770" TargetMode="External"/><Relationship Id="rId1071" Type="http://schemas.openxmlformats.org/officeDocument/2006/relationships/hyperlink" Target="http://cdn.abclocal.go.com/content/kabc/images/cms/automation/vod/951884_630x354.jpg" TargetMode="External"/><Relationship Id="rId1072" Type="http://schemas.openxmlformats.org/officeDocument/2006/relationships/hyperlink" Target="http://www.gannett-cdn.com/-mm-/a2664058176a9ff4cae92b8cdc4e8763a554b8c9/c=50-20-609-440&amp;r=x404&amp;c=534x401/local/-/media/2015/08/20/DetroitFreePress/DetroitFreePress/635756876412518122-leviere-ransom.JPG" TargetMode="External"/><Relationship Id="rId1073" Type="http://schemas.openxmlformats.org/officeDocument/2006/relationships/hyperlink" Target="http://www.trbimg.com/img-55d4fdaf/turbine/la-me-inmate-killed-by-guards-in-third-prison--002/550/309x550" TargetMode="External"/><Relationship Id="rId1074" Type="http://schemas.openxmlformats.org/officeDocument/2006/relationships/hyperlink" Target="https://cbssanfran.files.wordpress.com/2015/08/nathaniel_wilks_081415.jpg" TargetMode="External"/><Relationship Id="rId1075" Type="http://schemas.openxmlformats.org/officeDocument/2006/relationships/hyperlink" Target="http://woio.images.worldnow.com/images/7942214_G.jpg" TargetMode="External"/><Relationship Id="rId1076" Type="http://schemas.openxmlformats.org/officeDocument/2006/relationships/hyperlink" Target="http://tucson.com/news/blogs/police-beat/man-killed-in-tucson-police-shooting-linked-to-slaying/article_760fd780-3bd7-11e5-9927-0f42f589a5ea.html" TargetMode="External"/><Relationship Id="rId1077" Type="http://schemas.openxmlformats.org/officeDocument/2006/relationships/hyperlink" Target="http://abc7.com/news/armed-woman-shot-by-police-in-crenshaw-district/925223/" TargetMode="External"/><Relationship Id="rId1078" Type="http://schemas.openxmlformats.org/officeDocument/2006/relationships/hyperlink" Target="http://timesleader.com/news/local/376876/disabled-man-waving-gun-killed-by-police-in-pittston" TargetMode="External"/><Relationship Id="rId1079" Type="http://schemas.openxmlformats.org/officeDocument/2006/relationships/hyperlink" Target="http://www.kansas.com/news/local/crime/article32105529.html" TargetMode="External"/><Relationship Id="rId840" Type="http://schemas.openxmlformats.org/officeDocument/2006/relationships/hyperlink" Target="http://www.killedbypolice.net/victims/2797.jpg" TargetMode="External"/><Relationship Id="rId841" Type="http://schemas.openxmlformats.org/officeDocument/2006/relationships/hyperlink" Target="http://www.necn.com/news/new-england/Man-Dies-Following-Struggle-With-Police-332162782.html" TargetMode="External"/><Relationship Id="rId842" Type="http://schemas.openxmlformats.org/officeDocument/2006/relationships/hyperlink" Target="http://www.killedbypolice.net/victims/150916.jpg" TargetMode="External"/><Relationship Id="rId843" Type="http://schemas.openxmlformats.org/officeDocument/2006/relationships/hyperlink" Target="http://www.killedbypolice.net/victims/150915.jpg" TargetMode="External"/><Relationship Id="rId844" Type="http://schemas.openxmlformats.org/officeDocument/2006/relationships/hyperlink" Target="http://www.killedbypolice.net/victims/150914.jpg" TargetMode="External"/><Relationship Id="rId845" Type="http://schemas.openxmlformats.org/officeDocument/2006/relationships/hyperlink" Target="http://www.killedbypolice.net/victims/150913.jpg" TargetMode="External"/><Relationship Id="rId846" Type="http://schemas.openxmlformats.org/officeDocument/2006/relationships/hyperlink" Target="http://www.killedbypolice.net/victims/150908.jpg" TargetMode="External"/><Relationship Id="rId847" Type="http://schemas.openxmlformats.org/officeDocument/2006/relationships/hyperlink" Target="http://www.killedbypolice.net/victims/150994.jpg" TargetMode="External"/><Relationship Id="rId848" Type="http://schemas.openxmlformats.org/officeDocument/2006/relationships/hyperlink" Target="http://www.killedbypolice.net/victims/150920.jpg" TargetMode="External"/><Relationship Id="rId849" Type="http://schemas.openxmlformats.org/officeDocument/2006/relationships/hyperlink" Target="http://www.killedbypolice.net/victims/150931.jpg" TargetMode="External"/><Relationship Id="rId520" Type="http://schemas.openxmlformats.org/officeDocument/2006/relationships/hyperlink" Target="https://encrypted-tbn1.gstatic.com/images?q=tbn:ANd9GcReseSA89ykdECqZfgRZGCtXTy03nbwQN7mgVVimHD6HxveTuXMkCVC4Q" TargetMode="External"/><Relationship Id="rId521" Type="http://schemas.openxmlformats.org/officeDocument/2006/relationships/hyperlink" Target="http://newsok.com/officer-involved-shooting-reported-in-northwest-oklahoma-city/article/5372084" TargetMode="External"/><Relationship Id="rId522" Type="http://schemas.openxmlformats.org/officeDocument/2006/relationships/hyperlink" Target="http://www.chron.com/news/houston-texas/article/1-dead-in-officer-involved-shooting-in-NW-Harris-5928188.php" TargetMode="External"/><Relationship Id="rId523" Type="http://schemas.openxmlformats.org/officeDocument/2006/relationships/hyperlink" Target="http://crimeblog.dallasnews.com/2014/11/balch-springs-police-say-man-died-in-custody-tuesday-after-he-fought-arresting-officers.html/" TargetMode="External"/><Relationship Id="rId524" Type="http://schemas.openxmlformats.org/officeDocument/2006/relationships/hyperlink" Target="http://www.firstcoastnews.com/story/news/local/2014/11/24/jso-involved-incident-gate-gas-station/70068030/" TargetMode="External"/><Relationship Id="rId525" Type="http://schemas.openxmlformats.org/officeDocument/2006/relationships/hyperlink" Target="http://www.kutv.com/news/features/top-stories/stories/South-Jordan-police-give-more-details-in-shooting-death-of-1-man-59617.shtml" TargetMode="External"/><Relationship Id="rId526" Type="http://schemas.openxmlformats.org/officeDocument/2006/relationships/hyperlink" Target="http://sacramento.cbslocal.com/2014/11/23/suspect-dead-after-shootout-in-downtown-sonora-officer-bystander-hurt/" TargetMode="External"/><Relationship Id="rId527" Type="http://schemas.openxmlformats.org/officeDocument/2006/relationships/hyperlink" Target="http://www.wral.com/family-man-who-shot-fayetteville-officer-suffered-from-mental-illness/14200793/" TargetMode="External"/><Relationship Id="rId528" Type="http://schemas.openxmlformats.org/officeDocument/2006/relationships/hyperlink" Target="http://www.revelsfh.com/obituaries/uploads/OI1223286732_FullSizeRender.jpg" TargetMode="External"/><Relationship Id="rId529" Type="http://schemas.openxmlformats.org/officeDocument/2006/relationships/hyperlink" Target="http://www.mcall.com/news/breaking/mc-d-phillipsburg-officer-involved-shooting-suspect-dies-20141118-story.html" TargetMode="External"/><Relationship Id="rId1200" Type="http://schemas.openxmlformats.org/officeDocument/2006/relationships/hyperlink" Target="http://timesleader.com/news/local/380612/schuylkill-county-man-dies-after-being-tased-by-police" TargetMode="External"/><Relationship Id="rId1201" Type="http://schemas.openxmlformats.org/officeDocument/2006/relationships/hyperlink" Target="http://www.wlky.com/news/1-dead-after-officer-involvedshooting-in-french-lick/35109748" TargetMode="External"/><Relationship Id="rId1202" Type="http://schemas.openxmlformats.org/officeDocument/2006/relationships/hyperlink" Target="http://lostcoastoutpost.com/2015/sep/5/man-shot-killed-near-weitchpec-shootout-hoopa-trib/" TargetMode="External"/><Relationship Id="rId1203" Type="http://schemas.openxmlformats.org/officeDocument/2006/relationships/hyperlink" Target="http://www.wfaa.com/story/news/crime/2015/09/05/parker-county-shooting-suspect-springtown/71796330/" TargetMode="External"/><Relationship Id="rId1204" Type="http://schemas.openxmlformats.org/officeDocument/2006/relationships/hyperlink" Target="http://dcourier.com/main.asp?SectionID=1&amp;subsectionID=1086&amp;articleID=149431" TargetMode="External"/><Relationship Id="rId1205" Type="http://schemas.openxmlformats.org/officeDocument/2006/relationships/hyperlink" Target="http://www.nh1.com/news/nh-ag-merrimack-man-shot-by-police-has-died-of-gunshot-wounds/" TargetMode="External"/><Relationship Id="rId1206" Type="http://schemas.openxmlformats.org/officeDocument/2006/relationships/hyperlink" Target="http://www.wvva.com/story/29931732/2015/09/01/police-engage-active-shooter-in-bluefield" TargetMode="External"/><Relationship Id="rId1207" Type="http://schemas.openxmlformats.org/officeDocument/2006/relationships/hyperlink" Target="http://www.newsnet5.com/news/local-news/oh-cuyahoga/3-people-shot-in-twinsburg-kent-state-regional-academic-center-in-lockdown-officials-confirm" TargetMode="External"/><Relationship Id="rId1208" Type="http://schemas.openxmlformats.org/officeDocument/2006/relationships/hyperlink" Target="http://krqe.com/2015/09/01/artesia-man-killed-after-shootout-with-police/" TargetMode="External"/><Relationship Id="rId1209" Type="http://schemas.openxmlformats.org/officeDocument/2006/relationships/hyperlink" Target="http://www.nj.com/essex/index.ssf/2015/09/carjacking_leads_to_death_of_juvenile_suspect_poli.html" TargetMode="External"/><Relationship Id="rId200" Type="http://schemas.openxmlformats.org/officeDocument/2006/relationships/hyperlink" Target="http://www.wowktv.com/story/29310449/inmate-death-reported-at-mount-olive-prison-in-fayette-county" TargetMode="External"/><Relationship Id="rId201" Type="http://schemas.openxmlformats.org/officeDocument/2006/relationships/hyperlink" Target="http://www.trbimg.com/img-557a9e9e/turbine/fl-pompano-beach-fatal-shoot-bso-20150611-003/550/550x309" TargetMode="External"/><Relationship Id="rId202" Type="http://schemas.openxmlformats.org/officeDocument/2006/relationships/hyperlink" Target="http://www.local10.com/news/bso-investigates-deputyinvolved-shooting-in-pompano-beach/33522974" TargetMode="External"/><Relationship Id="rId203" Type="http://schemas.openxmlformats.org/officeDocument/2006/relationships/hyperlink" Target="http://i.dailymail.co.uk/i/pix/2015/06/12/08/298F3F8200000578-3120464-image-m-3_1434095771297.jpg" TargetMode="External"/><Relationship Id="rId204" Type="http://schemas.openxmlformats.org/officeDocument/2006/relationships/hyperlink" Target="http://miami.cbslocal.com/2015/06/11/witnesses-police-officer-shoots-homeless-man-five-times-in-miami/" TargetMode="External"/><Relationship Id="rId205" Type="http://schemas.openxmlformats.org/officeDocument/2006/relationships/hyperlink" Target="http://victimsofpolice.com/2015/images/Mark-Flores-Jr.jpg" TargetMode="External"/><Relationship Id="rId206" Type="http://schemas.openxmlformats.org/officeDocument/2006/relationships/hyperlink" Target="http://www.ksat.com/news/father-says-mental-issues-triggered-gun-fight-with-son" TargetMode="External"/><Relationship Id="rId207" Type="http://schemas.openxmlformats.org/officeDocument/2006/relationships/hyperlink" Target="http://www.northjersey.com/polopoly_fs/1.1355145.1434164980!/fileImage/httpImage/image.jpg_gen/derivatives/landscape_300/hackensackshooting.jpg" TargetMode="External"/><Relationship Id="rId208" Type="http://schemas.openxmlformats.org/officeDocument/2006/relationships/hyperlink" Target="http://www.northjersey.com/news/hackensack-man-killed-in-police-involved-shooting-had-knife-officials-say-1.1354435" TargetMode="External"/><Relationship Id="rId209" Type="http://schemas.openxmlformats.org/officeDocument/2006/relationships/hyperlink" Target="http://www.wsmv.com/story/29298752/officer-involved-fatal-shooting-reported-in-columbia" TargetMode="External"/><Relationship Id="rId1080" Type="http://schemas.openxmlformats.org/officeDocument/2006/relationships/hyperlink" Target="http://www.click2houston.com/news/driver-shot-killed-after-leading-police-on-chase-across-sw-houston/34492804" TargetMode="External"/><Relationship Id="rId1081" Type="http://schemas.openxmlformats.org/officeDocument/2006/relationships/hyperlink" Target="http://wric.com/2015/08/04/state-police-armed-man-killed-after-officer-involved-shooting-in-powhatan-county/" TargetMode="External"/><Relationship Id="rId1082" Type="http://schemas.openxmlformats.org/officeDocument/2006/relationships/hyperlink" Target="http://www.washingtonpost.com/news/morning-mix/wp/2015/08/12/christian-taylors-father-feels-for-fired-cop-there-isnt-a-winner-in-this-we-are-both-losers/" TargetMode="External"/><Relationship Id="rId1083" Type="http://schemas.openxmlformats.org/officeDocument/2006/relationships/hyperlink" Target="http://homicide.latimes.com/post/derrick-lee-hunt/" TargetMode="External"/><Relationship Id="rId1084" Type="http://schemas.openxmlformats.org/officeDocument/2006/relationships/hyperlink" Target="http://missoulian.com/news/local/mineral-county-releases-names-of-deputy-victim-in-fatal-shooting/article_b5fd7dbd-f901-5fba-b7d9-5260acaac37c.html" TargetMode="External"/><Relationship Id="rId1085" Type="http://schemas.openxmlformats.org/officeDocument/2006/relationships/hyperlink" Target="http://foxct.com/2015/08/08/combative-man-hit-by-taser-in-hartford-dies/" TargetMode="External"/><Relationship Id="rId1086" Type="http://schemas.openxmlformats.org/officeDocument/2006/relationships/hyperlink" Target="http://www.charlotteobserver.com/news/local/crime/article30532512.html" TargetMode="External"/><Relationship Id="rId1087" Type="http://schemas.openxmlformats.org/officeDocument/2006/relationships/hyperlink" Target="http://www.khq.com/story/29771812/man-killed-in-officer-involved-shooting-identified" TargetMode="External"/><Relationship Id="rId1088" Type="http://schemas.openxmlformats.org/officeDocument/2006/relationships/hyperlink" Target="http://www.khou.com/story/news/local/2015/08/09/man-killed-in-officer-involved-shooting-in-waller-county/31363535/" TargetMode="External"/><Relationship Id="rId1089" Type="http://schemas.openxmlformats.org/officeDocument/2006/relationships/hyperlink" Target="http://www.postandcourier.com/article/20150810/PC16/150819946" TargetMode="External"/><Relationship Id="rId850" Type="http://schemas.openxmlformats.org/officeDocument/2006/relationships/hyperlink" Target="http://www.newsnet5.com/news/local-news/oh-cuyahoga/witnesspolice-cruiser-hit-kills-man" TargetMode="External"/><Relationship Id="rId851" Type="http://schemas.openxmlformats.org/officeDocument/2006/relationships/hyperlink" Target="http://www.sun-sentinel.com/local/broward/fl-pedestrian-fatal-20151031-story.html" TargetMode="External"/><Relationship Id="rId852" Type="http://schemas.openxmlformats.org/officeDocument/2006/relationships/hyperlink" Target="http://www.news4jax.com/news/policeinvolved-shooting-in-east-arlington/36098444" TargetMode="External"/><Relationship Id="rId853" Type="http://schemas.openxmlformats.org/officeDocument/2006/relationships/hyperlink" Target="http://www.nbcsandiego.com/news/local/San-Diego-Harbor-Police-Shooting-Fatal-Officer-Involved-337915742.html" TargetMode="External"/><Relationship Id="rId854" Type="http://schemas.openxmlformats.org/officeDocument/2006/relationships/hyperlink" Target="http://www.nbcwashington.com/news/local/1-Injured-in-NW-DC-Shooting-337103121.html" TargetMode="External"/><Relationship Id="rId855" Type="http://schemas.openxmlformats.org/officeDocument/2006/relationships/hyperlink" Target="http://newsok.com/article/5456285" TargetMode="External"/><Relationship Id="rId856" Type="http://schemas.openxmlformats.org/officeDocument/2006/relationships/hyperlink" Target="http://www.sandiegouniontribune.com/news/2015/oct/17/chula-vista-shooting/" TargetMode="External"/><Relationship Id="rId857" Type="http://schemas.openxmlformats.org/officeDocument/2006/relationships/hyperlink" Target="http://abc13.com/news/one-dead-in-officer-involved-shooting-in-nw-houston/1035019/" TargetMode="External"/><Relationship Id="rId858" Type="http://schemas.openxmlformats.org/officeDocument/2006/relationships/hyperlink" Target="http://bloximages.newyork1.vip.townnews.com/oanow.com/content/tncms/assets/v3/editorial/4/24/42460824-81ce-11e5-8788-17b5c2efa76d/563814cfd1a5a.image.jpg?resize=300%2C169" TargetMode="External"/><Relationship Id="rId859" Type="http://schemas.openxmlformats.org/officeDocument/2006/relationships/hyperlink" Target="http://www.ledger-enquirer.com/news/article42133281.html" TargetMode="External"/><Relationship Id="rId530" Type="http://schemas.openxmlformats.org/officeDocument/2006/relationships/hyperlink" Target="http://www.weau.com/home/headlines/Female-suspect-killed-in-Boyceville-officer-involved-shooting-282832071.html" TargetMode="External"/><Relationship Id="rId531" Type="http://schemas.openxmlformats.org/officeDocument/2006/relationships/hyperlink" Target="http://www.local8now.com/home/headlines/Shooting-investigation-in-South-Knox-County-282637501.html" TargetMode="External"/><Relationship Id="rId532" Type="http://schemas.openxmlformats.org/officeDocument/2006/relationships/hyperlink" Target="http://www.news-record.com/news/guilford-county-sheriff-s-deputies-involved-in-chase-that-ends/article_79451250-6a25-11e4-bb91-87f8f4995f40.html" TargetMode="External"/><Relationship Id="rId533" Type="http://schemas.openxmlformats.org/officeDocument/2006/relationships/hyperlink" Target="http://imgick.nj.com/home/njo-media/width620/img/middlesex_impact/photo/16419415-mmmain.png" TargetMode="External"/><Relationship Id="rId534" Type="http://schemas.openxmlformats.org/officeDocument/2006/relationships/hyperlink" Target="http://www.nj.com/middlesex/index.ssf/2014/11/middlesex_county_death_jail_inmate_family_wait_for_answers.html" TargetMode="External"/><Relationship Id="rId535" Type="http://schemas.openxmlformats.org/officeDocument/2006/relationships/hyperlink" Target="http://www.jacksonsun.com/story/news/local/2014/11/11/parents-man-shot-officer-speak-tbi-investigate/18836355/" TargetMode="External"/><Relationship Id="rId536" Type="http://schemas.openxmlformats.org/officeDocument/2006/relationships/hyperlink" Target="http://magicvalley.com/news/local/crime-and-courts/update-man-fatally-shot-by-jerome-county-deputies-identified/article_4355b3bd-44b7-5e74-8937-16ad1d7d96cc.html" TargetMode="External"/><Relationship Id="rId537" Type="http://schemas.openxmlformats.org/officeDocument/2006/relationships/hyperlink" Target="http://www.rgj.com/story/news/crime/2014/11/05/police-officer-involved-shooting-near-unr/18563353/" TargetMode="External"/><Relationship Id="rId538" Type="http://schemas.openxmlformats.org/officeDocument/2006/relationships/hyperlink" Target="https://www.facebook.com/groups/387178151407408/" TargetMode="External"/><Relationship Id="rId539" Type="http://schemas.openxmlformats.org/officeDocument/2006/relationships/hyperlink" Target="http://www.yakimaherald.com/news/latestlocalnews/2632541-8/man-fatally-shot-by-yakima-county-deputy" TargetMode="External"/><Relationship Id="rId1210" Type="http://schemas.openxmlformats.org/officeDocument/2006/relationships/hyperlink" Target="http://www.azfamily.com/story/30135717/ycso-identifies-deputies-who-shot-killed-armed-suspect" TargetMode="External"/><Relationship Id="rId1211" Type="http://schemas.openxmlformats.org/officeDocument/2006/relationships/hyperlink" Target="http://wishtv.com/2015/09/25/police-possibly-impaired-officer-hits-kills-pedestrian/" TargetMode="External"/><Relationship Id="rId1212" Type="http://schemas.openxmlformats.org/officeDocument/2006/relationships/hyperlink" Target="http://www.wowktv.com/story/30144266/wv-turnpike-shut-down-following-shots-fired-near-north-beckley" TargetMode="External"/><Relationship Id="rId1213" Type="http://schemas.openxmlformats.org/officeDocument/2006/relationships/hyperlink" Target="http://www.keloland.com/newsdetail.cfm/fatal-officer-involved-shooting/?id=185571" TargetMode="External"/><Relationship Id="rId1214" Type="http://schemas.openxmlformats.org/officeDocument/2006/relationships/hyperlink" Target="http://www.startribune.com/sheriff-deputy-fatally-shoots-man-attacking-him-in-mora/330238731/" TargetMode="External"/><Relationship Id="rId1215" Type="http://schemas.openxmlformats.org/officeDocument/2006/relationships/hyperlink" Target="http://www.al.com/news/index.ssf/2015/10/georgia_state_trooper_fired_fo.html" TargetMode="External"/><Relationship Id="rId1216" Type="http://schemas.openxmlformats.org/officeDocument/2006/relationships/hyperlink" Target="http://www.cleveland.com/akron/index.ssf/2015/10/akron_hookah_bar_owner_shot_du.html" TargetMode="External"/><Relationship Id="rId1217" Type="http://schemas.openxmlformats.org/officeDocument/2006/relationships/hyperlink" Target="http://www.theneworleansadvocate.com/news/13509012-75/man-was-shot-by-st" TargetMode="External"/><Relationship Id="rId1218" Type="http://schemas.openxmlformats.org/officeDocument/2006/relationships/hyperlink" Target="http://www.cenlanow.com/news/local-news/apd-releases-statement-about-officer-involved-shooting" TargetMode="External"/><Relationship Id="rId1219" Type="http://schemas.openxmlformats.org/officeDocument/2006/relationships/hyperlink" Target="http://www.nola.com/crime/index.ssf/2015/09/man_who_shot_at_police_during.html" TargetMode="External"/><Relationship Id="rId210" Type="http://schemas.openxmlformats.org/officeDocument/2006/relationships/hyperlink" Target="http://assets.dnainfo.com/generated/photo/2015/06/hampton-isaiah-13a2575-11-1433968556.jpg/extralarge.jpg" TargetMode="External"/><Relationship Id="rId211" Type="http://schemas.openxmlformats.org/officeDocument/2006/relationships/hyperlink" Target="http://www.nydailynews.com/new-york/bronx/bronx-man-shot-police-responding-domestic-dispute-article-1.2253127" TargetMode="External"/><Relationship Id="rId212" Type="http://schemas.openxmlformats.org/officeDocument/2006/relationships/hyperlink" Target="http://www.killedbypolice.net/victims/150504.jpg" TargetMode="External"/><Relationship Id="rId213" Type="http://schemas.openxmlformats.org/officeDocument/2006/relationships/hyperlink" Target="http://media2.wcpo.com/photo/2015/06/10/16x9/Cincinnati_fatal_officer_involved_shooti_3047750000_19584286_ver1.0_640_480.jpg" TargetMode="External"/><Relationship Id="rId214" Type="http://schemas.openxmlformats.org/officeDocument/2006/relationships/hyperlink" Target="http://www.cincinnati.com/story/news/crime/2015/06/09/officer-involved-shooting-northside/28778129/" TargetMode="External"/><Relationship Id="rId215" Type="http://schemas.openxmlformats.org/officeDocument/2006/relationships/hyperlink" Target="http://www.dallasnews.com/news/metro/20150609-man-who-died-after-police-used-stun-gun-identified.ece" TargetMode="External"/><Relationship Id="rId216" Type="http://schemas.openxmlformats.org/officeDocument/2006/relationships/hyperlink" Target="http://www.yourhoustonnews.com/courier/news/one-dead-after-officer-involved-shooting/article_1cfb859f-d481-5895-abe3-9f10b2b50423.html" TargetMode="External"/><Relationship Id="rId217" Type="http://schemas.openxmlformats.org/officeDocument/2006/relationships/hyperlink" Target="http://www.killedbypolice.net/victims/150505.jpg" TargetMode="External"/><Relationship Id="rId218" Type="http://schemas.openxmlformats.org/officeDocument/2006/relationships/hyperlink" Target="http://www.desmoinesregister.com/story/news/crime-and-courts/2015/06/10/fatal-shooting-officer-involved-merle-hay-urbandale/28779873/" TargetMode="External"/><Relationship Id="rId219" Type="http://schemas.openxmlformats.org/officeDocument/2006/relationships/hyperlink" Target="http://www.killedbypolice.net/victims/150501.jpg" TargetMode="External"/><Relationship Id="rId1090" Type="http://schemas.openxmlformats.org/officeDocument/2006/relationships/hyperlink" Target="http://www.pe.com/articles/vallejo-776889-convicted-shot.html" TargetMode="External"/><Relationship Id="rId1091" Type="http://schemas.openxmlformats.org/officeDocument/2006/relationships/hyperlink" Target="http://wnct.com/2015/08/08/officer-involved-shooting-at-buffalo-wild-wings/" TargetMode="External"/><Relationship Id="rId1092" Type="http://schemas.openxmlformats.org/officeDocument/2006/relationships/hyperlink" Target="http://www.indystar.com/story/news/crime/2015/08/10/carjacking-suspect-dead-officer-involved-shooting/31398827/" TargetMode="External"/><Relationship Id="rId1093" Type="http://schemas.openxmlformats.org/officeDocument/2006/relationships/hyperlink" Target="http://www.sfgate.com/crime/article/San-Jose-police-shoot-and-kill-stabbing-suspect-6434653.php" TargetMode="External"/><Relationship Id="rId1094" Type="http://schemas.openxmlformats.org/officeDocument/2006/relationships/hyperlink" Target="http://www.kxii.com/home/headlines/Suspect-in-Ardmore-officer-involved-shooting-dies-321179871.html" TargetMode="External"/><Relationship Id="rId1095" Type="http://schemas.openxmlformats.org/officeDocument/2006/relationships/hyperlink" Target="http://www.azcentral.com/story/news/local/gilbert/breaking/2015/08/10/officer-involved-shooting-scene--gilbert-abrk/31414861/" TargetMode="External"/><Relationship Id="rId1096" Type="http://schemas.openxmlformats.org/officeDocument/2006/relationships/hyperlink" Target="http://www.spokesman.com/stories/2015/aug/11/man-dies-after-police-shooting-sandpoint/" TargetMode="External"/><Relationship Id="rId1097" Type="http://schemas.openxmlformats.org/officeDocument/2006/relationships/hyperlink" Target="http://www.kwtx.com/home/headlines/Shooting-Reported-At-Local-H-E-B-Store-321470271.html" TargetMode="External"/><Relationship Id="rId1098" Type="http://schemas.openxmlformats.org/officeDocument/2006/relationships/hyperlink" Target="http://www.oaoa.com/news/crime_justice/article_0d1cc546-4094-11e5-b2c0-67fa1d7ef932.html" TargetMode="External"/><Relationship Id="rId1099" Type="http://schemas.openxmlformats.org/officeDocument/2006/relationships/hyperlink" Target="http://www.kob.com/article/stories/s3879034.shtml" TargetMode="External"/><Relationship Id="rId860" Type="http://schemas.openxmlformats.org/officeDocument/2006/relationships/hyperlink" Target="http://www.bradenton.com/news/local/crime/hgcvb4/picture45462828/ALTERNATES/FREE_320/Randy%20Allen%20Smith.jpg" TargetMode="External"/><Relationship Id="rId861" Type="http://schemas.openxmlformats.org/officeDocument/2006/relationships/hyperlink" Target="http://www.bradenton.com/news/local/crime/article45451434.html" TargetMode="External"/><Relationship Id="rId862" Type="http://schemas.openxmlformats.org/officeDocument/2006/relationships/hyperlink" Target="http://media.jrn.com/images/SteveDormil.jpg" TargetMode="External"/><Relationship Id="rId863" Type="http://schemas.openxmlformats.org/officeDocument/2006/relationships/hyperlink" Target="http://www.pe.com/articles/death-787032-altercation-deputy.html" TargetMode="External"/><Relationship Id="rId864" Type="http://schemas.openxmlformats.org/officeDocument/2006/relationships/hyperlink" Target="http://www.fatalencounters.org/wp-content/uploads/2013/10/Cornelius-Brown-e1448418750146.jpg" TargetMode="External"/><Relationship Id="rId865" Type="http://schemas.openxmlformats.org/officeDocument/2006/relationships/hyperlink" Target="http://www.wsvn.com/story/30546376/police-involved-shooting-in-opa-locka-1-dead" TargetMode="External"/><Relationship Id="rId866" Type="http://schemas.openxmlformats.org/officeDocument/2006/relationships/hyperlink" Target="http://www.bet.com/news/national/2015/11/05/another-police-custody-death-alonzo-smith-dies-after-being-handcuffed-in-d-c/_jcr_content/featuredMedia/newsitemimage.newsimage.dimg/110515-national-Alonzo-Smith.jpg" TargetMode="External"/><Relationship Id="rId867" Type="http://schemas.openxmlformats.org/officeDocument/2006/relationships/hyperlink" Target="https://www.washingtonpost.com/local/public-safety/dc-police-investigate-death-of-man-found-unconscious-and-in-handcuffs/2015/11/04/205105a8-8317-11e5-9afb-0c971f713d0c_story.html" TargetMode="External"/><Relationship Id="rId868" Type="http://schemas.openxmlformats.org/officeDocument/2006/relationships/hyperlink" Target="http://www.wusa9.com/story/news/local/dc/2015/11/02/police-involved-shooting-reported-southeast-dc/75070140/" TargetMode="External"/><Relationship Id="rId869" Type="http://schemas.openxmlformats.org/officeDocument/2006/relationships/hyperlink" Target="http://whns.images.worldnow.com/images/9218557_G.jpg" TargetMode="External"/><Relationship Id="rId540" Type="http://schemas.openxmlformats.org/officeDocument/2006/relationships/hyperlink" Target="http://www.wsaz.com/home/headlines/Officers-Shoot-and-Kill-Suspect-During-Drug-Raid-in-Lawrence-County-Ohiog---281476761.html" TargetMode="External"/><Relationship Id="rId541" Type="http://schemas.openxmlformats.org/officeDocument/2006/relationships/hyperlink" Target="http://www.thenewscenter.tv/home/headlines/One-Person-Dead-in-Marietta-Crash-281400271.html" TargetMode="External"/><Relationship Id="rId542" Type="http://schemas.openxmlformats.org/officeDocument/2006/relationships/hyperlink" Target="http://www.kshb.com/news/crime/deputy-fatally-shot-in-cedar-county" TargetMode="External"/><Relationship Id="rId543" Type="http://schemas.openxmlformats.org/officeDocument/2006/relationships/hyperlink" Target="http://www.tucsonnewsnow.com/story/27187359/bicyclist-fatally-struck-by-police-officer-in-unmarked-vehicle" TargetMode="External"/><Relationship Id="rId544" Type="http://schemas.openxmlformats.org/officeDocument/2006/relationships/hyperlink" Target="http://www.wdbj7.com/news/local/lynchburg-bedford/deputy-involved-in-bedford-county-shooting/29390802" TargetMode="External"/><Relationship Id="rId545" Type="http://schemas.openxmlformats.org/officeDocument/2006/relationships/hyperlink" Target="http://www.wsvn.com/story/27025232/1-dead-in-hialeah-police-involved-shooting" TargetMode="External"/><Relationship Id="rId546" Type="http://schemas.openxmlformats.org/officeDocument/2006/relationships/hyperlink" Target="http://www.fayobserver.com/news/local/man-shot-killed-when-cumberland-county-deputies-try-to-serve/article_f253b5ae-7298-5362-8caf-84520ea48f26.html" TargetMode="External"/><Relationship Id="rId547" Type="http://schemas.openxmlformats.org/officeDocument/2006/relationships/hyperlink" Target="http://www.tucsonsentinel.com/local/report/102914_bp_shooting/update-man-fatally-shot-by-border-patrol-identified/" TargetMode="External"/><Relationship Id="rId548" Type="http://schemas.openxmlformats.org/officeDocument/2006/relationships/hyperlink" Target="http://www.nydailynews.com/new-york/nyc-crime/police-shoots-kills-man-ax-queens-article-1.1984914" TargetMode="External"/><Relationship Id="rId549" Type="http://schemas.openxmlformats.org/officeDocument/2006/relationships/hyperlink" Target="http://www.al.com/news/huntsville/index.ssf/2014/10/officer-involved_shooting_at_m.html" TargetMode="External"/><Relationship Id="rId1220" Type="http://schemas.openxmlformats.org/officeDocument/2006/relationships/hyperlink" Target="http://wiat.com/2015/09/13/family-of-man-killed-in-deputy-involved-shooting-speaks-out/" TargetMode="External"/><Relationship Id="rId1221" Type="http://schemas.openxmlformats.org/officeDocument/2006/relationships/hyperlink" Target="http://raycomgroup.worldnow.com/story/30082367/washington-county-sheriff-says-deputy-justified-in-shooting" TargetMode="External"/><Relationship Id="rId1222" Type="http://schemas.openxmlformats.org/officeDocument/2006/relationships/hyperlink" Target="http://www.koat.com/news/disturbance-at-walmart-ends-with-man-dying-in-police-custody/35138362" TargetMode="External"/><Relationship Id="rId1223" Type="http://schemas.openxmlformats.org/officeDocument/2006/relationships/hyperlink" Target="http://www.latimes.com/local/lanow/la-me-ln-lapd-homicide-suspect-dies-20150917-story.html" TargetMode="External"/><Relationship Id="rId1224" Type="http://schemas.openxmlformats.org/officeDocument/2006/relationships/hyperlink" Target="http://www.komonews.com/news/local/Officials-Man-dies-during-altercation-with-police-in-Tulalip-328375921.html" TargetMode="External"/><Relationship Id="rId1225" Type="http://schemas.openxmlformats.org/officeDocument/2006/relationships/hyperlink" Target="http://www.sfgate.com/news/article/Man-shot-dead-by-deputies-in-San-Leandro-gun-6527763.php" TargetMode="External"/><Relationship Id="rId1226" Type="http://schemas.openxmlformats.org/officeDocument/2006/relationships/hyperlink" Target="http://www.orlandosentinel.com/news/breaking-news/os-polk-deputy-involved-shooting-death-20150922-story.html" TargetMode="External"/><Relationship Id="rId1227" Type="http://schemas.openxmlformats.org/officeDocument/2006/relationships/hyperlink" Target="http://www.reviewjournal.com/news/las-vegas/man-killed-north-las-vegas-officers-shootout-idd" TargetMode="External"/><Relationship Id="rId1228" Type="http://schemas.openxmlformats.org/officeDocument/2006/relationships/hyperlink" Target="http://www.local10.com/news/policeinvolved-shooting-in-miami/35454894" TargetMode="External"/><Relationship Id="rId1229" Type="http://schemas.openxmlformats.org/officeDocument/2006/relationships/hyperlink" Target="http://crimeblog.dallasnews.com/2015/09/police-investigating-officer-involved-shooting-in-north-dallas.html/" TargetMode="External"/><Relationship Id="rId220" Type="http://schemas.openxmlformats.org/officeDocument/2006/relationships/hyperlink" Target="https://www.toledoblade.com/Police-Fire/2015/06/09/Findlay-officer-involved-in-shooting.html" TargetMode="External"/><Relationship Id="rId221" Type="http://schemas.openxmlformats.org/officeDocument/2006/relationships/hyperlink" Target="http://www.killedbypolice.net/victims/150496.jpg" TargetMode="External"/><Relationship Id="rId222" Type="http://schemas.openxmlformats.org/officeDocument/2006/relationships/hyperlink" Target="http://www.wftv.com/news/news/local/police-person-interest-killed-melbourne-officer-in/nmX7b/" TargetMode="External"/><Relationship Id="rId223" Type="http://schemas.openxmlformats.org/officeDocument/2006/relationships/hyperlink" Target="http://www.killedbypolice.net/victims/150498.jpg" TargetMode="External"/><Relationship Id="rId224" Type="http://schemas.openxmlformats.org/officeDocument/2006/relationships/hyperlink" Target="http://www.ocregister.com/articles/shooting-665164-personnel-dispatchers.html" TargetMode="External"/><Relationship Id="rId225" Type="http://schemas.openxmlformats.org/officeDocument/2006/relationships/hyperlink" Target="http://www.indystar.com/story/news/crime/2015/06/08/police-shooting-suspect-dead-beech-grove/28700455/" TargetMode="External"/><Relationship Id="rId226" Type="http://schemas.openxmlformats.org/officeDocument/2006/relationships/hyperlink" Target="http://www.azfamily.com/story/29270558/deputy-involved-shooting-in-sun-city" TargetMode="External"/><Relationship Id="rId227" Type="http://schemas.openxmlformats.org/officeDocument/2006/relationships/hyperlink" Target="http://www.killedbypolice.net/victims/150499.jpg" TargetMode="External"/><Relationship Id="rId228" Type="http://schemas.openxmlformats.org/officeDocument/2006/relationships/hyperlink" Target="http://www.nydailynews.com/new-york/bronx/bronx-man-shocked-taser-cops-dies-sources-article-1.2250703" TargetMode="External"/><Relationship Id="rId229" Type="http://schemas.openxmlformats.org/officeDocument/2006/relationships/hyperlink" Target="http://www.wfla.com/story/29258795/suspect-dead-after-deputy-involved-shooting-in-sarasota" TargetMode="External"/><Relationship Id="rId870" Type="http://schemas.openxmlformats.org/officeDocument/2006/relationships/hyperlink" Target="http://www.foxcarolina.com/story/30476491/spartanburg-methodist-college-burglary-suspect-talks-to-fox-carolina" TargetMode="External"/><Relationship Id="rId871" Type="http://schemas.openxmlformats.org/officeDocument/2006/relationships/hyperlink" Target="http://wach.com/resources/media/283f8404-c162-47c2-aafc-8a93d8b6df7b-large16x9_DemtriusBryant.jpg?1447798547635" TargetMode="External"/><Relationship Id="rId872" Type="http://schemas.openxmlformats.org/officeDocument/2006/relationships/hyperlink" Target="http://www.wltx.com/story/news/2015/11/17/overnight-officer-involved-shooting-cayce/75914374/" TargetMode="External"/><Relationship Id="rId873" Type="http://schemas.openxmlformats.org/officeDocument/2006/relationships/hyperlink" Target="http://a.abcnews.go.com/images/US/ap_jamar_clark_police_shooting_float_jc_151119_4x3_992.jpg" TargetMode="External"/><Relationship Id="rId874" Type="http://schemas.openxmlformats.org/officeDocument/2006/relationships/hyperlink" Target="http://www.startribune.com/police-officer-shoots-north-minneapolis-assault-suspect-during-physical-struggle/349730171/" TargetMode="External"/><Relationship Id="rId875" Type="http://schemas.openxmlformats.org/officeDocument/2006/relationships/hyperlink" Target="https://www.poncacitynow.com/8/images/media/JerayChatham.png" TargetMode="External"/><Relationship Id="rId876" Type="http://schemas.openxmlformats.org/officeDocument/2006/relationships/hyperlink" Target="http://newsok.com/article/5461273" TargetMode="External"/><Relationship Id="rId877" Type="http://schemas.openxmlformats.org/officeDocument/2006/relationships/hyperlink" Target="http://www.boydmortuary.com/fh_live/14900/14906/images/obituaries/3375053_wlpp.jpg" TargetMode="External"/><Relationship Id="rId878" Type="http://schemas.openxmlformats.org/officeDocument/2006/relationships/hyperlink" Target="http://abc13.com/news/officer-shoots-kills-man-accused-of-pulling-gun-on-police/1067399/" TargetMode="External"/><Relationship Id="rId879" Type="http://schemas.openxmlformats.org/officeDocument/2006/relationships/hyperlink" Target="http://www.homefacts.com/images/offenders/michigan/thumb/2013445.jpg" TargetMode="External"/><Relationship Id="rId550" Type="http://schemas.openxmlformats.org/officeDocument/2006/relationships/hyperlink" Target="http://bloximages.chicago2.vip.townnews.com/wacotrib.com/content/tncms/assets/v3/editorial/d/8f/d8f5c52a-c474-5323-bbcf-9da3b5d574a5/543498624ad06.image.jpg" TargetMode="External"/><Relationship Id="rId551" Type="http://schemas.openxmlformats.org/officeDocument/2006/relationships/hyperlink" Target="http://www.wacotrib.com/news/courts_and_trials/woman-dies-in-mclennan-county-jail/article_295a2448-47f5-565b-b08b-7d0104877301.html" TargetMode="External"/><Relationship Id="rId552" Type="http://schemas.openxmlformats.org/officeDocument/2006/relationships/hyperlink" Target="http://www.miamiherald.com/news/state/florida/mqonpy/picture2628797/ALTERNATES/FREE_960/latandraellington" TargetMode="External"/><Relationship Id="rId553" Type="http://schemas.openxmlformats.org/officeDocument/2006/relationships/hyperlink" Target="http://www.miamiherald.com/news/state/florida/article2564576.html" TargetMode="External"/><Relationship Id="rId554" Type="http://schemas.openxmlformats.org/officeDocument/2006/relationships/hyperlink" Target="http://www.jrn.com/ktnv/news/Family-speaks-out-after-man-killed-by-police-in-shootout-278597311.html" TargetMode="External"/><Relationship Id="rId555" Type="http://schemas.openxmlformats.org/officeDocument/2006/relationships/hyperlink" Target="http://www.washingtonpost.com/local/man-shot-and-killed-by-officers-trying-to-serve-a-warrant-in-southeast-dc/2014/10/05/b755dfea-4c9b-11e4-aa5e-7153e466a02d_story.html" TargetMode="External"/><Relationship Id="rId556" Type="http://schemas.openxmlformats.org/officeDocument/2006/relationships/hyperlink" Target="http://www.gannett-cdn.com/-mm-/90407faa708f948b3bc41ed885ae0b6dbee7db9f/c=0-743-2448-2587&amp;r=x383&amp;c=540x380/local/-/media/WXIA/None/2014/10/03/1412363614000-photo-2-.JPG" TargetMode="External"/><Relationship Id="rId557" Type="http://schemas.openxmlformats.org/officeDocument/2006/relationships/hyperlink" Target="http://www.wlky.com/news/woman-shot-by-lmpd-officers-in-swat-situation-dies/28371462" TargetMode="External"/><Relationship Id="rId558" Type="http://schemas.openxmlformats.org/officeDocument/2006/relationships/hyperlink" Target="http://www.houstontx.gov/police/nr/2014/oct/nr141001-3.htm" TargetMode="External"/><Relationship Id="rId559" Type="http://schemas.openxmlformats.org/officeDocument/2006/relationships/hyperlink" Target="http://www.wfaa.com/story/news/crime/2014/09/23/man-death-police-custody-pepper-spray-dallas-university-park-police/16100715/" TargetMode="External"/><Relationship Id="rId1230" Type="http://schemas.openxmlformats.org/officeDocument/2006/relationships/hyperlink" Target="http://www.tennessean.com/story/news/local/dickson/2015/09/18/dickson-co-man-fatally-shot-interaction-deputy/72415822/" TargetMode="External"/><Relationship Id="rId1231" Type="http://schemas.openxmlformats.org/officeDocument/2006/relationships/hyperlink" Target="http://www.delawareonline.com/story/news/local/2015/09/24/justice-dept-investigates-police-involved-shooting/72737332/" TargetMode="External"/><Relationship Id="rId1232" Type="http://schemas.openxmlformats.org/officeDocument/2006/relationships/hyperlink" Target="http://fox59.com/2015/09/23/exclusive-video-neighbors-call-police-action-shooting-into-question/" TargetMode="External"/><Relationship Id="rId1233" Type="http://schemas.openxmlformats.org/officeDocument/2006/relationships/hyperlink" Target="http://www.nbcnews.com/news/us-news/gunman-fatally-shoots-florida-deputy-outside-law-office-n431866" TargetMode="External"/><Relationship Id="rId1234" Type="http://schemas.openxmlformats.org/officeDocument/2006/relationships/hyperlink" Target="http://www.wfaa.com/story/news/crime/2015/09/24/mckinney-police-violence-shooting-officers-joseph-khammash/72761076/" TargetMode="External"/><Relationship Id="rId1235" Type="http://schemas.openxmlformats.org/officeDocument/2006/relationships/hyperlink" Target="http://www.baltimoresun.com/news/maryland/baltimore-county/bs-md-police-man-shot-reisterstown-20150923-story.html" TargetMode="External"/><Relationship Id="rId1236" Type="http://schemas.openxmlformats.org/officeDocument/2006/relationships/hyperlink" Target="http://wsls.com/2015/09/24/grayson-county-deputy-involved-deadly-shooting/" TargetMode="External"/><Relationship Id="rId1237" Type="http://schemas.openxmlformats.org/officeDocument/2006/relationships/hyperlink" Target="http://www.wsbt.com/news/local/police-benton-charter-twp-officer-strikes-kills-pedestrian/35391048" TargetMode="External"/><Relationship Id="rId1238" Type="http://schemas.openxmlformats.org/officeDocument/2006/relationships/hyperlink" Target="http://www.wkyt.com/home/headlines/KSP-investigating-deadly-officer-involved-shooting-in-Rockcastle-County-328144451.html" TargetMode="External"/><Relationship Id="rId1239" Type="http://schemas.openxmlformats.org/officeDocument/2006/relationships/hyperlink" Target="http://www.9and10news.com/story/30057906/gladwin-county-man-dead-after-shooting-at-deputies" TargetMode="External"/><Relationship Id="rId230" Type="http://schemas.openxmlformats.org/officeDocument/2006/relationships/hyperlink" Target="http://www.komonews.com/news/local/Police-officer-in-Woodland-shoots-kills-58-year-old-man-306422811.html" TargetMode="External"/><Relationship Id="rId231" Type="http://schemas.openxmlformats.org/officeDocument/2006/relationships/hyperlink" Target="http://www.killedbypolice.net/victims/150490.jpg" TargetMode="External"/><Relationship Id="rId232" Type="http://schemas.openxmlformats.org/officeDocument/2006/relationships/hyperlink" Target="http://www.sfgate.com/crime/article/Oakland-police-shoot-suspect-near-Lake-Merritt-6311221.php" TargetMode="External"/><Relationship Id="rId233" Type="http://schemas.openxmlformats.org/officeDocument/2006/relationships/hyperlink" Target="http://www.killedbypolice.net/victims/150489.jpg" TargetMode="External"/><Relationship Id="rId234" Type="http://schemas.openxmlformats.org/officeDocument/2006/relationships/hyperlink" Target="http://www.denverpost.com/news/ci_28264788/man-was-fatally-shot-following-high-speed-chase" TargetMode="External"/><Relationship Id="rId235" Type="http://schemas.openxmlformats.org/officeDocument/2006/relationships/hyperlink" Target="http://www.killedbypolice.net/victims/150491.jpg" TargetMode="External"/><Relationship Id="rId236" Type="http://schemas.openxmlformats.org/officeDocument/2006/relationships/hyperlink" Target="http://www.kionrightnow.com/news/local-news/officer-involvedshooting-in-watsonville-saturday-night-police-said/33444158" TargetMode="External"/><Relationship Id="rId237" Type="http://schemas.openxmlformats.org/officeDocument/2006/relationships/hyperlink" Target="http://www.mrt.com/news/crime/article_eccc8aa0-0ccd-11e5-92a5-e30a35ff1af1.html" TargetMode="External"/><Relationship Id="rId238" Type="http://schemas.openxmlformats.org/officeDocument/2006/relationships/hyperlink" Target="http://www.wboy.com/story/29256189/monongalia-county-deputies-shoot-suspect-after-vehicle-pursuit" TargetMode="External"/><Relationship Id="rId239" Type="http://schemas.openxmlformats.org/officeDocument/2006/relationships/hyperlink" Target="http://www.nbcphiladelphia.com/news/breaking/Rising-Sun-Pizza-Robbery-Shooting-306241121.html" TargetMode="External"/><Relationship Id="rId880" Type="http://schemas.openxmlformats.org/officeDocument/2006/relationships/hyperlink" Target="http://www.wndu.com/home/headlines/Police-investigating-alleged-kidnapping-at-assisted-living-facililty-351375961.html" TargetMode="External"/><Relationship Id="rId881" Type="http://schemas.openxmlformats.org/officeDocument/2006/relationships/hyperlink" Target="https://blackopswiki.s3.amazonaws.com/uploads/article/avatar/498/large_avatar_ryan_quinn_martin.jpg" TargetMode="External"/><Relationship Id="rId882" Type="http://schemas.openxmlformats.org/officeDocument/2006/relationships/hyperlink" Target="http://www.baltimoresun.com/news/maryland/baltimore-city/bs-md-ci-officer-involved-shoot-1112-20151111-story.html" TargetMode="External"/><Relationship Id="rId883" Type="http://schemas.openxmlformats.org/officeDocument/2006/relationships/hyperlink" Target="http://www.local10.com/image/view/-/36526126/medRes/3/-/maxh/360/maxw/640/-/10fwv3w/-/Yohans-Leon-stock-mug-jpg.jpg" TargetMode="External"/><Relationship Id="rId884" Type="http://schemas.openxmlformats.org/officeDocument/2006/relationships/hyperlink" Target="http://www.miamiherald.com/news/local/community/miami-dade/article45170145.html" TargetMode="External"/><Relationship Id="rId885" Type="http://schemas.openxmlformats.org/officeDocument/2006/relationships/hyperlink" Target="https://www.washingtonpost.com/local/family-asks-for-federal-review-of-sons-death-after-tasering/2015/12/01/0ce7834e-9856-11e5-b499-76cbec161973_story.html" TargetMode="External"/><Relationship Id="rId886" Type="http://schemas.openxmlformats.org/officeDocument/2006/relationships/hyperlink" Target="http://www.killedbypolice.net/victims/151082.jpg" TargetMode="External"/><Relationship Id="rId887" Type="http://schemas.openxmlformats.org/officeDocument/2006/relationships/hyperlink" Target="http://www.killedbypolice.net/victims/151080.jpg" TargetMode="External"/><Relationship Id="rId888" Type="http://schemas.openxmlformats.org/officeDocument/2006/relationships/hyperlink" Target="http://www.killedbypolice.net/victims/151079.jpg" TargetMode="External"/><Relationship Id="rId889" Type="http://schemas.openxmlformats.org/officeDocument/2006/relationships/hyperlink" Target="http://www.killedbypolice.net/victims/151078.jpg" TargetMode="External"/><Relationship Id="rId560" Type="http://schemas.openxmlformats.org/officeDocument/2006/relationships/hyperlink" Target="http://www.elkharttruth.com/news/crime-fire-courts/2014/09/29/Joseph-Adam-Lee-died-from-multiple-gunshot-wounds-shooting-investigation-continues.html" TargetMode="External"/><Relationship Id="rId561" Type="http://schemas.openxmlformats.org/officeDocument/2006/relationships/hyperlink" Target="http://www.demingheadlight.com/deming-news/ci_26572049/pursuit-through-luna-county-ends-stand-off-las" TargetMode="External"/><Relationship Id="rId562" Type="http://schemas.openxmlformats.org/officeDocument/2006/relationships/hyperlink" Target="http://www.northwestgeorgianews.com/polkfishwrap/news/local/authorities--year-old-levi-weaver-shot-killed-by-polk/article_b26d6dba-408c-11e4-ba96-0017a43b2370.html" TargetMode="External"/><Relationship Id="rId563" Type="http://schemas.openxmlformats.org/officeDocument/2006/relationships/hyperlink" Target="http://www.twincities.com/localnews/ci_26675527/hermantown-man-dies-after-police-use-taser" TargetMode="External"/><Relationship Id="rId564" Type="http://schemas.openxmlformats.org/officeDocument/2006/relationships/hyperlink" Target="http://www.ajc.com/news/news/man-fatally-shot-by-police-on-savannah-street/nhP97/" TargetMode="External"/><Relationship Id="rId565" Type="http://schemas.openxmlformats.org/officeDocument/2006/relationships/hyperlink" Target="http://www.wwltv.com/story/news/local/orleans/2014/09/15/officer-shot-on-duty-in-good-spirits/15700815/" TargetMode="External"/><Relationship Id="rId566" Type="http://schemas.openxmlformats.org/officeDocument/2006/relationships/hyperlink" Target="http://www.copblock.org/wp-content/uploads/2014/09/ricky-deangelo-hinkle-jefferson-county-alabama-copblock.png" TargetMode="External"/><Relationship Id="rId567" Type="http://schemas.openxmlformats.org/officeDocument/2006/relationships/hyperlink" Target="http://www.al.com/news/birmingham/index.ssf/2014/09/jefferson_county_inmate_dies_a.html" TargetMode="External"/><Relationship Id="rId568" Type="http://schemas.openxmlformats.org/officeDocument/2006/relationships/hyperlink" Target="http://www.wkyt.com/home/headlines/Police-dealing-with-developing-situation-in-Madison-County-275029661.html" TargetMode="External"/><Relationship Id="rId569" Type="http://schemas.openxmlformats.org/officeDocument/2006/relationships/hyperlink" Target="http://www.kolotv.com/home/headlines/Officer-Involved-Shooting-Shuts-Down-Sutro-and-So-273796761.html" TargetMode="External"/><Relationship Id="rId1240" Type="http://schemas.openxmlformats.org/officeDocument/2006/relationships/hyperlink" Target="http://www.dnronline.com/article/hpd_officer_shooting" TargetMode="External"/><Relationship Id="rId1241" Type="http://schemas.openxmlformats.org/officeDocument/2006/relationships/hyperlink" Target="http://www.pe.com/articles/activity-780802-police-freeway.html" TargetMode="External"/><Relationship Id="rId1242" Type="http://schemas.openxmlformats.org/officeDocument/2006/relationships/hyperlink" Target="http://gazette.com/fountain-police-officer-who-fatally-shot-teen-is-identified/article/1560162" TargetMode="External"/><Relationship Id="rId1243" Type="http://schemas.openxmlformats.org/officeDocument/2006/relationships/hyperlink" Target="http://www.startribune.com/st-paul-man-killed-in-officer-involved-shooting-is-identified/329566071/" TargetMode="External"/><Relationship Id="rId1244" Type="http://schemas.openxmlformats.org/officeDocument/2006/relationships/hyperlink" Target="http://fox13now.com/2015/09/23/officer-kills-burglary-suspect-found-stabbing-woman-in-salt-lake-break-in/" TargetMode="External"/><Relationship Id="rId1245" Type="http://schemas.openxmlformats.org/officeDocument/2006/relationships/hyperlink" Target="http://www.ksfy.com/home/headlines/Suspect-shot-during-chase-near-ski-resort-in-Lead-dies-327960971.html" TargetMode="External"/><Relationship Id="rId1246" Type="http://schemas.openxmlformats.org/officeDocument/2006/relationships/hyperlink" Target="http://www.kltv.com/story/30089332/identity-of-man-killed-in-altercation-with-dps-trooper-released" TargetMode="External"/><Relationship Id="rId1247" Type="http://schemas.openxmlformats.org/officeDocument/2006/relationships/hyperlink" Target="http://www.clickorlando.com/news/man-killed-pregnant-woman-injured-during-shootout/35407050" TargetMode="External"/><Relationship Id="rId1248" Type="http://schemas.openxmlformats.org/officeDocument/2006/relationships/hyperlink" Target="http://www.montereyherald.com/general-news/20150922/sand-city-shooting-mother-of-dead-suspect-recalls-sons-troubles" TargetMode="External"/><Relationship Id="rId1249" Type="http://schemas.openxmlformats.org/officeDocument/2006/relationships/hyperlink" Target="http://www.nbclosangeles.com/news/local/Ontario-Police-Shooting-324830551.html" TargetMode="External"/><Relationship Id="rId240" Type="http://schemas.openxmlformats.org/officeDocument/2006/relationships/hyperlink" Target="http://www.keyt.com/news/officer-involved-shooting-in-santa-maria-following-domestic-abuse-call/33434948" TargetMode="External"/><Relationship Id="rId241" Type="http://schemas.openxmlformats.org/officeDocument/2006/relationships/hyperlink" Target="http://www.killedbypolice.net/victims/150488.jpg" TargetMode="External"/><Relationship Id="rId242" Type="http://schemas.openxmlformats.org/officeDocument/2006/relationships/hyperlink" Target="http://sanfrancisco.cbslocal.com/2015/06/05/bicyclist-fatally-struck-san-francisco-police-car-mclaren-park/" TargetMode="External"/><Relationship Id="rId243" Type="http://schemas.openxmlformats.org/officeDocument/2006/relationships/hyperlink" Target="http://www.killedbypolice.net/victims/150483.jpg" TargetMode="External"/><Relationship Id="rId244" Type="http://schemas.openxmlformats.org/officeDocument/2006/relationships/hyperlink" Target="http://philadelphia.cbslocal.com/2015/06/04/police-cruiser-hits-kills-man-fleeing-officers-in-chester/" TargetMode="External"/><Relationship Id="rId245" Type="http://schemas.openxmlformats.org/officeDocument/2006/relationships/hyperlink" Target="http://www.turnto23.com/news/local-news/delano-pd-shoot-kill-man-after-he-fires-at-police" TargetMode="External"/><Relationship Id="rId246" Type="http://schemas.openxmlformats.org/officeDocument/2006/relationships/hyperlink" Target="http://www.killedbypolice.net/victims/150485.jpg" TargetMode="External"/><Relationship Id="rId247" Type="http://schemas.openxmlformats.org/officeDocument/2006/relationships/hyperlink" Target="http://www.koat.com/news/valencia-county-deputy-involved-in-shooting/33383626" TargetMode="External"/><Relationship Id="rId248" Type="http://schemas.openxmlformats.org/officeDocument/2006/relationships/hyperlink" Target="http://crimeblog.dallasnews.com/2015/06/two-men-dead-i-35e-shut-down-in-ellis-county-after-three-hour-chase.html/" TargetMode="External"/><Relationship Id="rId249" Type="http://schemas.openxmlformats.org/officeDocument/2006/relationships/hyperlink" Target="http://www.khou.com/story/news/crime/2015/06/03/chase-ends--shooting-southeast-houston/28402107/" TargetMode="External"/><Relationship Id="rId890" Type="http://schemas.openxmlformats.org/officeDocument/2006/relationships/hyperlink" Target="http://www.killedbypolice.net/victims/151075.jpg" TargetMode="External"/><Relationship Id="rId891" Type="http://schemas.openxmlformats.org/officeDocument/2006/relationships/hyperlink" Target="http://www.killedbypolice.net/victims/151074.jpg" TargetMode="External"/><Relationship Id="rId892" Type="http://schemas.openxmlformats.org/officeDocument/2006/relationships/hyperlink" Target="http://www.killedbypolice.net/victims/151072.jpg" TargetMode="External"/><Relationship Id="rId893" Type="http://schemas.openxmlformats.org/officeDocument/2006/relationships/hyperlink" Target="http://www.killedbypolice.net/victims/151070.jpg" TargetMode="External"/><Relationship Id="rId894" Type="http://schemas.openxmlformats.org/officeDocument/2006/relationships/hyperlink" Target="http://www.killedbypolice.net/victims/151069.jpg" TargetMode="External"/><Relationship Id="rId895" Type="http://schemas.openxmlformats.org/officeDocument/2006/relationships/hyperlink" Target="http://www.killedbypolice.net/victims/151067.jpg" TargetMode="External"/><Relationship Id="rId896" Type="http://schemas.openxmlformats.org/officeDocument/2006/relationships/hyperlink" Target="http://www.killedbypolice.net/victims/151066.jpg" TargetMode="External"/><Relationship Id="rId897" Type="http://schemas.openxmlformats.org/officeDocument/2006/relationships/hyperlink" Target="http://www.killedbypolice.net/victims/151064.jpg" TargetMode="External"/><Relationship Id="rId898" Type="http://schemas.openxmlformats.org/officeDocument/2006/relationships/hyperlink" Target="http://www.killedbypolice.net/victims/151063.jpg" TargetMode="External"/><Relationship Id="rId899" Type="http://schemas.openxmlformats.org/officeDocument/2006/relationships/hyperlink" Target="http://www.killedbypolice.net/victims/151062.jpg" TargetMode="External"/><Relationship Id="rId570" Type="http://schemas.openxmlformats.org/officeDocument/2006/relationships/hyperlink" Target="http://www.cleveland.com/metro/index.ssf/2014/09/man_shot_killed_by_cleveland_p.html" TargetMode="External"/><Relationship Id="rId571" Type="http://schemas.openxmlformats.org/officeDocument/2006/relationships/hyperlink" Target="http://nypost.com/2014/09/06/man-who-shot-nypd-cop-dies-after-surgery/" TargetMode="External"/><Relationship Id="rId572" Type="http://schemas.openxmlformats.org/officeDocument/2006/relationships/hyperlink" Target="http://www.king5.com/story/news/local/seattle/2014/09/01/police-find-gun-arsenal-queen-anne-home-shooting/14946055/" TargetMode="External"/><Relationship Id="rId573" Type="http://schemas.openxmlformats.org/officeDocument/2006/relationships/hyperlink" Target="https://cbsnewyork.files.wordpress.com/2014/08/singelton2.jpg?w=620&amp;h=349&amp;crop=1" TargetMode="External"/><Relationship Id="rId574" Type="http://schemas.openxmlformats.org/officeDocument/2006/relationships/hyperlink" Target="http://www.nydailynews.com/new-york/nyc-crime/death-man-high-pcp-restrained-cops-ruled-homicide-article-1.1922055" TargetMode="External"/><Relationship Id="rId575" Type="http://schemas.openxmlformats.org/officeDocument/2006/relationships/hyperlink" Target="http://www.mprnews.org/story/2014/11/17/police-justified-in-ramsey-shooting" TargetMode="External"/><Relationship Id="rId576" Type="http://schemas.openxmlformats.org/officeDocument/2006/relationships/hyperlink" Target="http://www.redding.com/news/local-news/deputies-person-shot-on-fig-tree-lane" TargetMode="External"/><Relationship Id="rId577" Type="http://schemas.openxmlformats.org/officeDocument/2006/relationships/hyperlink" Target="http://www.baltimoresun.com/news/maryland/baltimore-county/bs-md-co-in-custody-death-20140821-story.html" TargetMode="External"/><Relationship Id="rId578" Type="http://schemas.openxmlformats.org/officeDocument/2006/relationships/hyperlink" Target="http://www.philly.com/philly/news/20140820_Cop_grazed_by_bullet__suspect_killed.html" TargetMode="External"/><Relationship Id="rId579" Type="http://schemas.openxmlformats.org/officeDocument/2006/relationships/hyperlink" Target="http://homicide.latimes.com/post/andre-maurice-jones/" TargetMode="External"/><Relationship Id="rId1250" Type="http://schemas.openxmlformats.org/officeDocument/2006/relationships/hyperlink" Target="http://www.montereyherald.com/general-news/20150922/sand-city-shooting-mother-of-dead-suspect-recalls-sons-troubles" TargetMode="External"/><Relationship Id="rId1251" Type="http://schemas.openxmlformats.org/officeDocument/2006/relationships/hyperlink" Target="http://www.al.com/news/index.ssf/2015/10/georgia_state_trooper_fired_fo.html" TargetMode="External"/><Relationship Id="rId1252" Type="http://schemas.openxmlformats.org/officeDocument/2006/relationships/hyperlink" Target="http://www.nbcphiladelphia.com/news/breaking/Chester-Shooting-Hayes-6th-326599641.html" TargetMode="External"/><Relationship Id="rId1253" Type="http://schemas.openxmlformats.org/officeDocument/2006/relationships/hyperlink" Target="http://www.sbsun.com/general-news/20150910/man-shot-killed-by-fontana-police-officer" TargetMode="External"/><Relationship Id="rId1254" Type="http://schemas.openxmlformats.org/officeDocument/2006/relationships/hyperlink" Target="http://www.kionrightnow.com/news/local-news/update-moco-da-identifies-man-killed-during-officer-involved-shooting/35690628" TargetMode="External"/><Relationship Id="rId1255" Type="http://schemas.openxmlformats.org/officeDocument/2006/relationships/hyperlink" Target="http://www.kgw.com/story/news/local/washington-county/2015/10/02/officer-shoots-woman-aloha/73258098/" TargetMode="External"/><Relationship Id="rId1256" Type="http://schemas.openxmlformats.org/officeDocument/2006/relationships/hyperlink" Target="http://chicago.suntimes.com/crime/7/71/1011093/fire-official-1-dead-1-hurt-north-lawndale-shooting" TargetMode="External"/><Relationship Id="rId1257" Type="http://schemas.openxmlformats.org/officeDocument/2006/relationships/hyperlink" Target="http://www.kvoa.com/story/30178157/shootout-behind-a-sierra-vista-church-leaves-one-man-dead" TargetMode="External"/><Relationship Id="rId1258" Type="http://schemas.openxmlformats.org/officeDocument/2006/relationships/hyperlink" Target="http://www.waff.com/story/30190373/raw-emotion-following-mans-shooting-say-muscle-shoals-police" TargetMode="External"/><Relationship Id="rId1259" Type="http://schemas.openxmlformats.org/officeDocument/2006/relationships/hyperlink" Target="http://amarillo.com/news/latest-news/2015-10-03/randall-county-sheriffs-office-ids-man-killed-officer-involved-shooting" TargetMode="External"/><Relationship Id="rId250" Type="http://schemas.openxmlformats.org/officeDocument/2006/relationships/hyperlink" Target="http://www.nj.com/sussex-county/index.ssf/2015/06/man_killed_in_sussex_county_police_shooting_authorities_say.html" TargetMode="External"/><Relationship Id="rId251" Type="http://schemas.openxmlformats.org/officeDocument/2006/relationships/hyperlink" Target="http://www.killedbypolice.net/victims/150479.jpg" TargetMode="External"/><Relationship Id="rId252" Type="http://schemas.openxmlformats.org/officeDocument/2006/relationships/hyperlink" Target="http://crimeblog.dallasnews.com/2015/06/tarrant-county-sheriffs-deputy-fatally-shoots-azle-man-who-stabbed-three-relatives.html/" TargetMode="External"/><Relationship Id="rId253" Type="http://schemas.openxmlformats.org/officeDocument/2006/relationships/hyperlink" Target="http://www.killedbypolice.net/victims/150478.jpg" TargetMode="External"/><Relationship Id="rId254" Type="http://schemas.openxmlformats.org/officeDocument/2006/relationships/hyperlink" Target="http://www.whdh.com/story/29215946/one-dead-after-officer-involved-shooting-in-roslindale" TargetMode="External"/><Relationship Id="rId255" Type="http://schemas.openxmlformats.org/officeDocument/2006/relationships/hyperlink" Target="http://www.killedbypolice.net/victims/150476.jpg" TargetMode="External"/><Relationship Id="rId256" Type="http://schemas.openxmlformats.org/officeDocument/2006/relationships/hyperlink" Target="http://www.democratandchronicle.com/story/news/2015/06/01/police-investigate-near-sears-mall-greece-ridge/28314217/" TargetMode="External"/><Relationship Id="rId257" Type="http://schemas.openxmlformats.org/officeDocument/2006/relationships/hyperlink" Target="http://www.killedbypolice.net/victims/150475.jpg" TargetMode="External"/><Relationship Id="rId258" Type="http://schemas.openxmlformats.org/officeDocument/2006/relationships/hyperlink" Target="http://www.kplctv.com/story/29203366/palestine-police-id-victim-in-officer-involved-shooting" TargetMode="External"/><Relationship Id="rId259" Type="http://schemas.openxmlformats.org/officeDocument/2006/relationships/hyperlink" Target="http://www.democratandchronicle.com/story/news/2015/05/31/police-holding-press-briefing-tremont-st-incident/28263079/" TargetMode="External"/><Relationship Id="rId700" Type="http://schemas.openxmlformats.org/officeDocument/2006/relationships/hyperlink" Target="http://www.wptv.com/news/state/gregory-vaughn-hill-jr-fort-pierce-man-ided-in-fatal-deputy-involved-shooting" TargetMode="External"/><Relationship Id="rId701" Type="http://schemas.openxmlformats.org/officeDocument/2006/relationships/hyperlink" Target="http://www.wyliefh.com/printguestbook.php?id=2166&amp;rid=15392" TargetMode="External"/><Relationship Id="rId702" Type="http://schemas.openxmlformats.org/officeDocument/2006/relationships/hyperlink" Target="http://www.baltimoresun.com/news/maryland/crime/blog/bal-police-investigating-officerinvolved-shooting-in-east-baltimore-20140113,0,4169034.story" TargetMode="External"/><Relationship Id="rId703" Type="http://schemas.openxmlformats.org/officeDocument/2006/relationships/hyperlink" Target="http://newsok.com/police-release-name-of-man-killed-in-officer-involved-shooting/article/3920773" TargetMode="External"/><Relationship Id="rId704" Type="http://schemas.openxmlformats.org/officeDocument/2006/relationships/hyperlink" Target="http://www.nwfdailynews.com/local/suspect-killed-officers-shot-in-crestview-incident-1.257150" TargetMode="External"/><Relationship Id="rId705" Type="http://schemas.openxmlformats.org/officeDocument/2006/relationships/hyperlink" Target="http://www.wilsontimes.com/News/Feature/Story/28048226---Deputies--Man-fatally-shot-after-killing-2" TargetMode="External"/><Relationship Id="rId706" Type="http://schemas.openxmlformats.org/officeDocument/2006/relationships/hyperlink" Target="http://newsok.com/man-shot-by-oklahoma-highway-patrol-trooper-was-correction-center-escapee/article/3919183" TargetMode="External"/><Relationship Id="rId707" Type="http://schemas.openxmlformats.org/officeDocument/2006/relationships/hyperlink" Target="http://newsok.com/oklahoma-parents-say-son-needed-help-instead-custer-county-sheriffs-deputies-shot-him/article/3929841" TargetMode="External"/><Relationship Id="rId708" Type="http://schemas.openxmlformats.org/officeDocument/2006/relationships/hyperlink" Target="http://www.kens5.com/story/local/2014/09/26/10621720/" TargetMode="External"/><Relationship Id="rId709" Type="http://schemas.openxmlformats.org/officeDocument/2006/relationships/hyperlink" Target="http://blog.al.com/montgomery/2013/12/phenix_city_police_fatally_sho.html" TargetMode="External"/><Relationship Id="rId10" Type="http://schemas.openxmlformats.org/officeDocument/2006/relationships/hyperlink" Target="http://www.killedbypolice.net/victims/150901.jpg" TargetMode="External"/><Relationship Id="rId11" Type="http://schemas.openxmlformats.org/officeDocument/2006/relationships/hyperlink" Target="http://www.killedbypolice.net/victims/150897.jpg" TargetMode="External"/><Relationship Id="rId12" Type="http://schemas.openxmlformats.org/officeDocument/2006/relationships/hyperlink" Target="http://www.killedbypolice.net/victims/150895.jpg" TargetMode="External"/><Relationship Id="rId13" Type="http://schemas.openxmlformats.org/officeDocument/2006/relationships/hyperlink" Target="http://www.pe.com/articles/camacho-780442-anda-police.html" TargetMode="External"/><Relationship Id="rId14" Type="http://schemas.openxmlformats.org/officeDocument/2006/relationships/hyperlink" Target="http://www.local10.com/news/man-killed-in-policeinvolved-shooting-in-sw-miamidade/35298042" TargetMode="External"/><Relationship Id="rId15" Type="http://schemas.openxmlformats.org/officeDocument/2006/relationships/hyperlink" Target="http://www.vvng.com/barstow-man-killed-in-officer-involved-shooting/" TargetMode="External"/><Relationship Id="rId16" Type="http://schemas.openxmlformats.org/officeDocument/2006/relationships/hyperlink" Target="http://abc7.com/news/suspect-killed-in-panorama-city-officer-involved-shooting/986303/" TargetMode="External"/><Relationship Id="rId17" Type="http://schemas.openxmlformats.org/officeDocument/2006/relationships/hyperlink" Target="http://ksn.com/2015/09/14/inmate-death-reported-at-hutchinson-correctional-facility/" TargetMode="External"/><Relationship Id="rId18" Type="http://schemas.openxmlformats.org/officeDocument/2006/relationships/hyperlink" Target="http://wncn.com/2015/09/14/man-dies-while-in-custody-of-raleigh-police-investigation-underway/" TargetMode="External"/><Relationship Id="rId19" Type="http://schemas.openxmlformats.org/officeDocument/2006/relationships/hyperlink" Target="http://www.kwwl.com/story/30019391/2015/09/13/officer-involved-shooting-near-wellman-leaves-one-person-dead" TargetMode="External"/><Relationship Id="rId1" Type="http://schemas.openxmlformats.org/officeDocument/2006/relationships/hyperlink" Target="http://www.killedbypolice.net/victims/150917.jpg" TargetMode="External"/><Relationship Id="rId2" Type="http://schemas.openxmlformats.org/officeDocument/2006/relationships/hyperlink" Target="http://www.killedbypolice.net/victims/150912.jpg" TargetMode="External"/><Relationship Id="rId3" Type="http://schemas.openxmlformats.org/officeDocument/2006/relationships/hyperlink" Target="http://www.killedbypolice.net/victims/150910.jpg" TargetMode="External"/><Relationship Id="rId4" Type="http://schemas.openxmlformats.org/officeDocument/2006/relationships/hyperlink" Target="http://www.killedbypolice.net/victims/150911.jpg" TargetMode="External"/><Relationship Id="rId5" Type="http://schemas.openxmlformats.org/officeDocument/2006/relationships/hyperlink" Target="http://www.killedbypolice.net/victims/150907.jpg" TargetMode="External"/><Relationship Id="rId6" Type="http://schemas.openxmlformats.org/officeDocument/2006/relationships/hyperlink" Target="http://www.killedbypolice.net/victims/150904.jpg" TargetMode="External"/><Relationship Id="rId7" Type="http://schemas.openxmlformats.org/officeDocument/2006/relationships/hyperlink" Target="http://www.killedbypolice.net/victims/150905.jpg" TargetMode="External"/><Relationship Id="rId8" Type="http://schemas.openxmlformats.org/officeDocument/2006/relationships/hyperlink" Target="http://www.killedbypolice.net/victims/150902.jpg" TargetMode="External"/><Relationship Id="rId9" Type="http://schemas.openxmlformats.org/officeDocument/2006/relationships/hyperlink" Target="http://www.pe.com/articles/officers-782334-domestic-involved.html" TargetMode="External"/><Relationship Id="rId580" Type="http://schemas.openxmlformats.org/officeDocument/2006/relationships/hyperlink" Target="http://homicides.suntimes.com/victims/wally-flex/" TargetMode="External"/><Relationship Id="rId581" Type="http://schemas.openxmlformats.org/officeDocument/2006/relationships/hyperlink" Target="http://homicides.suntimes.com/2014/08/18/gabriel-johnson-charged-with-reckless-homicide-in-crash-that-killed-wally-flex/" TargetMode="External"/><Relationship Id="rId582" Type="http://schemas.openxmlformats.org/officeDocument/2006/relationships/hyperlink" Target="http://www.9news.com/story/news/crime/2014/08/13/greeley-officer-involved-shoot-veteran-shoot-out-call/14006469/" TargetMode="External"/><Relationship Id="rId583" Type="http://schemas.openxmlformats.org/officeDocument/2006/relationships/hyperlink" Target="http://neshobademocrat.com/main.asp?SectionID=2&amp;SubSectionID=297&amp;ArticleID=33427" TargetMode="External"/><Relationship Id="rId584" Type="http://schemas.openxmlformats.org/officeDocument/2006/relationships/hyperlink" Target="http://obits.dignitymemorial.com/dignity-memorial/obituary.aspx?n=James-DeVito&amp;lc=7339&amp;pid=172110208&amp;mid=6085341" TargetMode="External"/><Relationship Id="rId585" Type="http://schemas.openxmlformats.org/officeDocument/2006/relationships/hyperlink" Target="http://kbmt.images.worldnow.com/images/4452029_G.jpg" TargetMode="External"/><Relationship Id="rId586" Type="http://schemas.openxmlformats.org/officeDocument/2006/relationships/hyperlink" Target="http://www.12newsnow.com/story/26251863/family-seeks-answers-after-police-release-unconscious-man-who-died-moments-later" TargetMode="External"/><Relationship Id="rId587" Type="http://schemas.openxmlformats.org/officeDocument/2006/relationships/hyperlink" Target="http://www.shreveporttimes.com/story/news/crime/2014/08/11/state-fbi-investigate-doc-prisoners-death/13931967/%22His%20death%20was%20reported%20July%2015%20to%20state%20police%20investigators%20by%20the%20Claiborne%20Parish%20Sheriff's%20Office.%22" TargetMode="External"/><Relationship Id="rId588" Type="http://schemas.openxmlformats.org/officeDocument/2006/relationships/hyperlink" Target="http://www.arklatexhomepage.com/story/d/story/man-killed-in-overnight-shooting-has-been-identifi/42931/M-T9-BnlDEKC3eIlvgv1Xg" TargetMode="External"/><Relationship Id="rId589" Type="http://schemas.openxmlformats.org/officeDocument/2006/relationships/hyperlink" Target="http://kpel965.com/la-state-police-handling-shooting-involving-crowley-police-officers/" TargetMode="External"/><Relationship Id="rId1260" Type="http://schemas.openxmlformats.org/officeDocument/2006/relationships/hyperlink" Target="http://www.mycentraljersey.com/story/news/local/middlesex-county/2015/10/06/man-shot-dead-police-woodbridge-standoff/73442052/" TargetMode="External"/><Relationship Id="rId1261" Type="http://schemas.openxmlformats.org/officeDocument/2006/relationships/hyperlink" Target="http://www.wptv.com/news/region-c-palm-beach-county/west-palm-beach/palm-beach-county-sheriffs-office-investigating-officer-involved-shooting" TargetMode="External"/><Relationship Id="rId1262" Type="http://schemas.openxmlformats.org/officeDocument/2006/relationships/hyperlink" Target="http://www.baltimoresun.com/news/maryland/howard/columbia/bs-md-ho-police-shooting-20151009-story.html" TargetMode="External"/><Relationship Id="rId260" Type="http://schemas.openxmlformats.org/officeDocument/2006/relationships/hyperlink" Target="http://www.scrippsmedia.com/newschannel5/news/Investigation-Ongoing-At-Scene-Of-Alleged-Shooting-305572891.html" TargetMode="External"/><Relationship Id="rId261" Type="http://schemas.openxmlformats.org/officeDocument/2006/relationships/hyperlink" Target="http://koin.com/2015/05/30/osp-troopers-shoot-kill-man-in-wilderville/" TargetMode="External"/><Relationship Id="rId262" Type="http://schemas.openxmlformats.org/officeDocument/2006/relationships/hyperlink" Target="http://newyork.cbslocal.com/2015/05/29/lyndhurst-library-police-shooting/" TargetMode="External"/><Relationship Id="rId263" Type="http://schemas.openxmlformats.org/officeDocument/2006/relationships/hyperlink" Target="http://www.killedbypolice.net/victims/150477.jpg" TargetMode="External"/><Relationship Id="rId264" Type="http://schemas.openxmlformats.org/officeDocument/2006/relationships/hyperlink" Target="http://www.thelevisalazer.com/news/local-news/11484-louisa-man-dies-after-being-tasered-by-police-during-arrest.html" TargetMode="External"/><Relationship Id="rId265" Type="http://schemas.openxmlformats.org/officeDocument/2006/relationships/hyperlink" Target="http://www.presstelegram.com/general-news/20150528/man-dies-after-long-beach-officer-involved-shooting" TargetMode="External"/><Relationship Id="rId266" Type="http://schemas.openxmlformats.org/officeDocument/2006/relationships/hyperlink" Target="http://www.11alive.com/story/news/local/carrollton/2015/05/28/carrolton-officer-involved-shooting/28130059/" TargetMode="External"/><Relationship Id="rId267" Type="http://schemas.openxmlformats.org/officeDocument/2006/relationships/hyperlink" Target="http://www.thedenverchannel.com/news/local-news/injured-northglenn-police-officer-taken-to-hospital" TargetMode="External"/><Relationship Id="rId268" Type="http://schemas.openxmlformats.org/officeDocument/2006/relationships/hyperlink" Target="http://www.macon.com/2015/05/28/3768612/putnam-deputy-shoots-and-kills.html" TargetMode="External"/><Relationship Id="rId269" Type="http://schemas.openxmlformats.org/officeDocument/2006/relationships/hyperlink" Target="http://www.clickondetroit.com/news/man-attacks-officer-shot-by-police-trenton/33276844" TargetMode="External"/><Relationship Id="rId1263" Type="http://schemas.openxmlformats.org/officeDocument/2006/relationships/hyperlink" Target="http://www.nhregister.com/general-news/20151011/police-identify-groton-man-31-as-suspect-killed-at-motel-in-old-saybrook" TargetMode="External"/><Relationship Id="rId1264" Type="http://schemas.openxmlformats.org/officeDocument/2006/relationships/hyperlink" Target="http://www.mlive.com/news/grand-rapids/index.ssf/2015/10/deputy_shot_with_cross-bow_as.html" TargetMode="External"/><Relationship Id="rId1265" Type="http://schemas.openxmlformats.org/officeDocument/2006/relationships/hyperlink" Target="http://www.fox8live.com/story/30234295/one-dead-following-officer-involved-shooting-at-a-lake-charles-home" TargetMode="External"/><Relationship Id="rId1266" Type="http://schemas.openxmlformats.org/officeDocument/2006/relationships/hyperlink" Target="http://www.greenvilleonline.com/story/news/2015/10/11/one-dead-taylors-police-shooting/73772180/" TargetMode="External"/><Relationship Id="rId1267" Type="http://schemas.openxmlformats.org/officeDocument/2006/relationships/hyperlink" Target="http://homicide.latimes.com/post/james-joseph-byrd/" TargetMode="External"/><Relationship Id="rId1268" Type="http://schemas.openxmlformats.org/officeDocument/2006/relationships/hyperlink" Target="http://www.kirklandreporter.com/news/337724201.html" TargetMode="External"/><Relationship Id="rId1269" Type="http://schemas.openxmlformats.org/officeDocument/2006/relationships/hyperlink" Target="http://homicide.latimes.com/post/dion-lamont-ramirez/" TargetMode="External"/><Relationship Id="rId710" Type="http://schemas.openxmlformats.org/officeDocument/2006/relationships/hyperlink" Target="http://www.indystar.com/story/news/crime/2013/12/18/impd-officer-fatally-shoots-man-on-southeastside/4110911/" TargetMode="External"/><Relationship Id="rId711" Type="http://schemas.openxmlformats.org/officeDocument/2006/relationships/hyperlink" Target="http://web.tampabay.com/news/publicsafety/crime/new-port-richey-man-dies-after-being-stunned-in-confrontation-with-police/2158068" TargetMode="External"/><Relationship Id="rId712" Type="http://schemas.openxmlformats.org/officeDocument/2006/relationships/hyperlink" Target="http://www.local10.com/news/man-dead-after-shootout-with-swat/23386254" TargetMode="External"/><Relationship Id="rId713" Type="http://schemas.openxmlformats.org/officeDocument/2006/relationships/hyperlink" Target="http://www.today.com/news/unjustified-family-student-killed-campus-police-speaks-out-2D11723684" TargetMode="External"/><Relationship Id="rId714" Type="http://schemas.openxmlformats.org/officeDocument/2006/relationships/hyperlink" Target="https://www.facebook.com/remembershia" TargetMode="External"/><Relationship Id="rId715" Type="http://schemas.openxmlformats.org/officeDocument/2006/relationships/hyperlink" Target="http://whnt.com/2013/12/02/grand-jury-to-review-shooting-involving-corrections-officer/" TargetMode="External"/><Relationship Id="rId716" Type="http://schemas.openxmlformats.org/officeDocument/2006/relationships/hyperlink" Target="http://www.presstelegram.com/general-news/20131120/man-shot-killed-by-long-beach-police-identified-as-from-rialto" TargetMode="External"/><Relationship Id="rId717" Type="http://schemas.openxmlformats.org/officeDocument/2006/relationships/hyperlink" Target="http://www.startribune.com/local/west/232358621.html" TargetMode="External"/><Relationship Id="rId718" Type="http://schemas.openxmlformats.org/officeDocument/2006/relationships/hyperlink" Target="http://www.jsonline.com/news/crime/shots-fired-in-downtown-milwaukee-b99139596z1-231430101.html" TargetMode="External"/><Relationship Id="rId719" Type="http://schemas.openxmlformats.org/officeDocument/2006/relationships/hyperlink" Target="http://crimeblog.dallasnews.com/2013/10/duncanville-police-fatally-shoot-suspect-monday-morning.html/" TargetMode="External"/><Relationship Id="rId20" Type="http://schemas.openxmlformats.org/officeDocument/2006/relationships/hyperlink" Target="http://www.courier-journal.com/story/news/local/2015/09/14/ky-trooper-shot-western-kentucky-after-chase/72241764/" TargetMode="External"/><Relationship Id="rId21" Type="http://schemas.openxmlformats.org/officeDocument/2006/relationships/hyperlink" Target="http://www.tylerpaper.com/TP-Breaking+Silent/224089/jeffrey-brooks-fugitive-shot-and-killed-by-law-enforcement-officers-near-clute" TargetMode="External"/><Relationship Id="rId22" Type="http://schemas.openxmlformats.org/officeDocument/2006/relationships/hyperlink" Target="http://wreg.com/2015/09/24/paris-police-officer-charged-for-murdering-his-own-son/" TargetMode="External"/><Relationship Id="rId23" Type="http://schemas.openxmlformats.org/officeDocument/2006/relationships/hyperlink" Target="http://www.omaha.com/news/metro/man-who-had-trouble-breathing-while-being-arrested-has-died/article_6868fb7c-54f8-11e5-bf00-0f25174cd9cb.html" TargetMode="External"/><Relationship Id="rId24" Type="http://schemas.openxmlformats.org/officeDocument/2006/relationships/hyperlink" Target="http://www.kltv.com/story/29931923/man-shot-by-longview-officer-dies" TargetMode="External"/><Relationship Id="rId25" Type="http://schemas.openxmlformats.org/officeDocument/2006/relationships/hyperlink" Target="http://www.killedbypolice.net/victims/150680.jpg" TargetMode="External"/><Relationship Id="rId26" Type="http://schemas.openxmlformats.org/officeDocument/2006/relationships/hyperlink" Target="http://www.star-telegram.com/news/local/community/fort-worth/rat54p/picture29706625/ALTERNATES/FREE_640/Flip%20Vallejo" TargetMode="External"/><Relationship Id="rId27" Type="http://schemas.openxmlformats.org/officeDocument/2006/relationships/hyperlink" Target="http://media.graytvinc.com/images/Mark+Perkins.jpg" TargetMode="External"/><Relationship Id="rId28" Type="http://schemas.openxmlformats.org/officeDocument/2006/relationships/hyperlink" Target="http://www.sfgate.com/crime/article/Dead-body-probe-on-Lombard-Street-in-S-F-6414831.php" TargetMode="External"/><Relationship Id="rId29" Type="http://schemas.openxmlformats.org/officeDocument/2006/relationships/hyperlink" Target="http://media.masslive.com/mass_river_worcester_news/photo/screen-shot-2015-07-30-at-14303-pmpng-3c8d20217be5ac12.png" TargetMode="External"/><Relationship Id="rId590" Type="http://schemas.openxmlformats.org/officeDocument/2006/relationships/hyperlink" Target="http://www.local10.com/news/1-killed-in-policeinvolved-shooting-in-miami-springs/26847256" TargetMode="External"/><Relationship Id="rId591" Type="http://schemas.openxmlformats.org/officeDocument/2006/relationships/hyperlink" Target="http://www.cincinnati.com/story/news/2014/08/05/cincinnati-police-officer-shoots-man-killed-traffic-stop/13611479/" TargetMode="External"/><Relationship Id="rId592" Type="http://schemas.openxmlformats.org/officeDocument/2006/relationships/hyperlink" Target="http://www.newsherald.com/news/crime-public-safety/man-shot-during-standoff-dies-1.357594" TargetMode="External"/><Relationship Id="rId593" Type="http://schemas.openxmlformats.org/officeDocument/2006/relationships/hyperlink" Target="http://ak-cache.legacy.net/legacy/Images/Cobrands/DignityMemorial/Photos/0cde69ec-edda-421b-b501-5eebbf9d5797.jpg" TargetMode="External"/><Relationship Id="rId594" Type="http://schemas.openxmlformats.org/officeDocument/2006/relationships/hyperlink" Target="http://bangordailynews.com/2014/08/04/news/penobscot/lagrange-man-49-killed-by-state-trooper-after-3-hour-standoff/" TargetMode="External"/><Relationship Id="rId595" Type="http://schemas.openxmlformats.org/officeDocument/2006/relationships/hyperlink" Target="http://www.ajc.com/news/news/police-investigating-shooting-in-east-point/ngsX4/" TargetMode="External"/><Relationship Id="rId596" Type="http://schemas.openxmlformats.org/officeDocument/2006/relationships/hyperlink" Target="http://www.8newsnow.com/story/26137424/breaking-news-police-investigate-officer-involved-shooting" TargetMode="External"/><Relationship Id="rId597" Type="http://schemas.openxmlformats.org/officeDocument/2006/relationships/hyperlink" Target="http://www.tri-cityherald.com/2014/07/29/3083195_pasco-man-with-knife-killed-by.html?rh=1" TargetMode="External"/><Relationship Id="rId598" Type="http://schemas.openxmlformats.org/officeDocument/2006/relationships/hyperlink" Target="http://www.knoxnews.com/news/local-news/parolee-killed-in-fight-with-officer-had-a-syringe-narcotic-on-him_07147175" TargetMode="External"/><Relationship Id="rId599" Type="http://schemas.openxmlformats.org/officeDocument/2006/relationships/hyperlink" Target="http://www.sltrib.com/news/justice/1618808-155/officers-shot-lister-police-gill-gun" TargetMode="External"/><Relationship Id="rId1270" Type="http://schemas.openxmlformats.org/officeDocument/2006/relationships/hyperlink" Target="http://www.wfaa.com/story/news/local/tarrant-county/2015/10/05/suspect-killed-in-hurst-officer-involved-shooting/73425460/" TargetMode="External"/><Relationship Id="rId1271" Type="http://schemas.openxmlformats.org/officeDocument/2006/relationships/hyperlink" Target="http://www.salemnews.com/news/local_news/hamilton-man-killed-after-police-involved-shooting-in-beverly/article_ec3bb5b9-6453-5915-8189-4894e3d43a40.html" TargetMode="External"/><Relationship Id="rId1272" Type="http://schemas.openxmlformats.org/officeDocument/2006/relationships/hyperlink" Target="http://www.sbsun.com/general-news/20151011/san-bernardino-police-officer-fatally-shoots-suspect" TargetMode="External"/><Relationship Id="rId1273" Type="http://schemas.openxmlformats.org/officeDocument/2006/relationships/hyperlink" Target="http://www.chicagotribune.com/news/local/breaking/ct-lisle-fatal-police-shooting-20151010-story.html" TargetMode="External"/><Relationship Id="rId1274" Type="http://schemas.openxmlformats.org/officeDocument/2006/relationships/hyperlink" Target="http://www.sbsun.com/general-news/20151011/deputies-shoot-kill-man-in-pinon-hills" TargetMode="External"/><Relationship Id="rId1275" Type="http://schemas.openxmlformats.org/officeDocument/2006/relationships/hyperlink" Target="http://www.oaoa.com/news/article_56304b5e-70eb-11e5-b3b8-73e54f868fb5.html" TargetMode="External"/><Relationship Id="rId1276" Type="http://schemas.openxmlformats.org/officeDocument/2006/relationships/hyperlink" Target="http://www.swoknews.com/local/man-waving-gun-sheridan-lee-shot-killed-police" TargetMode="External"/><Relationship Id="rId1277" Type="http://schemas.openxmlformats.org/officeDocument/2006/relationships/hyperlink" Target="http://wjtv.com/2015/10/13/suspect-identified-in-brookhaven-standoff-2-officers-injured/" TargetMode="External"/><Relationship Id="rId1278" Type="http://schemas.openxmlformats.org/officeDocument/2006/relationships/hyperlink" Target="http://www.ledger-enquirer.com/news/local/crime/article39281184.html" TargetMode="External"/><Relationship Id="rId1279" Type="http://schemas.openxmlformats.org/officeDocument/2006/relationships/hyperlink" Target="http://www.miamiherald.com/news/local/community/miami-dade/article39262830.html" TargetMode="External"/><Relationship Id="rId270" Type="http://schemas.openxmlformats.org/officeDocument/2006/relationships/hyperlink" Target="http://www.wsoctv.com/news/news/local/sled-responding-possible-officer-involved-shooting/nmQSJ/" TargetMode="External"/><Relationship Id="rId271" Type="http://schemas.openxmlformats.org/officeDocument/2006/relationships/hyperlink" Target="http://www.nbcsandiego.com/news/local/Reported-Shots-Fired-Alpine-305259931.html" TargetMode="External"/><Relationship Id="rId272" Type="http://schemas.openxmlformats.org/officeDocument/2006/relationships/hyperlink" Target="http://www.kmbc.com/news/person-taken-to-hospital-after-kck-officer-uses-force-at-family-dollar/33249942" TargetMode="External"/><Relationship Id="rId273" Type="http://schemas.openxmlformats.org/officeDocument/2006/relationships/hyperlink" Target="http://7online.com/news/man-holding-17-month-old-son-hostage-killed-in-middletown-police-shooting/744277/" TargetMode="External"/><Relationship Id="rId274" Type="http://schemas.openxmlformats.org/officeDocument/2006/relationships/hyperlink" Target="http://kfor.com/2015/05/27/breaking-news-officer-involved-shooting-in-edmond/" TargetMode="External"/><Relationship Id="rId275" Type="http://schemas.openxmlformats.org/officeDocument/2006/relationships/hyperlink" Target="http://pix11.com/2015/05/26/police-shoot-man-in-brooklyn-school-parking-lot/" TargetMode="External"/><Relationship Id="rId276" Type="http://schemas.openxmlformats.org/officeDocument/2006/relationships/hyperlink" Target="http://www.nbcdfw.com/news/local/9-Year-Old-Child-Reported-Missing-in-Benbrook-304947651.html" TargetMode="External"/><Relationship Id="rId277" Type="http://schemas.openxmlformats.org/officeDocument/2006/relationships/hyperlink" Target="http://www.kirotv.com/news/news/breaking-news-deputy-shoots-kills-man-near-monroe/nmNnq/" TargetMode="External"/><Relationship Id="rId278" Type="http://schemas.openxmlformats.org/officeDocument/2006/relationships/hyperlink" Target="http://www.waaytv.com/appnews/huntsville-police-investigate-fatal-officer-involved-shooting/article_ed55e3aa-035d-11e5-86b1-a7abaa619c23.html" TargetMode="External"/><Relationship Id="rId279" Type="http://schemas.openxmlformats.org/officeDocument/2006/relationships/hyperlink" Target="http://kxan.com/2015/05/25/woman-shot-dead-after-five-hour-standoff-with-apd-swat-officers/" TargetMode="External"/><Relationship Id="rId720" Type="http://schemas.openxmlformats.org/officeDocument/2006/relationships/hyperlink" Target="http://sfappeal.com/2013/10/sf-man-shot-to-death-by-san-mateo-police/" TargetMode="External"/><Relationship Id="rId721" Type="http://schemas.openxmlformats.org/officeDocument/2006/relationships/hyperlink" Target="http://www.koat.com/news/fatal-roswell-shootout-caught-on-camera/22577824" TargetMode="External"/><Relationship Id="rId722" Type="http://schemas.openxmlformats.org/officeDocument/2006/relationships/hyperlink" Target="http://www.myfoxmemphis.com/story/24329596/medical-examiner-rules-cause-of-death-aaron-dumas" TargetMode="External"/><Relationship Id="rId723" Type="http://schemas.openxmlformats.org/officeDocument/2006/relationships/hyperlink" Target="http://bangordailynews.com/2013/10/10/news/bangor/police-identify-2-dead-in-old-town-stabbing-standoff/" TargetMode="External"/><Relationship Id="rId724" Type="http://schemas.openxmlformats.org/officeDocument/2006/relationships/hyperlink" Target="http://www.chicagotribune.com/news/local/breaking/chi-at-least-1-wounded-in-policeinvolved-shooting-in-posen-20131004,0,7140004.story" TargetMode="External"/><Relationship Id="rId725" Type="http://schemas.openxmlformats.org/officeDocument/2006/relationships/hyperlink" Target="http://pgpolice.blogspot.com/2013/10/pgpd-investigates-police-involved.html" TargetMode="External"/><Relationship Id="rId726" Type="http://schemas.openxmlformats.org/officeDocument/2006/relationships/hyperlink" Target="http://abc13.com/archive/9270067/" TargetMode="External"/><Relationship Id="rId727" Type="http://schemas.openxmlformats.org/officeDocument/2006/relationships/hyperlink" Target="http://www.presstelegram.com/general-news/20130926/long-beach-police-kill-man-in-departments-third-ois-in-past-week" TargetMode="External"/><Relationship Id="rId728" Type="http://schemas.openxmlformats.org/officeDocument/2006/relationships/hyperlink" Target="http://www.dps.state.ia.us/commis/pib/Releases/2013/12-14-2013_Northwood_Results.htm" TargetMode="External"/><Relationship Id="rId729" Type="http://schemas.openxmlformats.org/officeDocument/2006/relationships/hyperlink" Target="http://www.denverpost.com/breakingnews/ci_24147149/police-fatally-shoot-denver-bank-robbery-suspe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486"/>
  <sheetViews>
    <sheetView tabSelected="1"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7.33203125" defaultRowHeight="13" customHeight="1" x14ac:dyDescent="0"/>
  <cols>
    <col min="1" max="1" width="25.1640625" style="8" customWidth="1"/>
    <col min="2" max="2" width="5.33203125" style="16" customWidth="1"/>
    <col min="3" max="3" width="8.83203125" style="8" customWidth="1"/>
    <col min="4" max="4" width="12.83203125" style="8" customWidth="1"/>
    <col min="5" max="5" width="19.5" style="8" customWidth="1"/>
    <col min="6" max="6" width="11.6640625" style="17" customWidth="1"/>
    <col min="7" max="7" width="24.5" style="8" customWidth="1"/>
    <col min="8" max="8" width="17.1640625" style="8" customWidth="1"/>
    <col min="9" max="9" width="10.33203125" style="8" customWidth="1"/>
    <col min="10" max="10" width="23.1640625" style="16" customWidth="1"/>
    <col min="11" max="11" width="27.83203125" style="2" customWidth="1"/>
    <col min="12" max="12" width="53.6640625" style="8" customWidth="1"/>
    <col min="13" max="13" width="14.5" style="8" customWidth="1"/>
    <col min="14" max="14" width="26" style="2" customWidth="1"/>
    <col min="15" max="15" width="26" style="8" customWidth="1"/>
    <col min="16" max="16" width="17.1640625" style="8" customWidth="1"/>
    <col min="17" max="17" width="26.83203125" style="12" customWidth="1"/>
    <col min="18" max="18" width="26" style="8" customWidth="1"/>
    <col min="19" max="19" width="17.1640625" style="2" customWidth="1"/>
    <col min="20" max="21" width="17.33203125" style="2" customWidth="1"/>
    <col min="22" max="16384" width="17.33203125" style="2"/>
  </cols>
  <sheetData>
    <row r="1" spans="1:21" s="18" customFormat="1" ht="13" customHeight="1">
      <c r="A1" s="4" t="s">
        <v>0</v>
      </c>
      <c r="B1" s="19" t="s">
        <v>1</v>
      </c>
      <c r="C1" s="4" t="s">
        <v>2</v>
      </c>
      <c r="D1" s="4" t="s">
        <v>3</v>
      </c>
      <c r="E1" s="4" t="s">
        <v>4</v>
      </c>
      <c r="F1" s="15" t="s">
        <v>5</v>
      </c>
      <c r="G1" s="4" t="s">
        <v>6</v>
      </c>
      <c r="H1" s="4" t="s">
        <v>7</v>
      </c>
      <c r="I1" s="4" t="s">
        <v>8</v>
      </c>
      <c r="J1" s="19" t="s">
        <v>9</v>
      </c>
      <c r="K1" s="18" t="s">
        <v>10</v>
      </c>
      <c r="L1" s="4" t="s">
        <v>11</v>
      </c>
      <c r="M1" s="4" t="s">
        <v>12</v>
      </c>
      <c r="N1" s="18" t="s">
        <v>13</v>
      </c>
      <c r="O1" s="4" t="s">
        <v>14</v>
      </c>
      <c r="P1" s="4" t="s">
        <v>15</v>
      </c>
      <c r="Q1" s="4" t="s">
        <v>16</v>
      </c>
      <c r="R1" s="4" t="s">
        <v>17</v>
      </c>
      <c r="S1" s="5" t="s">
        <v>18</v>
      </c>
      <c r="T1" s="14"/>
      <c r="U1" s="4"/>
    </row>
    <row r="2" spans="1:21" s="39" customFormat="1" ht="13" customHeight="1">
      <c r="A2" s="39" t="s">
        <v>21424</v>
      </c>
      <c r="B2" s="43">
        <v>23</v>
      </c>
      <c r="C2" s="39" t="s">
        <v>20</v>
      </c>
      <c r="D2" s="39" t="s">
        <v>85</v>
      </c>
      <c r="E2" s="39" t="s">
        <v>21425</v>
      </c>
      <c r="F2" s="60">
        <v>42369</v>
      </c>
      <c r="G2" s="39" t="s">
        <v>21421</v>
      </c>
      <c r="H2" s="39" t="s">
        <v>657</v>
      </c>
      <c r="I2" s="39" t="s">
        <v>269</v>
      </c>
      <c r="K2" s="39" t="s">
        <v>570</v>
      </c>
      <c r="L2" s="39" t="s">
        <v>571</v>
      </c>
      <c r="M2" s="39" t="s">
        <v>27</v>
      </c>
      <c r="N2" s="63" t="s">
        <v>21422</v>
      </c>
      <c r="P2" s="28" t="s">
        <v>401</v>
      </c>
      <c r="Q2" s="39" t="s">
        <v>21420</v>
      </c>
      <c r="S2" s="39" t="s">
        <v>18</v>
      </c>
    </row>
    <row r="3" spans="1:21" s="39" customFormat="1" ht="13" customHeight="1">
      <c r="A3" s="39" t="s">
        <v>21438</v>
      </c>
      <c r="B3" s="43">
        <v>39</v>
      </c>
      <c r="C3" s="39" t="s">
        <v>20</v>
      </c>
      <c r="D3" s="39" t="s">
        <v>30</v>
      </c>
      <c r="F3" s="60">
        <v>42368</v>
      </c>
      <c r="G3" s="39" t="s">
        <v>21571</v>
      </c>
      <c r="H3" s="39" t="s">
        <v>21419</v>
      </c>
      <c r="I3" s="39" t="s">
        <v>1086</v>
      </c>
      <c r="L3" s="39" t="s">
        <v>21418</v>
      </c>
      <c r="M3" s="39" t="s">
        <v>27</v>
      </c>
      <c r="N3" s="63" t="s">
        <v>21423</v>
      </c>
      <c r="P3" s="28" t="s">
        <v>401</v>
      </c>
      <c r="Q3" s="39" t="s">
        <v>21417</v>
      </c>
      <c r="S3" s="39" t="s">
        <v>28</v>
      </c>
    </row>
    <row r="4" spans="1:21" s="39" customFormat="1" ht="13" customHeight="1">
      <c r="A4" s="39" t="s">
        <v>21406</v>
      </c>
      <c r="B4" s="43">
        <v>33</v>
      </c>
      <c r="C4" s="39" t="s">
        <v>20</v>
      </c>
      <c r="D4" s="39" t="s">
        <v>21</v>
      </c>
      <c r="F4" s="60">
        <v>42367</v>
      </c>
      <c r="G4" s="39" t="s">
        <v>21413</v>
      </c>
      <c r="H4" s="39" t="s">
        <v>13142</v>
      </c>
      <c r="I4" s="39" t="s">
        <v>45</v>
      </c>
      <c r="L4" s="39" t="s">
        <v>99</v>
      </c>
      <c r="M4" s="39" t="s">
        <v>27</v>
      </c>
      <c r="N4" s="63" t="s">
        <v>21412</v>
      </c>
      <c r="P4" s="28" t="s">
        <v>401</v>
      </c>
      <c r="Q4" s="39" t="s">
        <v>21407</v>
      </c>
      <c r="S4" s="39" t="s">
        <v>35</v>
      </c>
    </row>
    <row r="5" spans="1:21" s="39" customFormat="1" ht="13" customHeight="1">
      <c r="A5" s="39" t="s">
        <v>21408</v>
      </c>
      <c r="B5" s="43">
        <v>55</v>
      </c>
      <c r="C5" s="39" t="s">
        <v>20</v>
      </c>
      <c r="D5" s="39" t="s">
        <v>48</v>
      </c>
      <c r="F5" s="60">
        <v>42367</v>
      </c>
      <c r="G5" s="39" t="s">
        <v>21411</v>
      </c>
      <c r="H5" s="39" t="s">
        <v>200</v>
      </c>
      <c r="I5" s="39" t="s">
        <v>45</v>
      </c>
      <c r="L5" s="39" t="s">
        <v>201</v>
      </c>
      <c r="M5" s="39" t="s">
        <v>27</v>
      </c>
      <c r="N5" s="63" t="s">
        <v>21410</v>
      </c>
      <c r="P5" s="28" t="s">
        <v>401</v>
      </c>
      <c r="Q5" s="39" t="s">
        <v>21409</v>
      </c>
      <c r="S5" s="39" t="s">
        <v>28</v>
      </c>
    </row>
    <row r="6" spans="1:21" s="39" customFormat="1" ht="13" customHeight="1">
      <c r="A6" s="39" t="s">
        <v>21306</v>
      </c>
      <c r="B6" s="43">
        <v>50</v>
      </c>
      <c r="C6" s="39" t="s">
        <v>114</v>
      </c>
      <c r="D6" s="39" t="s">
        <v>945</v>
      </c>
      <c r="E6" s="39" t="s">
        <v>21358</v>
      </c>
      <c r="F6" s="60">
        <v>42367</v>
      </c>
      <c r="G6" s="39" t="s">
        <v>21307</v>
      </c>
      <c r="H6" s="39" t="s">
        <v>21308</v>
      </c>
      <c r="I6" s="39" t="s">
        <v>45</v>
      </c>
      <c r="L6" s="39" t="s">
        <v>21309</v>
      </c>
      <c r="M6" s="39" t="s">
        <v>27</v>
      </c>
      <c r="N6" s="63" t="s">
        <v>21335</v>
      </c>
      <c r="P6" s="28" t="s">
        <v>401</v>
      </c>
      <c r="Q6" s="39" t="s">
        <v>21336</v>
      </c>
      <c r="S6" s="39" t="s">
        <v>28</v>
      </c>
    </row>
    <row r="7" spans="1:21" s="39" customFormat="1" ht="13" customHeight="1">
      <c r="A7" s="39" t="s">
        <v>21404</v>
      </c>
      <c r="B7" s="43">
        <v>44</v>
      </c>
      <c r="C7" s="39" t="s">
        <v>20</v>
      </c>
      <c r="D7" s="39" t="s">
        <v>37</v>
      </c>
      <c r="E7" s="39" t="s">
        <v>21414</v>
      </c>
      <c r="F7" s="60">
        <v>42367</v>
      </c>
      <c r="G7" s="39" t="s">
        <v>21416</v>
      </c>
      <c r="H7" s="39" t="s">
        <v>653</v>
      </c>
      <c r="I7" s="39" t="s">
        <v>62</v>
      </c>
      <c r="L7" s="39" t="s">
        <v>655</v>
      </c>
      <c r="M7" s="39" t="s">
        <v>391</v>
      </c>
      <c r="N7" s="63" t="s">
        <v>21415</v>
      </c>
      <c r="P7" s="28" t="s">
        <v>401</v>
      </c>
      <c r="Q7" s="39" t="s">
        <v>21405</v>
      </c>
      <c r="S7" s="39" t="s">
        <v>18</v>
      </c>
    </row>
    <row r="8" spans="1:21" s="39" customFormat="1" ht="13" customHeight="1">
      <c r="A8" s="39" t="s">
        <v>21310</v>
      </c>
      <c r="B8" s="43">
        <v>28</v>
      </c>
      <c r="C8" s="39" t="s">
        <v>20</v>
      </c>
      <c r="D8" s="39" t="s">
        <v>37</v>
      </c>
      <c r="E8" s="39" t="s">
        <v>21390</v>
      </c>
      <c r="F8" s="40">
        <v>42366</v>
      </c>
      <c r="G8" s="39" t="s">
        <v>21311</v>
      </c>
      <c r="H8" s="39" t="s">
        <v>1703</v>
      </c>
      <c r="I8" s="39" t="s">
        <v>244</v>
      </c>
      <c r="L8" s="39" t="s">
        <v>21312</v>
      </c>
      <c r="M8" s="39" t="s">
        <v>27</v>
      </c>
      <c r="N8" s="63" t="s">
        <v>21338</v>
      </c>
      <c r="P8" s="28" t="s">
        <v>401</v>
      </c>
      <c r="Q8" s="39" t="s">
        <v>21337</v>
      </c>
      <c r="S8" s="39" t="s">
        <v>18</v>
      </c>
    </row>
    <row r="9" spans="1:21" s="39" customFormat="1" ht="13" customHeight="1">
      <c r="A9" s="39" t="s">
        <v>21316</v>
      </c>
      <c r="B9" s="43">
        <v>34</v>
      </c>
      <c r="C9" s="39" t="s">
        <v>20</v>
      </c>
      <c r="D9" s="39" t="s">
        <v>37</v>
      </c>
      <c r="F9" s="40">
        <v>42365</v>
      </c>
      <c r="G9" s="39" t="s">
        <v>21317</v>
      </c>
      <c r="H9" s="39" t="s">
        <v>3930</v>
      </c>
      <c r="I9" s="39" t="s">
        <v>123</v>
      </c>
      <c r="L9" s="39" t="s">
        <v>3932</v>
      </c>
      <c r="M9" s="39" t="s">
        <v>27</v>
      </c>
      <c r="N9" s="63" t="s">
        <v>21334</v>
      </c>
      <c r="P9" s="28" t="s">
        <v>401</v>
      </c>
      <c r="Q9" s="39" t="s">
        <v>21357</v>
      </c>
      <c r="S9" s="39" t="s">
        <v>28</v>
      </c>
    </row>
    <row r="10" spans="1:21" s="39" customFormat="1" ht="13" customHeight="1">
      <c r="A10" s="39" t="s">
        <v>21313</v>
      </c>
      <c r="B10" s="43">
        <v>36</v>
      </c>
      <c r="C10" s="39" t="s">
        <v>20</v>
      </c>
      <c r="D10" s="39" t="s">
        <v>37</v>
      </c>
      <c r="F10" s="40">
        <v>42365</v>
      </c>
      <c r="G10" s="39" t="s">
        <v>21314</v>
      </c>
      <c r="H10" s="39" t="s">
        <v>3958</v>
      </c>
      <c r="I10" s="39" t="s">
        <v>671</v>
      </c>
      <c r="L10" s="39" t="s">
        <v>21315</v>
      </c>
      <c r="M10" s="39" t="s">
        <v>27</v>
      </c>
      <c r="N10" s="63" t="s">
        <v>21347</v>
      </c>
      <c r="P10" s="28" t="s">
        <v>401</v>
      </c>
      <c r="Q10" s="39" t="s">
        <v>21346</v>
      </c>
      <c r="S10" s="39" t="s">
        <v>35</v>
      </c>
    </row>
    <row r="11" spans="1:21" s="39" customFormat="1" ht="13" customHeight="1">
      <c r="A11" s="39" t="s">
        <v>21318</v>
      </c>
      <c r="B11" s="43">
        <v>41</v>
      </c>
      <c r="C11" s="39" t="s">
        <v>20</v>
      </c>
      <c r="D11" s="39" t="s">
        <v>37</v>
      </c>
      <c r="E11" s="39" t="s">
        <v>21362</v>
      </c>
      <c r="F11" s="40">
        <v>42364</v>
      </c>
      <c r="G11" s="39" t="s">
        <v>21319</v>
      </c>
      <c r="H11" s="39" t="s">
        <v>634</v>
      </c>
      <c r="I11" s="39" t="s">
        <v>123</v>
      </c>
      <c r="L11" s="39" t="s">
        <v>636</v>
      </c>
      <c r="M11" s="39" t="s">
        <v>27</v>
      </c>
      <c r="N11" s="63" t="s">
        <v>21333</v>
      </c>
      <c r="P11" s="28" t="s">
        <v>401</v>
      </c>
      <c r="Q11" s="39" t="s">
        <v>21356</v>
      </c>
      <c r="S11" s="39" t="s">
        <v>28</v>
      </c>
    </row>
    <row r="12" spans="1:21" s="39" customFormat="1" ht="13" customHeight="1">
      <c r="A12" s="39" t="s">
        <v>21222</v>
      </c>
      <c r="B12" s="43">
        <v>19</v>
      </c>
      <c r="C12" s="39" t="s">
        <v>20</v>
      </c>
      <c r="D12" s="39" t="s">
        <v>85</v>
      </c>
      <c r="E12" s="39" t="s">
        <v>21226</v>
      </c>
      <c r="F12" s="40">
        <v>42363</v>
      </c>
      <c r="G12" s="39" t="s">
        <v>21225</v>
      </c>
      <c r="H12" s="39" t="s">
        <v>87</v>
      </c>
      <c r="I12" s="39" t="s">
        <v>44</v>
      </c>
      <c r="L12" s="39" t="s">
        <v>89</v>
      </c>
      <c r="M12" s="39" t="s">
        <v>27</v>
      </c>
      <c r="N12" s="63" t="s">
        <v>21223</v>
      </c>
      <c r="P12" s="28" t="s">
        <v>401</v>
      </c>
      <c r="Q12" s="39" t="s">
        <v>21224</v>
      </c>
      <c r="S12" s="39" t="s">
        <v>28</v>
      </c>
    </row>
    <row r="13" spans="1:21" s="39" customFormat="1" ht="13" customHeight="1">
      <c r="A13" s="39" t="s">
        <v>21215</v>
      </c>
      <c r="B13" s="43">
        <v>24</v>
      </c>
      <c r="C13" s="39" t="s">
        <v>20</v>
      </c>
      <c r="D13" s="39" t="s">
        <v>85</v>
      </c>
      <c r="E13" s="39" t="s">
        <v>21216</v>
      </c>
      <c r="F13" s="40">
        <v>42363</v>
      </c>
      <c r="G13" s="39" t="s">
        <v>21221</v>
      </c>
      <c r="H13" s="39" t="s">
        <v>21217</v>
      </c>
      <c r="I13" s="39" t="s">
        <v>57</v>
      </c>
      <c r="L13" s="39" t="s">
        <v>21220</v>
      </c>
      <c r="M13" s="39" t="s">
        <v>27</v>
      </c>
      <c r="N13" s="63" t="s">
        <v>21219</v>
      </c>
      <c r="P13" s="28" t="s">
        <v>401</v>
      </c>
      <c r="Q13" s="39" t="s">
        <v>21218</v>
      </c>
      <c r="S13" s="39" t="s">
        <v>28</v>
      </c>
    </row>
    <row r="14" spans="1:21" s="39" customFormat="1" ht="13" customHeight="1">
      <c r="A14" s="39" t="s">
        <v>21227</v>
      </c>
      <c r="B14" s="43">
        <v>55</v>
      </c>
      <c r="C14" s="39" t="s">
        <v>114</v>
      </c>
      <c r="D14" s="39" t="s">
        <v>85</v>
      </c>
      <c r="E14" s="39" t="s">
        <v>21228</v>
      </c>
      <c r="F14" s="40">
        <v>42363</v>
      </c>
      <c r="G14" s="39" t="s">
        <v>21225</v>
      </c>
      <c r="H14" s="39" t="s">
        <v>87</v>
      </c>
      <c r="I14" s="39" t="s">
        <v>44</v>
      </c>
      <c r="L14" s="39" t="s">
        <v>89</v>
      </c>
      <c r="M14" s="39" t="s">
        <v>27</v>
      </c>
      <c r="N14" s="63" t="s">
        <v>21223</v>
      </c>
      <c r="P14" s="28" t="s">
        <v>401</v>
      </c>
      <c r="Q14" s="39" t="s">
        <v>21224</v>
      </c>
      <c r="S14" s="39" t="s">
        <v>18</v>
      </c>
    </row>
    <row r="15" spans="1:21" s="39" customFormat="1" ht="13" customHeight="1">
      <c r="A15" s="39" t="s">
        <v>21359</v>
      </c>
      <c r="B15" s="43">
        <v>31</v>
      </c>
      <c r="C15" s="39" t="s">
        <v>20</v>
      </c>
      <c r="D15" s="39" t="s">
        <v>37</v>
      </c>
      <c r="F15" s="40">
        <v>42363</v>
      </c>
      <c r="G15" s="39" t="s">
        <v>21320</v>
      </c>
      <c r="H15" s="39" t="s">
        <v>21321</v>
      </c>
      <c r="I15" s="39" t="s">
        <v>45</v>
      </c>
      <c r="L15" s="39" t="s">
        <v>21322</v>
      </c>
      <c r="M15" s="39" t="s">
        <v>27</v>
      </c>
      <c r="N15" s="63" t="s">
        <v>21339</v>
      </c>
      <c r="P15" s="28" t="s">
        <v>401</v>
      </c>
      <c r="Q15" s="39" t="s">
        <v>21340</v>
      </c>
      <c r="S15" s="39" t="s">
        <v>28</v>
      </c>
    </row>
    <row r="16" spans="1:21" s="39" customFormat="1" ht="13" customHeight="1">
      <c r="A16" s="39" t="s">
        <v>21209</v>
      </c>
      <c r="B16" s="43">
        <v>18</v>
      </c>
      <c r="C16" s="39" t="s">
        <v>20</v>
      </c>
      <c r="D16" s="39" t="s">
        <v>85</v>
      </c>
      <c r="E16" s="39" t="s">
        <v>21210</v>
      </c>
      <c r="F16" s="40">
        <v>42362</v>
      </c>
      <c r="G16" s="39" t="s">
        <v>21214</v>
      </c>
      <c r="H16" s="39" t="s">
        <v>4218</v>
      </c>
      <c r="I16" s="39" t="s">
        <v>366</v>
      </c>
      <c r="L16" s="39" t="s">
        <v>21213</v>
      </c>
      <c r="M16" s="39" t="s">
        <v>27</v>
      </c>
      <c r="N16" s="63" t="s">
        <v>21212</v>
      </c>
      <c r="P16" s="28" t="s">
        <v>401</v>
      </c>
      <c r="Q16" s="39" t="s">
        <v>21211</v>
      </c>
      <c r="S16" s="39" t="s">
        <v>28</v>
      </c>
    </row>
    <row r="17" spans="1:19" s="39" customFormat="1" ht="13" customHeight="1">
      <c r="A17" s="39" t="s">
        <v>21327</v>
      </c>
      <c r="B17" s="43">
        <v>23</v>
      </c>
      <c r="C17" s="39" t="s">
        <v>20</v>
      </c>
      <c r="D17" s="39" t="s">
        <v>48</v>
      </c>
      <c r="E17" s="39" t="s">
        <v>21331</v>
      </c>
      <c r="F17" s="40">
        <v>42362</v>
      </c>
      <c r="G17" s="39" t="s">
        <v>21328</v>
      </c>
      <c r="H17" s="39" t="s">
        <v>21329</v>
      </c>
      <c r="I17" s="39" t="s">
        <v>45</v>
      </c>
      <c r="L17" s="39" t="s">
        <v>21330</v>
      </c>
      <c r="M17" s="39" t="s">
        <v>27</v>
      </c>
      <c r="N17" s="63" t="s">
        <v>21344</v>
      </c>
      <c r="P17" s="28" t="s">
        <v>401</v>
      </c>
      <c r="Q17" s="39" t="s">
        <v>21332</v>
      </c>
      <c r="S17" s="39" t="s">
        <v>28</v>
      </c>
    </row>
    <row r="18" spans="1:19" s="39" customFormat="1" ht="13" customHeight="1">
      <c r="A18" s="39" t="s">
        <v>11524</v>
      </c>
      <c r="B18" s="43">
        <v>54</v>
      </c>
      <c r="C18" s="39" t="s">
        <v>20</v>
      </c>
      <c r="D18" s="39" t="s">
        <v>30</v>
      </c>
      <c r="F18" s="40">
        <v>42362</v>
      </c>
      <c r="G18" s="39" t="s">
        <v>21325</v>
      </c>
      <c r="H18" s="39" t="s">
        <v>21326</v>
      </c>
      <c r="I18" s="39" t="s">
        <v>25</v>
      </c>
      <c r="L18" s="39" t="s">
        <v>190</v>
      </c>
      <c r="M18" s="39" t="s">
        <v>27</v>
      </c>
      <c r="N18" s="63" t="s">
        <v>21343</v>
      </c>
      <c r="P18" s="28" t="s">
        <v>401</v>
      </c>
      <c r="Q18" s="39" t="s">
        <v>21345</v>
      </c>
      <c r="S18" s="39" t="s">
        <v>28</v>
      </c>
    </row>
    <row r="19" spans="1:19" s="39" customFormat="1" ht="13" customHeight="1">
      <c r="A19" s="39" t="s">
        <v>21360</v>
      </c>
      <c r="B19" s="43" t="s">
        <v>29</v>
      </c>
      <c r="C19" s="39" t="s">
        <v>20</v>
      </c>
      <c r="D19" s="39" t="s">
        <v>37</v>
      </c>
      <c r="E19" s="39" t="s">
        <v>21361</v>
      </c>
      <c r="F19" s="40">
        <v>42362</v>
      </c>
      <c r="G19" s="39" t="s">
        <v>21323</v>
      </c>
      <c r="H19" s="39" t="s">
        <v>21324</v>
      </c>
      <c r="I19" s="39" t="s">
        <v>25</v>
      </c>
      <c r="L19" s="39" t="s">
        <v>13375</v>
      </c>
      <c r="M19" s="39" t="s">
        <v>27</v>
      </c>
      <c r="N19" s="63" t="s">
        <v>21341</v>
      </c>
      <c r="P19" s="28" t="s">
        <v>401</v>
      </c>
      <c r="Q19" s="39" t="s">
        <v>21342</v>
      </c>
      <c r="S19" s="39" t="s">
        <v>18</v>
      </c>
    </row>
    <row r="20" spans="1:19" s="39" customFormat="1" ht="13" customHeight="1">
      <c r="A20" s="39" t="s">
        <v>21304</v>
      </c>
      <c r="B20" s="43">
        <v>35</v>
      </c>
      <c r="C20" s="39" t="s">
        <v>20</v>
      </c>
      <c r="D20" s="39" t="s">
        <v>85</v>
      </c>
      <c r="E20" s="39" t="s">
        <v>21154</v>
      </c>
      <c r="F20" s="40">
        <v>42361</v>
      </c>
      <c r="G20" s="39" t="s">
        <v>21160</v>
      </c>
      <c r="H20" s="39" t="s">
        <v>5763</v>
      </c>
      <c r="I20" s="39" t="s">
        <v>57</v>
      </c>
      <c r="L20" s="39" t="s">
        <v>5765</v>
      </c>
      <c r="M20" s="39" t="s">
        <v>27</v>
      </c>
      <c r="N20" s="63" t="s">
        <v>21158</v>
      </c>
      <c r="P20" s="28" t="s">
        <v>401</v>
      </c>
      <c r="Q20" s="39" t="s">
        <v>21159</v>
      </c>
      <c r="R20" s="39" t="s">
        <v>555</v>
      </c>
      <c r="S20" s="39" t="s">
        <v>18</v>
      </c>
    </row>
    <row r="21" spans="1:19" s="39" customFormat="1" ht="13" customHeight="1">
      <c r="A21" s="39" t="s">
        <v>21173</v>
      </c>
      <c r="B21" s="43" t="s">
        <v>29</v>
      </c>
      <c r="C21" s="39" t="s">
        <v>20</v>
      </c>
      <c r="D21" s="39" t="s">
        <v>48</v>
      </c>
      <c r="E21" s="39" t="s">
        <v>21183</v>
      </c>
      <c r="F21" s="40">
        <v>42360</v>
      </c>
      <c r="G21" s="39" t="s">
        <v>21178</v>
      </c>
      <c r="H21" s="39" t="s">
        <v>925</v>
      </c>
      <c r="I21" s="39" t="s">
        <v>195</v>
      </c>
      <c r="L21" s="39" t="s">
        <v>4995</v>
      </c>
      <c r="M21" s="39" t="s">
        <v>27</v>
      </c>
      <c r="N21" s="63" t="s">
        <v>21348</v>
      </c>
      <c r="P21" s="28" t="s">
        <v>401</v>
      </c>
      <c r="Q21" s="39" t="s">
        <v>21349</v>
      </c>
      <c r="S21" s="39" t="s">
        <v>28</v>
      </c>
    </row>
    <row r="22" spans="1:19" s="39" customFormat="1" ht="13" customHeight="1">
      <c r="A22" s="39" t="s">
        <v>21171</v>
      </c>
      <c r="B22" s="43">
        <v>29</v>
      </c>
      <c r="C22" s="39" t="s">
        <v>20</v>
      </c>
      <c r="D22" s="39" t="s">
        <v>37</v>
      </c>
      <c r="E22" s="39" t="s">
        <v>21182</v>
      </c>
      <c r="F22" s="40">
        <v>42360</v>
      </c>
      <c r="G22" s="39" t="s">
        <v>21175</v>
      </c>
      <c r="H22" s="39" t="s">
        <v>10070</v>
      </c>
      <c r="I22" s="39" t="s">
        <v>62</v>
      </c>
      <c r="L22" s="39" t="s">
        <v>9783</v>
      </c>
      <c r="M22" s="39" t="s">
        <v>27</v>
      </c>
      <c r="N22" s="63" t="s">
        <v>21354</v>
      </c>
      <c r="P22" s="28" t="s">
        <v>401</v>
      </c>
      <c r="Q22" s="39" t="s">
        <v>21355</v>
      </c>
      <c r="S22" s="39" t="s">
        <v>28</v>
      </c>
    </row>
    <row r="23" spans="1:19" s="39" customFormat="1" ht="13" customHeight="1">
      <c r="A23" s="39" t="s">
        <v>21174</v>
      </c>
      <c r="B23" s="43">
        <v>56</v>
      </c>
      <c r="C23" s="39" t="s">
        <v>20</v>
      </c>
      <c r="D23" s="39" t="s">
        <v>37</v>
      </c>
      <c r="E23" s="39" t="s">
        <v>21181</v>
      </c>
      <c r="F23" s="40">
        <v>42360</v>
      </c>
      <c r="G23" s="39" t="s">
        <v>21179</v>
      </c>
      <c r="H23" s="39" t="s">
        <v>5130</v>
      </c>
      <c r="I23" s="39" t="s">
        <v>10747</v>
      </c>
      <c r="L23" s="39" t="s">
        <v>21180</v>
      </c>
      <c r="M23" s="39" t="s">
        <v>27</v>
      </c>
      <c r="N23" s="63" t="s">
        <v>21352</v>
      </c>
      <c r="P23" s="28" t="s">
        <v>401</v>
      </c>
      <c r="Q23" s="39" t="s">
        <v>21353</v>
      </c>
      <c r="S23" s="39" t="s">
        <v>28</v>
      </c>
    </row>
    <row r="24" spans="1:19" s="39" customFormat="1" ht="13" customHeight="1">
      <c r="A24" s="39" t="s">
        <v>21172</v>
      </c>
      <c r="B24" s="43">
        <v>61</v>
      </c>
      <c r="C24" s="39" t="s">
        <v>20</v>
      </c>
      <c r="D24" s="39" t="s">
        <v>37</v>
      </c>
      <c r="F24" s="40">
        <v>42360</v>
      </c>
      <c r="G24" s="39" t="s">
        <v>21176</v>
      </c>
      <c r="H24" s="39" t="s">
        <v>6764</v>
      </c>
      <c r="I24" s="39" t="s">
        <v>315</v>
      </c>
      <c r="L24" s="39" t="s">
        <v>21177</v>
      </c>
      <c r="M24" s="39" t="s">
        <v>27</v>
      </c>
      <c r="N24" s="63" t="s">
        <v>21350</v>
      </c>
      <c r="P24" s="28" t="s">
        <v>401</v>
      </c>
      <c r="Q24" s="39" t="s">
        <v>21351</v>
      </c>
      <c r="S24" s="39" t="s">
        <v>28</v>
      </c>
    </row>
    <row r="25" spans="1:19" s="39" customFormat="1" ht="13" customHeight="1">
      <c r="A25" s="39" t="s">
        <v>21185</v>
      </c>
      <c r="B25" s="43">
        <v>25</v>
      </c>
      <c r="C25" s="39" t="s">
        <v>20</v>
      </c>
      <c r="D25" s="39" t="s">
        <v>85</v>
      </c>
      <c r="E25" s="39" t="s">
        <v>21184</v>
      </c>
      <c r="F25" s="40">
        <v>42359</v>
      </c>
      <c r="G25" s="39" t="s">
        <v>21062</v>
      </c>
      <c r="H25" s="39" t="s">
        <v>1301</v>
      </c>
      <c r="I25" s="39" t="s">
        <v>209</v>
      </c>
      <c r="L25" s="39" t="s">
        <v>3850</v>
      </c>
      <c r="M25" s="39" t="s">
        <v>27</v>
      </c>
      <c r="N25" s="63" t="s">
        <v>21114</v>
      </c>
      <c r="P25" s="28" t="s">
        <v>401</v>
      </c>
      <c r="Q25" s="39" t="s">
        <v>21115</v>
      </c>
      <c r="S25" s="39" t="s">
        <v>28</v>
      </c>
    </row>
    <row r="26" spans="1:19" s="39" customFormat="1" ht="13" customHeight="1">
      <c r="A26" s="39" t="s">
        <v>21134</v>
      </c>
      <c r="B26" s="43">
        <v>48</v>
      </c>
      <c r="C26" s="39" t="s">
        <v>20</v>
      </c>
      <c r="D26" s="39" t="s">
        <v>85</v>
      </c>
      <c r="E26" s="39" t="s">
        <v>21153</v>
      </c>
      <c r="F26" s="40">
        <v>42359</v>
      </c>
      <c r="G26" s="39" t="s">
        <v>21060</v>
      </c>
      <c r="H26" s="39" t="s">
        <v>21061</v>
      </c>
      <c r="I26" s="39" t="s">
        <v>173</v>
      </c>
      <c r="L26" s="39" t="s">
        <v>1633</v>
      </c>
      <c r="M26" s="39" t="s">
        <v>27</v>
      </c>
      <c r="N26" s="63" t="s">
        <v>21116</v>
      </c>
      <c r="P26" s="28" t="s">
        <v>401</v>
      </c>
      <c r="Q26" s="39" t="s">
        <v>21117</v>
      </c>
      <c r="S26" s="39" t="s">
        <v>28</v>
      </c>
    </row>
    <row r="27" spans="1:19" s="39" customFormat="1" ht="13" customHeight="1">
      <c r="A27" s="39" t="s">
        <v>21428</v>
      </c>
      <c r="B27" s="43">
        <v>32</v>
      </c>
      <c r="C27" s="39" t="s">
        <v>20</v>
      </c>
      <c r="D27" s="39" t="s">
        <v>85</v>
      </c>
      <c r="E27" s="39" t="s">
        <v>21135</v>
      </c>
      <c r="F27" s="40">
        <v>42359</v>
      </c>
      <c r="G27" s="39" t="s">
        <v>21058</v>
      </c>
      <c r="H27" s="39" t="s">
        <v>21059</v>
      </c>
      <c r="I27" s="39" t="s">
        <v>25</v>
      </c>
      <c r="L27" s="39" t="s">
        <v>12373</v>
      </c>
      <c r="M27" s="39" t="s">
        <v>27</v>
      </c>
      <c r="N27" s="63" t="s">
        <v>21505</v>
      </c>
      <c r="P27" s="28" t="s">
        <v>401</v>
      </c>
      <c r="Q27" s="39" t="s">
        <v>21118</v>
      </c>
      <c r="S27" s="39" t="s">
        <v>35</v>
      </c>
    </row>
    <row r="28" spans="1:19" s="39" customFormat="1" ht="13" customHeight="1">
      <c r="A28" s="39" t="s">
        <v>21143</v>
      </c>
      <c r="B28" s="43">
        <v>34</v>
      </c>
      <c r="C28" s="39" t="s">
        <v>20</v>
      </c>
      <c r="D28" s="39" t="s">
        <v>48</v>
      </c>
      <c r="F28" s="40">
        <v>42359</v>
      </c>
      <c r="G28" s="39" t="s">
        <v>21055</v>
      </c>
      <c r="H28" s="39" t="s">
        <v>785</v>
      </c>
      <c r="I28" s="39" t="s">
        <v>45</v>
      </c>
      <c r="L28" s="39" t="s">
        <v>20888</v>
      </c>
      <c r="M28" s="39" t="s">
        <v>27</v>
      </c>
      <c r="N28" s="63" t="s">
        <v>21112</v>
      </c>
      <c r="P28" s="28" t="s">
        <v>401</v>
      </c>
      <c r="Q28" s="39" t="s">
        <v>21113</v>
      </c>
      <c r="S28" s="39" t="s">
        <v>28</v>
      </c>
    </row>
    <row r="29" spans="1:19" s="39" customFormat="1" ht="13" customHeight="1">
      <c r="A29" s="39" t="s">
        <v>21142</v>
      </c>
      <c r="B29" s="43">
        <v>47</v>
      </c>
      <c r="C29" s="39" t="s">
        <v>20</v>
      </c>
      <c r="D29" s="39" t="s">
        <v>48</v>
      </c>
      <c r="F29" s="40">
        <v>42359</v>
      </c>
      <c r="G29" s="39" t="s">
        <v>21146</v>
      </c>
      <c r="H29" s="39" t="s">
        <v>4307</v>
      </c>
      <c r="I29" s="39" t="s">
        <v>73</v>
      </c>
      <c r="L29" s="39" t="s">
        <v>4310</v>
      </c>
      <c r="M29" s="39" t="s">
        <v>391</v>
      </c>
      <c r="N29" s="63" t="s">
        <v>21144</v>
      </c>
      <c r="P29" s="28" t="s">
        <v>401</v>
      </c>
      <c r="Q29" s="39" t="s">
        <v>21145</v>
      </c>
      <c r="S29" s="39" t="s">
        <v>18</v>
      </c>
    </row>
    <row r="30" spans="1:19" s="39" customFormat="1" ht="13" customHeight="1">
      <c r="A30" s="39" t="s">
        <v>21136</v>
      </c>
      <c r="B30" s="43">
        <v>21</v>
      </c>
      <c r="C30" s="39" t="s">
        <v>20</v>
      </c>
      <c r="D30" s="39" t="s">
        <v>37</v>
      </c>
      <c r="E30" s="39" t="s">
        <v>21141</v>
      </c>
      <c r="F30" s="40">
        <v>42359</v>
      </c>
      <c r="G30" s="39" t="s">
        <v>21137</v>
      </c>
      <c r="H30" s="39" t="s">
        <v>21138</v>
      </c>
      <c r="I30" s="39" t="s">
        <v>404</v>
      </c>
      <c r="L30" s="39" t="s">
        <v>511</v>
      </c>
      <c r="M30" s="39" t="s">
        <v>27</v>
      </c>
      <c r="N30" s="63" t="s">
        <v>21139</v>
      </c>
      <c r="P30" s="28" t="s">
        <v>401</v>
      </c>
      <c r="Q30" s="39" t="s">
        <v>21140</v>
      </c>
      <c r="S30" s="39" t="s">
        <v>28</v>
      </c>
    </row>
    <row r="31" spans="1:19" s="39" customFormat="1" ht="13" customHeight="1">
      <c r="A31" s="39" t="s">
        <v>21166</v>
      </c>
      <c r="B31" s="43">
        <v>30</v>
      </c>
      <c r="C31" s="39" t="s">
        <v>20</v>
      </c>
      <c r="D31" s="39" t="s">
        <v>37</v>
      </c>
      <c r="E31" s="58" t="s">
        <v>21400</v>
      </c>
      <c r="F31" s="40">
        <v>42359</v>
      </c>
      <c r="G31" s="39" t="s">
        <v>21167</v>
      </c>
      <c r="H31" s="39" t="s">
        <v>21168</v>
      </c>
      <c r="I31" s="39" t="s">
        <v>45</v>
      </c>
      <c r="K31" s="39" t="s">
        <v>1334</v>
      </c>
      <c r="L31" s="39" t="s">
        <v>1335</v>
      </c>
      <c r="M31" s="39" t="s">
        <v>27</v>
      </c>
      <c r="N31" s="63" t="s">
        <v>21169</v>
      </c>
      <c r="P31" s="28" t="s">
        <v>401</v>
      </c>
      <c r="Q31" s="39" t="s">
        <v>21170</v>
      </c>
      <c r="S31" s="39" t="s">
        <v>28</v>
      </c>
    </row>
    <row r="32" spans="1:19" s="39" customFormat="1" ht="13" customHeight="1">
      <c r="A32" s="39" t="s">
        <v>21056</v>
      </c>
      <c r="B32" s="43">
        <v>39</v>
      </c>
      <c r="C32" s="39" t="s">
        <v>20</v>
      </c>
      <c r="D32" s="39" t="s">
        <v>37</v>
      </c>
      <c r="E32" s="39" t="s">
        <v>21399</v>
      </c>
      <c r="F32" s="40">
        <v>42359</v>
      </c>
      <c r="G32" s="39" t="s">
        <v>21057</v>
      </c>
      <c r="H32" s="39" t="s">
        <v>3914</v>
      </c>
      <c r="I32" s="39" t="s">
        <v>62</v>
      </c>
      <c r="L32" s="39" t="s">
        <v>261</v>
      </c>
      <c r="M32" s="39" t="s">
        <v>27</v>
      </c>
      <c r="N32" s="63" t="s">
        <v>21110</v>
      </c>
      <c r="P32" s="28" t="s">
        <v>401</v>
      </c>
      <c r="Q32" s="39" t="s">
        <v>21111</v>
      </c>
      <c r="S32" s="39" t="s">
        <v>28</v>
      </c>
    </row>
    <row r="33" spans="1:20" s="39" customFormat="1" ht="13" customHeight="1">
      <c r="A33" s="39" t="s">
        <v>21063</v>
      </c>
      <c r="B33" s="43">
        <v>30</v>
      </c>
      <c r="C33" s="39" t="s">
        <v>20</v>
      </c>
      <c r="D33" s="39" t="s">
        <v>85</v>
      </c>
      <c r="E33" s="39" t="s">
        <v>21119</v>
      </c>
      <c r="F33" s="40">
        <v>42358</v>
      </c>
      <c r="G33" s="39" t="s">
        <v>21064</v>
      </c>
      <c r="H33" s="39" t="s">
        <v>6272</v>
      </c>
      <c r="I33" s="39" t="s">
        <v>45</v>
      </c>
      <c r="L33" s="39" t="s">
        <v>414</v>
      </c>
      <c r="M33" s="39" t="s">
        <v>27</v>
      </c>
      <c r="N33" s="63" t="s">
        <v>21106</v>
      </c>
      <c r="P33" s="28" t="s">
        <v>401</v>
      </c>
      <c r="Q33" s="39" t="s">
        <v>21107</v>
      </c>
      <c r="S33" s="39" t="s">
        <v>18</v>
      </c>
    </row>
    <row r="34" spans="1:20" s="39" customFormat="1" ht="13" customHeight="1">
      <c r="A34" s="39" t="s">
        <v>21065</v>
      </c>
      <c r="B34" s="43">
        <v>31</v>
      </c>
      <c r="C34" s="39" t="s">
        <v>20</v>
      </c>
      <c r="D34" s="39" t="s">
        <v>48</v>
      </c>
      <c r="F34" s="40">
        <v>42358</v>
      </c>
      <c r="G34" s="39" t="s">
        <v>21066</v>
      </c>
      <c r="H34" s="39" t="s">
        <v>127</v>
      </c>
      <c r="I34" s="39" t="s">
        <v>73</v>
      </c>
      <c r="L34" s="39" t="s">
        <v>15658</v>
      </c>
      <c r="M34" s="39" t="s">
        <v>27</v>
      </c>
      <c r="N34" s="63" t="s">
        <v>21108</v>
      </c>
      <c r="P34" s="28" t="s">
        <v>401</v>
      </c>
      <c r="Q34" s="39" t="s">
        <v>21109</v>
      </c>
      <c r="S34" s="39" t="s">
        <v>28</v>
      </c>
    </row>
    <row r="35" spans="1:20" s="39" customFormat="1" ht="13" customHeight="1">
      <c r="A35" s="39" t="s">
        <v>21147</v>
      </c>
      <c r="B35" s="43">
        <v>35</v>
      </c>
      <c r="C35" s="39" t="s">
        <v>20</v>
      </c>
      <c r="D35" s="39" t="s">
        <v>37</v>
      </c>
      <c r="E35" s="39" t="s">
        <v>21148</v>
      </c>
      <c r="F35" s="40">
        <v>42358</v>
      </c>
      <c r="G35" s="39" t="s">
        <v>21152</v>
      </c>
      <c r="H35" s="39" t="s">
        <v>14680</v>
      </c>
      <c r="I35" s="39" t="s">
        <v>506</v>
      </c>
      <c r="L35" s="39" t="s">
        <v>21151</v>
      </c>
      <c r="M35" s="39" t="s">
        <v>379</v>
      </c>
      <c r="N35" s="63" t="s">
        <v>21150</v>
      </c>
      <c r="P35" s="28" t="s">
        <v>401</v>
      </c>
      <c r="Q35" s="39" t="s">
        <v>21149</v>
      </c>
      <c r="S35" s="39" t="s">
        <v>379</v>
      </c>
    </row>
    <row r="36" spans="1:20" s="39" customFormat="1" ht="13" customHeight="1">
      <c r="A36" s="39" t="s">
        <v>21127</v>
      </c>
      <c r="B36" s="43">
        <v>24</v>
      </c>
      <c r="C36" s="39" t="s">
        <v>20</v>
      </c>
      <c r="D36" s="39" t="s">
        <v>85</v>
      </c>
      <c r="E36" s="39" t="s">
        <v>21128</v>
      </c>
      <c r="F36" s="40">
        <v>42357</v>
      </c>
      <c r="G36" s="39" t="s">
        <v>21069</v>
      </c>
      <c r="H36" s="39" t="s">
        <v>6126</v>
      </c>
      <c r="I36" s="39" t="s">
        <v>244</v>
      </c>
      <c r="L36" s="39" t="s">
        <v>3333</v>
      </c>
      <c r="M36" s="39" t="s">
        <v>27</v>
      </c>
      <c r="N36" s="63" t="s">
        <v>21104</v>
      </c>
      <c r="P36" s="28" t="s">
        <v>401</v>
      </c>
      <c r="Q36" s="39" t="s">
        <v>21105</v>
      </c>
      <c r="S36" s="39" t="s">
        <v>28</v>
      </c>
    </row>
    <row r="37" spans="1:20" s="39" customFormat="1" ht="13" customHeight="1">
      <c r="A37" s="39" t="s">
        <v>21161</v>
      </c>
      <c r="B37" s="43">
        <v>42</v>
      </c>
      <c r="C37" s="39" t="s">
        <v>20</v>
      </c>
      <c r="D37" s="39" t="s">
        <v>85</v>
      </c>
      <c r="E37" s="39" t="s">
        <v>21165</v>
      </c>
      <c r="F37" s="40">
        <v>42357</v>
      </c>
      <c r="G37" s="39" t="s">
        <v>21162</v>
      </c>
      <c r="H37" s="39" t="s">
        <v>8765</v>
      </c>
      <c r="I37" s="39" t="s">
        <v>45</v>
      </c>
      <c r="L37" s="39" t="s">
        <v>8767</v>
      </c>
      <c r="M37" s="8" t="s">
        <v>2297</v>
      </c>
      <c r="N37" s="63" t="s">
        <v>21163</v>
      </c>
      <c r="P37" s="28" t="s">
        <v>401</v>
      </c>
      <c r="Q37" s="39" t="s">
        <v>21164</v>
      </c>
      <c r="R37" s="39" t="s">
        <v>555</v>
      </c>
      <c r="S37" s="39" t="s">
        <v>18</v>
      </c>
    </row>
    <row r="38" spans="1:20" s="39" customFormat="1" ht="13" customHeight="1">
      <c r="A38" s="39" t="s">
        <v>21067</v>
      </c>
      <c r="B38" s="43">
        <v>26</v>
      </c>
      <c r="C38" s="39" t="s">
        <v>20</v>
      </c>
      <c r="D38" s="39" t="s">
        <v>48</v>
      </c>
      <c r="E38" s="39" t="s">
        <v>21120</v>
      </c>
      <c r="F38" s="40">
        <v>42357</v>
      </c>
      <c r="G38" s="39" t="s">
        <v>21068</v>
      </c>
      <c r="H38" s="39" t="s">
        <v>12194</v>
      </c>
      <c r="I38" s="39" t="s">
        <v>45</v>
      </c>
      <c r="L38" s="39" t="s">
        <v>99</v>
      </c>
      <c r="M38" s="39" t="s">
        <v>27</v>
      </c>
      <c r="N38" s="63" t="s">
        <v>21102</v>
      </c>
      <c r="P38" s="28" t="s">
        <v>401</v>
      </c>
      <c r="Q38" s="39" t="s">
        <v>21103</v>
      </c>
      <c r="S38" s="39" t="s">
        <v>18</v>
      </c>
    </row>
    <row r="39" spans="1:20" s="39" customFormat="1" ht="13" customHeight="1">
      <c r="A39" s="39" t="s">
        <v>21125</v>
      </c>
      <c r="B39" s="43">
        <v>58</v>
      </c>
      <c r="C39" s="39" t="s">
        <v>20</v>
      </c>
      <c r="D39" s="39" t="s">
        <v>48</v>
      </c>
      <c r="F39" s="40">
        <v>42356</v>
      </c>
      <c r="G39" s="39" t="s">
        <v>21078</v>
      </c>
      <c r="H39" s="39" t="s">
        <v>21079</v>
      </c>
      <c r="I39" s="39" t="s">
        <v>195</v>
      </c>
      <c r="L39" s="39" t="s">
        <v>21080</v>
      </c>
      <c r="M39" s="39" t="s">
        <v>27</v>
      </c>
      <c r="N39" s="63" t="s">
        <v>21100</v>
      </c>
      <c r="P39" s="28" t="s">
        <v>401</v>
      </c>
      <c r="Q39" s="39" t="s">
        <v>21101</v>
      </c>
      <c r="S39" s="39" t="s">
        <v>28</v>
      </c>
    </row>
    <row r="40" spans="1:20" s="39" customFormat="1" ht="13" customHeight="1">
      <c r="A40" s="39" t="s">
        <v>21070</v>
      </c>
      <c r="B40" s="43">
        <v>22</v>
      </c>
      <c r="C40" s="39" t="s">
        <v>114</v>
      </c>
      <c r="D40" s="39" t="s">
        <v>37</v>
      </c>
      <c r="E40" s="39" t="s">
        <v>21126</v>
      </c>
      <c r="F40" s="40">
        <v>42356</v>
      </c>
      <c r="G40" s="39" t="s">
        <v>21071</v>
      </c>
      <c r="H40" s="39" t="s">
        <v>14176</v>
      </c>
      <c r="I40" s="39" t="s">
        <v>69</v>
      </c>
      <c r="L40" s="39" t="s">
        <v>21072</v>
      </c>
      <c r="M40" s="39" t="s">
        <v>27</v>
      </c>
      <c r="N40" s="63" t="s">
        <v>21098</v>
      </c>
      <c r="P40" s="28" t="s">
        <v>401</v>
      </c>
      <c r="Q40" s="39" t="s">
        <v>21099</v>
      </c>
      <c r="S40" s="39" t="s">
        <v>28</v>
      </c>
    </row>
    <row r="41" spans="1:20" s="39" customFormat="1" ht="13" customHeight="1">
      <c r="A41" s="39" t="s">
        <v>21073</v>
      </c>
      <c r="B41" s="43">
        <v>32</v>
      </c>
      <c r="C41" s="39" t="s">
        <v>20</v>
      </c>
      <c r="D41" s="39" t="s">
        <v>37</v>
      </c>
      <c r="E41" s="39" t="s">
        <v>21121</v>
      </c>
      <c r="F41" s="40">
        <v>42356</v>
      </c>
      <c r="G41" s="39" t="s">
        <v>21074</v>
      </c>
      <c r="H41" s="39" t="s">
        <v>21075</v>
      </c>
      <c r="I41" s="39" t="s">
        <v>52</v>
      </c>
      <c r="L41" s="39" t="s">
        <v>2782</v>
      </c>
      <c r="M41" s="39" t="s">
        <v>27</v>
      </c>
      <c r="N41" s="63" t="s">
        <v>21088</v>
      </c>
      <c r="P41" s="28" t="s">
        <v>401</v>
      </c>
      <c r="Q41" s="39" t="s">
        <v>21089</v>
      </c>
      <c r="S41" s="39" t="s">
        <v>18</v>
      </c>
    </row>
    <row r="42" spans="1:20" s="39" customFormat="1" ht="13" customHeight="1">
      <c r="A42" s="39" t="s">
        <v>21076</v>
      </c>
      <c r="B42" s="43">
        <v>32</v>
      </c>
      <c r="C42" s="39" t="s">
        <v>20</v>
      </c>
      <c r="D42" s="39" t="s">
        <v>37</v>
      </c>
      <c r="E42" s="39" t="s">
        <v>21122</v>
      </c>
      <c r="F42" s="40">
        <v>42356</v>
      </c>
      <c r="G42" s="39" t="s">
        <v>21077</v>
      </c>
      <c r="H42" s="39" t="s">
        <v>387</v>
      </c>
      <c r="I42" s="39" t="s">
        <v>319</v>
      </c>
      <c r="L42" s="39" t="s">
        <v>2693</v>
      </c>
      <c r="M42" s="39" t="s">
        <v>27</v>
      </c>
      <c r="N42" s="63" t="s">
        <v>21090</v>
      </c>
      <c r="P42" s="28" t="s">
        <v>401</v>
      </c>
      <c r="Q42" s="39" t="s">
        <v>21091</v>
      </c>
      <c r="S42" s="39" t="s">
        <v>379</v>
      </c>
    </row>
    <row r="43" spans="1:20" s="39" customFormat="1" ht="13" customHeight="1">
      <c r="A43" s="39" t="s">
        <v>21083</v>
      </c>
      <c r="B43" s="43">
        <v>24</v>
      </c>
      <c r="C43" s="39" t="s">
        <v>20</v>
      </c>
      <c r="D43" s="39" t="s">
        <v>37</v>
      </c>
      <c r="E43" s="39" t="s">
        <v>21186</v>
      </c>
      <c r="F43" s="40">
        <v>42355</v>
      </c>
      <c r="G43" s="39" t="s">
        <v>21084</v>
      </c>
      <c r="H43" s="39" t="s">
        <v>10298</v>
      </c>
      <c r="I43" s="39" t="s">
        <v>45</v>
      </c>
      <c r="L43" s="39" t="s">
        <v>10300</v>
      </c>
      <c r="M43" s="39" t="s">
        <v>27</v>
      </c>
      <c r="N43" s="63" t="s">
        <v>21094</v>
      </c>
      <c r="P43" s="28" t="s">
        <v>401</v>
      </c>
      <c r="Q43" s="39" t="s">
        <v>21095</v>
      </c>
      <c r="S43" s="39" t="s">
        <v>28</v>
      </c>
    </row>
    <row r="44" spans="1:20" s="39" customFormat="1" ht="13" customHeight="1">
      <c r="A44" s="39" t="s">
        <v>21081</v>
      </c>
      <c r="B44" s="43">
        <v>25</v>
      </c>
      <c r="C44" s="39" t="s">
        <v>20</v>
      </c>
      <c r="D44" s="39" t="s">
        <v>37</v>
      </c>
      <c r="E44" s="39" t="s">
        <v>21123</v>
      </c>
      <c r="F44" s="40">
        <v>42355</v>
      </c>
      <c r="G44" s="39" t="s">
        <v>21082</v>
      </c>
      <c r="H44" s="39" t="s">
        <v>2544</v>
      </c>
      <c r="I44" s="39" t="s">
        <v>69</v>
      </c>
      <c r="L44" s="39" t="s">
        <v>3486</v>
      </c>
      <c r="M44" s="39" t="s">
        <v>27</v>
      </c>
      <c r="N44" s="63" t="s">
        <v>21092</v>
      </c>
      <c r="P44" s="28" t="s">
        <v>401</v>
      </c>
      <c r="Q44" s="39" t="s">
        <v>21093</v>
      </c>
      <c r="S44" s="39" t="s">
        <v>28</v>
      </c>
    </row>
    <row r="45" spans="1:20" s="39" customFormat="1" ht="13" customHeight="1">
      <c r="A45" s="39" t="s">
        <v>21085</v>
      </c>
      <c r="B45" s="43">
        <v>23</v>
      </c>
      <c r="C45" s="39" t="s">
        <v>20</v>
      </c>
      <c r="D45" s="39" t="s">
        <v>37</v>
      </c>
      <c r="E45" s="39" t="s">
        <v>21124</v>
      </c>
      <c r="F45" s="40">
        <v>42354</v>
      </c>
      <c r="G45" s="39" t="s">
        <v>21086</v>
      </c>
      <c r="H45" s="39" t="s">
        <v>21087</v>
      </c>
      <c r="I45" s="39" t="s">
        <v>45</v>
      </c>
      <c r="L45" s="39" t="s">
        <v>14385</v>
      </c>
      <c r="M45" s="39" t="s">
        <v>27</v>
      </c>
      <c r="N45" s="63" t="s">
        <v>21096</v>
      </c>
      <c r="P45" s="28" t="s">
        <v>401</v>
      </c>
      <c r="Q45" s="39" t="s">
        <v>21097</v>
      </c>
      <c r="S45" s="39" t="s">
        <v>28</v>
      </c>
    </row>
    <row r="46" spans="1:20" s="39" customFormat="1" ht="13" customHeight="1">
      <c r="A46" s="39" t="s">
        <v>20949</v>
      </c>
      <c r="B46" s="43">
        <v>64</v>
      </c>
      <c r="C46" s="39" t="s">
        <v>20</v>
      </c>
      <c r="D46" s="39" t="s">
        <v>21</v>
      </c>
      <c r="E46" s="39" t="s">
        <v>20950</v>
      </c>
      <c r="F46" s="40">
        <v>42353</v>
      </c>
      <c r="G46" s="39" t="s">
        <v>20951</v>
      </c>
      <c r="H46" s="39" t="s">
        <v>1211</v>
      </c>
      <c r="I46" s="39" t="s">
        <v>303</v>
      </c>
      <c r="K46" s="39" t="s">
        <v>1212</v>
      </c>
      <c r="L46" s="39" t="s">
        <v>1213</v>
      </c>
      <c r="M46" s="39" t="s">
        <v>2297</v>
      </c>
      <c r="N46" s="63" t="s">
        <v>20947</v>
      </c>
      <c r="P46" s="28" t="s">
        <v>401</v>
      </c>
      <c r="Q46" s="39" t="s">
        <v>20948</v>
      </c>
      <c r="S46" s="8" t="s">
        <v>18</v>
      </c>
      <c r="T46" s="8"/>
    </row>
    <row r="47" spans="1:20" s="39" customFormat="1" ht="13" customHeight="1">
      <c r="A47" s="39" t="s">
        <v>20943</v>
      </c>
      <c r="B47" s="43">
        <v>51</v>
      </c>
      <c r="C47" s="39" t="s">
        <v>20</v>
      </c>
      <c r="D47" s="39" t="s">
        <v>85</v>
      </c>
      <c r="E47" s="39" t="s">
        <v>20942</v>
      </c>
      <c r="F47" s="40">
        <v>42353</v>
      </c>
      <c r="G47" s="39" t="s">
        <v>20946</v>
      </c>
      <c r="H47" s="39" t="s">
        <v>285</v>
      </c>
      <c r="I47" s="39" t="s">
        <v>73</v>
      </c>
      <c r="L47" s="39" t="s">
        <v>286</v>
      </c>
      <c r="M47" s="39" t="s">
        <v>27</v>
      </c>
      <c r="N47" s="63" t="s">
        <v>20945</v>
      </c>
      <c r="P47" s="28" t="s">
        <v>401</v>
      </c>
      <c r="Q47" s="39" t="s">
        <v>20944</v>
      </c>
      <c r="S47" s="8" t="s">
        <v>379</v>
      </c>
      <c r="T47" s="8"/>
    </row>
    <row r="48" spans="1:20" s="39" customFormat="1" ht="13" customHeight="1">
      <c r="A48" s="39" t="s">
        <v>21190</v>
      </c>
      <c r="B48" s="43">
        <v>39</v>
      </c>
      <c r="C48" s="39" t="s">
        <v>20</v>
      </c>
      <c r="D48" s="39" t="s">
        <v>21</v>
      </c>
      <c r="E48" s="39" t="s">
        <v>21189</v>
      </c>
      <c r="F48" s="40">
        <v>42352</v>
      </c>
      <c r="G48" s="39" t="s">
        <v>20869</v>
      </c>
      <c r="H48" s="39" t="s">
        <v>489</v>
      </c>
      <c r="I48" s="39" t="s">
        <v>45</v>
      </c>
      <c r="L48" s="39" t="s">
        <v>490</v>
      </c>
      <c r="M48" s="39" t="s">
        <v>27</v>
      </c>
      <c r="N48" s="63" t="s">
        <v>20870</v>
      </c>
      <c r="P48" s="28" t="s">
        <v>401</v>
      </c>
      <c r="Q48" s="39" t="s">
        <v>20871</v>
      </c>
      <c r="S48" s="8" t="s">
        <v>28</v>
      </c>
      <c r="T48" s="8"/>
    </row>
    <row r="49" spans="1:20" s="39" customFormat="1" ht="13" customHeight="1">
      <c r="A49" s="39" t="s">
        <v>20910</v>
      </c>
      <c r="B49" s="43">
        <v>32</v>
      </c>
      <c r="C49" s="39" t="s">
        <v>20</v>
      </c>
      <c r="D49" s="39" t="s">
        <v>48</v>
      </c>
      <c r="F49" s="40">
        <v>42352</v>
      </c>
      <c r="G49" s="39" t="s">
        <v>20911</v>
      </c>
      <c r="H49" s="39" t="s">
        <v>1301</v>
      </c>
      <c r="I49" s="39" t="s">
        <v>209</v>
      </c>
      <c r="L49" s="39" t="s">
        <v>20912</v>
      </c>
      <c r="M49" s="39" t="s">
        <v>27</v>
      </c>
      <c r="N49" s="63" t="s">
        <v>21536</v>
      </c>
      <c r="P49" s="28" t="s">
        <v>401</v>
      </c>
      <c r="Q49" s="39" t="s">
        <v>20913</v>
      </c>
      <c r="S49" s="8" t="s">
        <v>28</v>
      </c>
      <c r="T49" s="8"/>
    </row>
    <row r="50" spans="1:20" s="39" customFormat="1" ht="13" customHeight="1">
      <c r="A50" s="39" t="s">
        <v>20881</v>
      </c>
      <c r="B50" s="43">
        <v>45</v>
      </c>
      <c r="C50" s="39" t="s">
        <v>20</v>
      </c>
      <c r="D50" s="39" t="s">
        <v>48</v>
      </c>
      <c r="E50" s="39" t="s">
        <v>20880</v>
      </c>
      <c r="F50" s="40">
        <v>42352</v>
      </c>
      <c r="G50" s="39" t="s">
        <v>20872</v>
      </c>
      <c r="H50" s="39" t="s">
        <v>657</v>
      </c>
      <c r="I50" s="39" t="s">
        <v>269</v>
      </c>
      <c r="K50" s="39" t="s">
        <v>570</v>
      </c>
      <c r="L50" s="39" t="s">
        <v>571</v>
      </c>
      <c r="M50" s="39" t="s">
        <v>27</v>
      </c>
      <c r="N50" s="63" t="s">
        <v>20873</v>
      </c>
      <c r="P50" s="28" t="s">
        <v>401</v>
      </c>
      <c r="Q50" s="39" t="s">
        <v>20874</v>
      </c>
      <c r="S50" s="8" t="s">
        <v>28</v>
      </c>
      <c r="T50" s="8"/>
    </row>
    <row r="51" spans="1:20" s="39" customFormat="1" ht="13" customHeight="1">
      <c r="A51" s="39" t="s">
        <v>20924</v>
      </c>
      <c r="B51" s="43">
        <v>19</v>
      </c>
      <c r="C51" s="39" t="s">
        <v>20</v>
      </c>
      <c r="D51" s="39" t="s">
        <v>48</v>
      </c>
      <c r="E51" s="39" t="s">
        <v>20925</v>
      </c>
      <c r="F51" s="40">
        <v>42352</v>
      </c>
      <c r="G51" s="39" t="s">
        <v>20920</v>
      </c>
      <c r="H51" s="39" t="s">
        <v>20921</v>
      </c>
      <c r="I51" s="39" t="s">
        <v>45</v>
      </c>
      <c r="L51" s="39" t="s">
        <v>20922</v>
      </c>
      <c r="M51" s="39" t="s">
        <v>27</v>
      </c>
      <c r="N51" s="63" t="s">
        <v>21507</v>
      </c>
      <c r="P51" s="28" t="s">
        <v>401</v>
      </c>
      <c r="Q51" s="39" t="s">
        <v>20923</v>
      </c>
      <c r="S51" s="8" t="s">
        <v>18</v>
      </c>
      <c r="T51" s="8"/>
    </row>
    <row r="52" spans="1:20" s="39" customFormat="1" ht="13" customHeight="1">
      <c r="A52" s="39" t="s">
        <v>20914</v>
      </c>
      <c r="B52" s="43">
        <v>33</v>
      </c>
      <c r="C52" s="39" t="s">
        <v>20</v>
      </c>
      <c r="D52" s="39" t="s">
        <v>37</v>
      </c>
      <c r="E52" s="39" t="s">
        <v>20919</v>
      </c>
      <c r="F52" s="40">
        <v>42352</v>
      </c>
      <c r="G52" s="39" t="s">
        <v>20915</v>
      </c>
      <c r="H52" s="39" t="s">
        <v>20916</v>
      </c>
      <c r="I52" s="39" t="s">
        <v>150</v>
      </c>
      <c r="L52" s="39" t="s">
        <v>20917</v>
      </c>
      <c r="M52" s="39" t="s">
        <v>27</v>
      </c>
      <c r="N52" s="63" t="s">
        <v>21537</v>
      </c>
      <c r="P52" s="28" t="s">
        <v>401</v>
      </c>
      <c r="Q52" s="39" t="s">
        <v>20918</v>
      </c>
      <c r="S52" s="8" t="s">
        <v>28</v>
      </c>
      <c r="T52" s="8"/>
    </row>
    <row r="53" spans="1:20" s="39" customFormat="1" ht="13" customHeight="1">
      <c r="A53" s="39" t="s">
        <v>20882</v>
      </c>
      <c r="B53" s="43">
        <v>48</v>
      </c>
      <c r="C53" s="39" t="s">
        <v>114</v>
      </c>
      <c r="D53" s="39" t="s">
        <v>37</v>
      </c>
      <c r="E53" s="39" t="s">
        <v>21187</v>
      </c>
      <c r="F53" s="40">
        <v>42352</v>
      </c>
      <c r="G53" s="39" t="s">
        <v>20875</v>
      </c>
      <c r="H53" s="39" t="s">
        <v>657</v>
      </c>
      <c r="I53" s="39" t="s">
        <v>269</v>
      </c>
      <c r="K53" s="39" t="s">
        <v>570</v>
      </c>
      <c r="L53" s="39" t="s">
        <v>571</v>
      </c>
      <c r="M53" s="39" t="s">
        <v>27</v>
      </c>
      <c r="N53" s="63" t="s">
        <v>20876</v>
      </c>
      <c r="P53" s="28" t="s">
        <v>401</v>
      </c>
      <c r="Q53" s="39" t="s">
        <v>20877</v>
      </c>
      <c r="R53" s="39" t="s">
        <v>555</v>
      </c>
      <c r="S53" s="8" t="s">
        <v>28</v>
      </c>
      <c r="T53" s="8"/>
    </row>
    <row r="54" spans="1:20" s="39" customFormat="1" ht="13" customHeight="1">
      <c r="A54" s="39" t="s">
        <v>20927</v>
      </c>
      <c r="B54" s="43">
        <v>52</v>
      </c>
      <c r="C54" s="39" t="s">
        <v>20</v>
      </c>
      <c r="D54" s="39" t="s">
        <v>37</v>
      </c>
      <c r="E54" s="39" t="s">
        <v>21188</v>
      </c>
      <c r="F54" s="40">
        <v>42352</v>
      </c>
      <c r="G54" s="39" t="s">
        <v>20930</v>
      </c>
      <c r="H54" s="39" t="s">
        <v>20931</v>
      </c>
      <c r="I54" s="39" t="s">
        <v>52</v>
      </c>
      <c r="L54" s="39" t="s">
        <v>231</v>
      </c>
      <c r="M54" s="39" t="s">
        <v>27</v>
      </c>
      <c r="N54" s="65" t="s">
        <v>21538</v>
      </c>
      <c r="P54" s="28" t="s">
        <v>401</v>
      </c>
      <c r="Q54" s="39" t="s">
        <v>20933</v>
      </c>
      <c r="S54" s="8" t="s">
        <v>28</v>
      </c>
      <c r="T54" s="8"/>
    </row>
    <row r="55" spans="1:20" s="39" customFormat="1" ht="13" customHeight="1">
      <c r="A55" s="39" t="s">
        <v>20926</v>
      </c>
      <c r="B55" s="43">
        <v>56</v>
      </c>
      <c r="C55" s="39" t="s">
        <v>20</v>
      </c>
      <c r="D55" s="39" t="s">
        <v>37</v>
      </c>
      <c r="E55" s="39" t="s">
        <v>20935</v>
      </c>
      <c r="F55" s="40">
        <v>42352</v>
      </c>
      <c r="G55" s="39" t="s">
        <v>20928</v>
      </c>
      <c r="H55" s="39" t="s">
        <v>20929</v>
      </c>
      <c r="I55" s="39" t="s">
        <v>319</v>
      </c>
      <c r="L55" s="39" t="s">
        <v>20932</v>
      </c>
      <c r="M55" s="39" t="s">
        <v>27</v>
      </c>
      <c r="N55" s="63" t="s">
        <v>21506</v>
      </c>
      <c r="P55" s="28" t="s">
        <v>401</v>
      </c>
      <c r="Q55" s="39" t="s">
        <v>20934</v>
      </c>
      <c r="S55" s="8" t="s">
        <v>35</v>
      </c>
      <c r="T55" s="8"/>
    </row>
    <row r="56" spans="1:20" s="39" customFormat="1" ht="13" customHeight="1">
      <c r="A56" s="39" t="s">
        <v>20903</v>
      </c>
      <c r="B56" s="43">
        <v>30</v>
      </c>
      <c r="C56" s="39" t="s">
        <v>20</v>
      </c>
      <c r="D56" s="39" t="s">
        <v>945</v>
      </c>
      <c r="E56" s="39" t="s">
        <v>20902</v>
      </c>
      <c r="F56" s="40">
        <v>42351</v>
      </c>
      <c r="G56" s="39" t="s">
        <v>20899</v>
      </c>
      <c r="H56" s="39" t="s">
        <v>20900</v>
      </c>
      <c r="I56" s="39" t="s">
        <v>303</v>
      </c>
      <c r="L56" s="39" t="s">
        <v>20901</v>
      </c>
      <c r="M56" s="39" t="s">
        <v>27</v>
      </c>
      <c r="N56" s="63"/>
      <c r="P56" s="28" t="s">
        <v>401</v>
      </c>
      <c r="Q56" s="39" t="s">
        <v>20904</v>
      </c>
      <c r="S56" s="8" t="s">
        <v>28</v>
      </c>
      <c r="T56" s="8"/>
    </row>
    <row r="57" spans="1:20" s="39" customFormat="1" ht="13" customHeight="1">
      <c r="A57" s="39" t="s">
        <v>20905</v>
      </c>
      <c r="B57" s="43">
        <v>21</v>
      </c>
      <c r="C57" s="39" t="s">
        <v>20</v>
      </c>
      <c r="D57" s="39" t="s">
        <v>37</v>
      </c>
      <c r="E57" s="39" t="s">
        <v>20909</v>
      </c>
      <c r="F57" s="40">
        <v>42351</v>
      </c>
      <c r="G57" s="39" t="s">
        <v>20906</v>
      </c>
      <c r="H57" s="39" t="s">
        <v>166</v>
      </c>
      <c r="I57" s="39" t="s">
        <v>73</v>
      </c>
      <c r="L57" s="39" t="s">
        <v>20907</v>
      </c>
      <c r="M57" s="39" t="s">
        <v>27</v>
      </c>
      <c r="N57" s="65" t="s">
        <v>21624</v>
      </c>
      <c r="P57" s="28" t="s">
        <v>401</v>
      </c>
      <c r="Q57" s="39" t="s">
        <v>20908</v>
      </c>
      <c r="S57" s="8" t="s">
        <v>28</v>
      </c>
      <c r="T57" s="8"/>
    </row>
    <row r="58" spans="1:20" s="39" customFormat="1" ht="13" customHeight="1">
      <c r="A58" s="39" t="s">
        <v>20848</v>
      </c>
      <c r="B58" s="43">
        <v>24</v>
      </c>
      <c r="C58" s="39" t="s">
        <v>20</v>
      </c>
      <c r="D58" s="39" t="s">
        <v>85</v>
      </c>
      <c r="E58" s="39" t="s">
        <v>20849</v>
      </c>
      <c r="F58" s="40">
        <v>42350</v>
      </c>
      <c r="G58" s="39" t="s">
        <v>20850</v>
      </c>
      <c r="H58" s="39" t="s">
        <v>1217</v>
      </c>
      <c r="I58" s="39" t="s">
        <v>319</v>
      </c>
      <c r="L58" s="39" t="s">
        <v>1218</v>
      </c>
      <c r="M58" s="39" t="s">
        <v>27</v>
      </c>
      <c r="N58" s="63" t="s">
        <v>20851</v>
      </c>
      <c r="P58" s="28" t="s">
        <v>401</v>
      </c>
      <c r="Q58" s="39" t="s">
        <v>20852</v>
      </c>
      <c r="R58" s="39" t="s">
        <v>555</v>
      </c>
      <c r="S58" s="8" t="s">
        <v>28</v>
      </c>
      <c r="T58" s="8"/>
    </row>
    <row r="59" spans="1:20" s="39" customFormat="1" ht="13" customHeight="1">
      <c r="A59" s="39" t="s">
        <v>20858</v>
      </c>
      <c r="B59" s="43">
        <v>25</v>
      </c>
      <c r="C59" s="39" t="s">
        <v>20</v>
      </c>
      <c r="D59" s="39" t="s">
        <v>85</v>
      </c>
      <c r="E59" s="39" t="s">
        <v>20859</v>
      </c>
      <c r="F59" s="40">
        <v>42350</v>
      </c>
      <c r="G59" s="39" t="s">
        <v>20860</v>
      </c>
      <c r="H59" s="39" t="s">
        <v>216</v>
      </c>
      <c r="I59" s="39" t="s">
        <v>217</v>
      </c>
      <c r="L59" s="39" t="s">
        <v>218</v>
      </c>
      <c r="M59" s="39" t="s">
        <v>27</v>
      </c>
      <c r="N59" s="63" t="s">
        <v>20861</v>
      </c>
      <c r="P59" s="28" t="s">
        <v>401</v>
      </c>
      <c r="Q59" s="39" t="s">
        <v>20862</v>
      </c>
      <c r="S59" s="8" t="s">
        <v>28</v>
      </c>
      <c r="T59" s="8"/>
    </row>
    <row r="60" spans="1:20" s="39" customFormat="1" ht="13" customHeight="1">
      <c r="A60" s="39" t="s">
        <v>20853</v>
      </c>
      <c r="B60" s="43">
        <v>28</v>
      </c>
      <c r="C60" s="39" t="s">
        <v>20</v>
      </c>
      <c r="D60" s="39" t="s">
        <v>85</v>
      </c>
      <c r="E60" s="39" t="s">
        <v>20854</v>
      </c>
      <c r="F60" s="40">
        <v>42350</v>
      </c>
      <c r="G60" s="39" t="s">
        <v>20855</v>
      </c>
      <c r="H60" s="39" t="s">
        <v>7599</v>
      </c>
      <c r="I60" s="39" t="s">
        <v>45</v>
      </c>
      <c r="K60" s="39" t="s">
        <v>98</v>
      </c>
      <c r="L60" s="39" t="s">
        <v>414</v>
      </c>
      <c r="M60" s="39" t="s">
        <v>27</v>
      </c>
      <c r="N60" s="63" t="s">
        <v>20856</v>
      </c>
      <c r="P60" s="28" t="s">
        <v>401</v>
      </c>
      <c r="Q60" s="39" t="s">
        <v>20857</v>
      </c>
      <c r="S60" s="8" t="s">
        <v>28</v>
      </c>
      <c r="T60" s="8"/>
    </row>
    <row r="61" spans="1:20" s="39" customFormat="1" ht="13" customHeight="1">
      <c r="A61" s="39" t="s">
        <v>20879</v>
      </c>
      <c r="B61" s="43">
        <v>33</v>
      </c>
      <c r="C61" s="39" t="s">
        <v>20</v>
      </c>
      <c r="D61" s="39" t="s">
        <v>85</v>
      </c>
      <c r="F61" s="40">
        <v>42350</v>
      </c>
      <c r="G61" s="39" t="s">
        <v>20842</v>
      </c>
      <c r="H61" s="39" t="s">
        <v>1042</v>
      </c>
      <c r="I61" s="39" t="s">
        <v>25</v>
      </c>
      <c r="L61" s="39" t="s">
        <v>1044</v>
      </c>
      <c r="M61" s="39" t="s">
        <v>27</v>
      </c>
      <c r="N61" s="63" t="s">
        <v>21539</v>
      </c>
      <c r="P61" s="28" t="s">
        <v>401</v>
      </c>
      <c r="Q61" s="39" t="s">
        <v>20843</v>
      </c>
      <c r="S61" s="8" t="s">
        <v>28</v>
      </c>
      <c r="T61" s="8"/>
    </row>
    <row r="62" spans="1:20" s="39" customFormat="1" ht="13" customHeight="1">
      <c r="A62" s="39" t="s">
        <v>21570</v>
      </c>
      <c r="B62" s="43">
        <v>49</v>
      </c>
      <c r="C62" s="39" t="s">
        <v>20</v>
      </c>
      <c r="D62" s="39" t="s">
        <v>48</v>
      </c>
      <c r="F62" s="40">
        <v>42350</v>
      </c>
      <c r="G62" s="39" t="s">
        <v>20892</v>
      </c>
      <c r="H62" s="39" t="s">
        <v>309</v>
      </c>
      <c r="I62" s="39" t="s">
        <v>45</v>
      </c>
      <c r="L62" s="39" t="s">
        <v>4348</v>
      </c>
      <c r="M62" s="39" t="s">
        <v>27</v>
      </c>
      <c r="N62" s="63" t="s">
        <v>21572</v>
      </c>
      <c r="P62" s="28" t="s">
        <v>401</v>
      </c>
      <c r="Q62" s="39" t="s">
        <v>20894</v>
      </c>
      <c r="S62" s="8" t="s">
        <v>28</v>
      </c>
      <c r="T62" s="8"/>
    </row>
    <row r="63" spans="1:20" s="39" customFormat="1" ht="13" customHeight="1">
      <c r="A63" s="39" t="s">
        <v>19129</v>
      </c>
      <c r="B63" s="43" t="s">
        <v>29</v>
      </c>
      <c r="C63" s="39" t="s">
        <v>20</v>
      </c>
      <c r="D63" s="39" t="s">
        <v>30</v>
      </c>
      <c r="F63" s="40">
        <v>42350</v>
      </c>
      <c r="G63" s="39" t="s">
        <v>20891</v>
      </c>
      <c r="H63" s="39" t="s">
        <v>3847</v>
      </c>
      <c r="I63" s="39" t="s">
        <v>209</v>
      </c>
      <c r="L63" s="39" t="s">
        <v>3850</v>
      </c>
      <c r="M63" s="39" t="s">
        <v>27</v>
      </c>
      <c r="N63" s="63" t="s">
        <v>21573</v>
      </c>
      <c r="P63" s="28" t="s">
        <v>401</v>
      </c>
      <c r="Q63" s="39" t="s">
        <v>20893</v>
      </c>
      <c r="S63" s="8" t="s">
        <v>28</v>
      </c>
      <c r="T63" s="8"/>
    </row>
    <row r="64" spans="1:20" s="39" customFormat="1" ht="13" customHeight="1">
      <c r="A64" s="39" t="s">
        <v>20936</v>
      </c>
      <c r="B64" s="43">
        <v>20</v>
      </c>
      <c r="C64" s="39" t="s">
        <v>20</v>
      </c>
      <c r="D64" s="39" t="s">
        <v>37</v>
      </c>
      <c r="F64" s="40">
        <v>42350</v>
      </c>
      <c r="G64" s="39" t="s">
        <v>20941</v>
      </c>
      <c r="H64" s="39" t="s">
        <v>20940</v>
      </c>
      <c r="I64" s="39" t="s">
        <v>404</v>
      </c>
      <c r="L64" s="39" t="s">
        <v>20938</v>
      </c>
      <c r="M64" s="39" t="s">
        <v>27</v>
      </c>
      <c r="N64" s="63" t="s">
        <v>20939</v>
      </c>
      <c r="P64" s="28" t="s">
        <v>401</v>
      </c>
      <c r="Q64" s="39" t="s">
        <v>20937</v>
      </c>
      <c r="S64" s="8" t="s">
        <v>28</v>
      </c>
      <c r="T64" s="8"/>
    </row>
    <row r="65" spans="1:20" s="39" customFormat="1" ht="13" customHeight="1">
      <c r="A65" s="39" t="s">
        <v>20844</v>
      </c>
      <c r="B65" s="43">
        <v>51</v>
      </c>
      <c r="C65" s="39" t="s">
        <v>114</v>
      </c>
      <c r="D65" s="39" t="s">
        <v>37</v>
      </c>
      <c r="E65" s="39" t="s">
        <v>20878</v>
      </c>
      <c r="F65" s="40">
        <v>42350</v>
      </c>
      <c r="G65" s="39" t="s">
        <v>20845</v>
      </c>
      <c r="H65" s="39" t="s">
        <v>846</v>
      </c>
      <c r="I65" s="39" t="s">
        <v>73</v>
      </c>
      <c r="L65" s="39" t="s">
        <v>847</v>
      </c>
      <c r="M65" s="39" t="s">
        <v>27</v>
      </c>
      <c r="N65" s="63" t="s">
        <v>20846</v>
      </c>
      <c r="P65" s="28" t="s">
        <v>401</v>
      </c>
      <c r="Q65" s="39" t="s">
        <v>20847</v>
      </c>
      <c r="R65" s="39" t="s">
        <v>555</v>
      </c>
      <c r="S65" s="8" t="s">
        <v>28</v>
      </c>
      <c r="T65" s="8"/>
    </row>
    <row r="66" spans="1:20" s="39" customFormat="1" ht="13" customHeight="1">
      <c r="A66" s="39" t="s">
        <v>20897</v>
      </c>
      <c r="B66" s="43">
        <v>36</v>
      </c>
      <c r="C66" s="39" t="s">
        <v>20</v>
      </c>
      <c r="D66" s="39" t="s">
        <v>37</v>
      </c>
      <c r="E66" s="39" t="s">
        <v>20898</v>
      </c>
      <c r="F66" s="40">
        <v>42349</v>
      </c>
      <c r="G66" s="39" t="s">
        <v>20895</v>
      </c>
      <c r="H66" s="39" t="s">
        <v>561</v>
      </c>
      <c r="I66" s="39" t="s">
        <v>123</v>
      </c>
      <c r="L66" s="39" t="s">
        <v>12807</v>
      </c>
      <c r="M66" s="39" t="s">
        <v>27</v>
      </c>
      <c r="N66" s="63" t="s">
        <v>21540</v>
      </c>
      <c r="P66" s="28" t="s">
        <v>401</v>
      </c>
      <c r="Q66" s="39" t="s">
        <v>20896</v>
      </c>
      <c r="S66" s="8" t="s">
        <v>28</v>
      </c>
      <c r="T66" s="8"/>
    </row>
    <row r="67" spans="1:20" s="39" customFormat="1" ht="13" customHeight="1">
      <c r="A67" s="39" t="s">
        <v>20765</v>
      </c>
      <c r="B67" s="43">
        <v>55</v>
      </c>
      <c r="C67" s="39" t="s">
        <v>20</v>
      </c>
      <c r="D67" s="39" t="s">
        <v>85</v>
      </c>
      <c r="E67" s="39" t="s">
        <v>20766</v>
      </c>
      <c r="F67" s="40">
        <v>42348</v>
      </c>
      <c r="G67" s="39" t="s">
        <v>20767</v>
      </c>
      <c r="H67" s="39" t="s">
        <v>20768</v>
      </c>
      <c r="I67" s="39" t="s">
        <v>32</v>
      </c>
      <c r="L67" s="39" t="s">
        <v>34</v>
      </c>
      <c r="M67" s="39" t="s">
        <v>27</v>
      </c>
      <c r="N67" s="63" t="s">
        <v>21541</v>
      </c>
      <c r="P67" s="28" t="s">
        <v>401</v>
      </c>
      <c r="Q67" s="39" t="s">
        <v>20769</v>
      </c>
      <c r="S67" s="8" t="s">
        <v>28</v>
      </c>
      <c r="T67" s="8"/>
    </row>
    <row r="68" spans="1:20" s="39" customFormat="1" ht="13" customHeight="1">
      <c r="A68" s="39" t="s">
        <v>19129</v>
      </c>
      <c r="B68" s="43" t="s">
        <v>29</v>
      </c>
      <c r="C68" s="39" t="s">
        <v>20</v>
      </c>
      <c r="D68" s="39" t="s">
        <v>30</v>
      </c>
      <c r="F68" s="40">
        <v>42348</v>
      </c>
      <c r="G68" s="39" t="s">
        <v>20886</v>
      </c>
      <c r="H68" s="39" t="s">
        <v>785</v>
      </c>
      <c r="I68" s="39" t="s">
        <v>45</v>
      </c>
      <c r="L68" s="39" t="s">
        <v>20888</v>
      </c>
      <c r="M68" s="39" t="s">
        <v>27</v>
      </c>
      <c r="N68" s="63" t="s">
        <v>21574</v>
      </c>
      <c r="P68" s="28" t="s">
        <v>401</v>
      </c>
      <c r="Q68" s="39" t="s">
        <v>20890</v>
      </c>
      <c r="S68" s="8" t="s">
        <v>28</v>
      </c>
      <c r="T68" s="8"/>
    </row>
    <row r="69" spans="1:20" s="39" customFormat="1" ht="13" customHeight="1">
      <c r="A69" s="39" t="s">
        <v>20863</v>
      </c>
      <c r="B69" s="43">
        <v>30</v>
      </c>
      <c r="C69" s="39" t="s">
        <v>20</v>
      </c>
      <c r="D69" s="39" t="s">
        <v>37</v>
      </c>
      <c r="E69" s="39" t="s">
        <v>20864</v>
      </c>
      <c r="F69" s="40">
        <v>42348</v>
      </c>
      <c r="G69" s="39" t="s">
        <v>20865</v>
      </c>
      <c r="H69" s="39" t="s">
        <v>216</v>
      </c>
      <c r="I69" s="39" t="s">
        <v>217</v>
      </c>
      <c r="L69" s="39" t="s">
        <v>218</v>
      </c>
      <c r="M69" s="39" t="s">
        <v>27</v>
      </c>
      <c r="N69" s="63" t="s">
        <v>20866</v>
      </c>
      <c r="P69" s="28" t="s">
        <v>401</v>
      </c>
      <c r="Q69" s="39" t="s">
        <v>20867</v>
      </c>
      <c r="S69" s="8" t="s">
        <v>28</v>
      </c>
      <c r="T69" s="8"/>
    </row>
    <row r="70" spans="1:20" s="39" customFormat="1" ht="13" customHeight="1">
      <c r="A70" s="39" t="s">
        <v>20883</v>
      </c>
      <c r="B70" s="43">
        <v>54</v>
      </c>
      <c r="C70" s="39" t="s">
        <v>20</v>
      </c>
      <c r="D70" s="39" t="s">
        <v>37</v>
      </c>
      <c r="E70" s="39" t="s">
        <v>21191</v>
      </c>
      <c r="F70" s="40">
        <v>42348</v>
      </c>
      <c r="G70" s="39" t="s">
        <v>20884</v>
      </c>
      <c r="H70" s="39" t="s">
        <v>20885</v>
      </c>
      <c r="I70" s="39" t="s">
        <v>45</v>
      </c>
      <c r="L70" s="39" t="s">
        <v>20887</v>
      </c>
      <c r="M70" s="39" t="s">
        <v>27</v>
      </c>
      <c r="N70" s="63" t="s">
        <v>21542</v>
      </c>
      <c r="P70" s="28" t="s">
        <v>401</v>
      </c>
      <c r="Q70" s="39" t="s">
        <v>20889</v>
      </c>
      <c r="S70" s="8" t="s">
        <v>28</v>
      </c>
      <c r="T70" s="8"/>
    </row>
    <row r="71" spans="1:20" s="39" customFormat="1" ht="13" customHeight="1">
      <c r="A71" s="39" t="s">
        <v>20757</v>
      </c>
      <c r="B71" s="43">
        <v>32</v>
      </c>
      <c r="C71" s="39" t="s">
        <v>20</v>
      </c>
      <c r="D71" s="39" t="s">
        <v>85</v>
      </c>
      <c r="E71" s="39" t="s">
        <v>20754</v>
      </c>
      <c r="F71" s="40">
        <v>42347</v>
      </c>
      <c r="G71" s="39" t="s">
        <v>20758</v>
      </c>
      <c r="H71" s="39" t="s">
        <v>3518</v>
      </c>
      <c r="I71" s="39" t="s">
        <v>62</v>
      </c>
      <c r="L71" s="39" t="s">
        <v>3521</v>
      </c>
      <c r="M71" s="39" t="s">
        <v>27</v>
      </c>
      <c r="N71" s="63" t="s">
        <v>21543</v>
      </c>
      <c r="P71" s="28" t="s">
        <v>401</v>
      </c>
      <c r="Q71" s="39" t="s">
        <v>20759</v>
      </c>
      <c r="S71" s="8" t="s">
        <v>28</v>
      </c>
    </row>
    <row r="72" spans="1:20" s="39" customFormat="1" ht="13" customHeight="1">
      <c r="A72" s="39" t="s">
        <v>20776</v>
      </c>
      <c r="B72" s="43">
        <v>33</v>
      </c>
      <c r="C72" s="39" t="s">
        <v>20</v>
      </c>
      <c r="D72" s="39" t="s">
        <v>85</v>
      </c>
      <c r="E72" s="39" t="s">
        <v>20774</v>
      </c>
      <c r="F72" s="40">
        <v>42347</v>
      </c>
      <c r="G72" s="39" t="s">
        <v>20809</v>
      </c>
      <c r="H72" s="39" t="s">
        <v>987</v>
      </c>
      <c r="I72" s="39" t="s">
        <v>69</v>
      </c>
      <c r="L72" s="39" t="s">
        <v>20810</v>
      </c>
      <c r="M72" s="39" t="s">
        <v>27</v>
      </c>
      <c r="N72" s="63" t="s">
        <v>20798</v>
      </c>
      <c r="P72" s="28" t="s">
        <v>401</v>
      </c>
      <c r="Q72" s="39" t="s">
        <v>20778</v>
      </c>
      <c r="S72" s="8" t="s">
        <v>28</v>
      </c>
    </row>
    <row r="73" spans="1:20" s="39" customFormat="1" ht="13" customHeight="1">
      <c r="A73" s="39" t="s">
        <v>20770</v>
      </c>
      <c r="B73" s="43">
        <v>31</v>
      </c>
      <c r="C73" s="39" t="s">
        <v>20</v>
      </c>
      <c r="D73" s="39" t="s">
        <v>85</v>
      </c>
      <c r="E73" s="39" t="s">
        <v>20766</v>
      </c>
      <c r="F73" s="40">
        <v>42347</v>
      </c>
      <c r="G73" s="39" t="s">
        <v>20793</v>
      </c>
      <c r="H73" s="39" t="s">
        <v>20794</v>
      </c>
      <c r="I73" s="39" t="s">
        <v>366</v>
      </c>
      <c r="L73" s="39" t="s">
        <v>20791</v>
      </c>
      <c r="M73" s="39" t="s">
        <v>5665</v>
      </c>
      <c r="N73" s="37" t="s">
        <v>20792</v>
      </c>
      <c r="P73" s="28" t="s">
        <v>401</v>
      </c>
      <c r="Q73" s="39" t="s">
        <v>20772</v>
      </c>
      <c r="S73" s="8" t="s">
        <v>28</v>
      </c>
    </row>
    <row r="74" spans="1:20" s="39" customFormat="1" ht="13" customHeight="1">
      <c r="A74" s="39" t="s">
        <v>20760</v>
      </c>
      <c r="B74" s="43">
        <v>51</v>
      </c>
      <c r="C74" s="39" t="s">
        <v>20</v>
      </c>
      <c r="D74" s="39" t="s">
        <v>37</v>
      </c>
      <c r="E74" s="39" t="s">
        <v>21401</v>
      </c>
      <c r="F74" s="40">
        <v>42347</v>
      </c>
      <c r="G74" s="39" t="s">
        <v>20761</v>
      </c>
      <c r="H74" s="39" t="s">
        <v>20762</v>
      </c>
      <c r="I74" s="39" t="s">
        <v>395</v>
      </c>
      <c r="L74" s="39" t="s">
        <v>20763</v>
      </c>
      <c r="M74" s="39" t="s">
        <v>27</v>
      </c>
      <c r="N74" s="63" t="s">
        <v>21544</v>
      </c>
      <c r="P74" s="28" t="s">
        <v>401</v>
      </c>
      <c r="Q74" s="39" t="s">
        <v>20764</v>
      </c>
      <c r="S74" s="8" t="s">
        <v>28</v>
      </c>
    </row>
    <row r="75" spans="1:20" s="39" customFormat="1" ht="13" customHeight="1">
      <c r="A75" s="39" t="s">
        <v>20773</v>
      </c>
      <c r="B75" s="43">
        <v>66</v>
      </c>
      <c r="C75" s="39" t="s">
        <v>20</v>
      </c>
      <c r="D75" s="39" t="s">
        <v>37</v>
      </c>
      <c r="E75" s="39" t="s">
        <v>20771</v>
      </c>
      <c r="F75" s="40">
        <v>42347</v>
      </c>
      <c r="G75" s="39" t="s">
        <v>20796</v>
      </c>
      <c r="H75" s="39" t="s">
        <v>20795</v>
      </c>
      <c r="I75" s="39" t="s">
        <v>315</v>
      </c>
      <c r="L75" s="39" t="s">
        <v>20479</v>
      </c>
      <c r="M75" s="39" t="s">
        <v>27</v>
      </c>
      <c r="N75" s="63" t="s">
        <v>20797</v>
      </c>
      <c r="P75" s="28" t="s">
        <v>401</v>
      </c>
      <c r="Q75" s="39" t="s">
        <v>20775</v>
      </c>
      <c r="S75" s="8" t="s">
        <v>28</v>
      </c>
    </row>
    <row r="76" spans="1:20" s="39" customFormat="1" ht="13" customHeight="1">
      <c r="A76" s="39" t="s">
        <v>20749</v>
      </c>
      <c r="B76" s="43">
        <v>36</v>
      </c>
      <c r="C76" s="39" t="s">
        <v>20</v>
      </c>
      <c r="D76" s="39" t="s">
        <v>85</v>
      </c>
      <c r="E76" s="39" t="s">
        <v>20750</v>
      </c>
      <c r="F76" s="40">
        <v>42346</v>
      </c>
      <c r="G76" s="39" t="s">
        <v>20751</v>
      </c>
      <c r="H76" s="39" t="s">
        <v>9293</v>
      </c>
      <c r="I76" s="39" t="s">
        <v>423</v>
      </c>
      <c r="L76" s="39" t="s">
        <v>582</v>
      </c>
      <c r="M76" s="39" t="s">
        <v>27</v>
      </c>
      <c r="N76" s="63"/>
      <c r="P76" s="28" t="s">
        <v>401</v>
      </c>
      <c r="Q76" s="39" t="s">
        <v>20752</v>
      </c>
      <c r="S76" s="39" t="s">
        <v>18</v>
      </c>
    </row>
    <row r="77" spans="1:20" s="39" customFormat="1" ht="13" customHeight="1">
      <c r="A77" s="39" t="s">
        <v>20753</v>
      </c>
      <c r="B77" s="43">
        <v>27</v>
      </c>
      <c r="C77" s="39" t="s">
        <v>20</v>
      </c>
      <c r="D77" s="39" t="s">
        <v>37</v>
      </c>
      <c r="E77" s="39" t="s">
        <v>20750</v>
      </c>
      <c r="F77" s="40">
        <v>42346</v>
      </c>
      <c r="G77" s="39" t="s">
        <v>20755</v>
      </c>
      <c r="H77" s="39" t="s">
        <v>20051</v>
      </c>
      <c r="I77" s="39" t="s">
        <v>431</v>
      </c>
      <c r="L77" s="39" t="s">
        <v>4545</v>
      </c>
      <c r="M77" s="8" t="s">
        <v>2297</v>
      </c>
      <c r="N77" s="63"/>
      <c r="P77" s="28" t="s">
        <v>401</v>
      </c>
      <c r="Q77" s="39" t="s">
        <v>20756</v>
      </c>
      <c r="S77" s="39" t="s">
        <v>18</v>
      </c>
    </row>
    <row r="78" spans="1:20" s="39" customFormat="1" ht="13" customHeight="1">
      <c r="A78" s="39" t="s">
        <v>20779</v>
      </c>
      <c r="B78" s="43">
        <v>30</v>
      </c>
      <c r="C78" s="39" t="s">
        <v>20</v>
      </c>
      <c r="D78" s="39" t="s">
        <v>85</v>
      </c>
      <c r="E78" s="39" t="s">
        <v>20777</v>
      </c>
      <c r="F78" s="40">
        <v>42345</v>
      </c>
      <c r="G78" s="39" t="s">
        <v>20808</v>
      </c>
      <c r="H78" s="39" t="s">
        <v>757</v>
      </c>
      <c r="I78" s="39" t="s">
        <v>423</v>
      </c>
      <c r="L78" s="39" t="s">
        <v>582</v>
      </c>
      <c r="M78" s="39" t="s">
        <v>27</v>
      </c>
      <c r="N78" s="63" t="s">
        <v>20799</v>
      </c>
      <c r="P78" s="28" t="s">
        <v>401</v>
      </c>
      <c r="Q78" s="39" t="s">
        <v>20780</v>
      </c>
      <c r="S78" s="8" t="s">
        <v>28</v>
      </c>
    </row>
    <row r="79" spans="1:20" s="39" customFormat="1" ht="13" customHeight="1">
      <c r="A79" s="39" t="s">
        <v>20781</v>
      </c>
      <c r="B79" s="43">
        <v>46</v>
      </c>
      <c r="C79" s="39" t="s">
        <v>20</v>
      </c>
      <c r="D79" s="39" t="s">
        <v>85</v>
      </c>
      <c r="F79" s="40">
        <v>42344</v>
      </c>
      <c r="G79" s="39" t="s">
        <v>20802</v>
      </c>
      <c r="H79" s="39" t="s">
        <v>20803</v>
      </c>
      <c r="I79" s="39" t="s">
        <v>69</v>
      </c>
      <c r="L79" s="39" t="s">
        <v>20804</v>
      </c>
      <c r="M79" s="39" t="s">
        <v>27</v>
      </c>
      <c r="N79" s="63" t="s">
        <v>20805</v>
      </c>
      <c r="P79" s="28" t="s">
        <v>401</v>
      </c>
      <c r="Q79" s="39" t="s">
        <v>20783</v>
      </c>
      <c r="S79" s="8" t="s">
        <v>28</v>
      </c>
    </row>
    <row r="80" spans="1:20" s="39" customFormat="1" ht="13" customHeight="1">
      <c r="A80" s="39" t="s">
        <v>20741</v>
      </c>
      <c r="B80" s="43">
        <v>35</v>
      </c>
      <c r="C80" s="39" t="s">
        <v>20</v>
      </c>
      <c r="D80" s="39" t="s">
        <v>37</v>
      </c>
      <c r="F80" s="40">
        <v>42344</v>
      </c>
      <c r="G80" s="39" t="s">
        <v>20743</v>
      </c>
      <c r="H80" s="39" t="s">
        <v>1211</v>
      </c>
      <c r="I80" s="39" t="s">
        <v>303</v>
      </c>
      <c r="L80" s="39" t="s">
        <v>1213</v>
      </c>
      <c r="M80" s="39" t="s">
        <v>27</v>
      </c>
      <c r="N80" s="63" t="s">
        <v>21575</v>
      </c>
      <c r="P80" s="28" t="s">
        <v>401</v>
      </c>
      <c r="Q80" s="39" t="s">
        <v>20744</v>
      </c>
      <c r="S80" s="8" t="s">
        <v>28</v>
      </c>
    </row>
    <row r="81" spans="1:46" s="39" customFormat="1" ht="13" customHeight="1">
      <c r="A81" s="39" t="s">
        <v>20745</v>
      </c>
      <c r="B81" s="43">
        <v>48</v>
      </c>
      <c r="C81" s="39" t="s">
        <v>20</v>
      </c>
      <c r="D81" s="39" t="s">
        <v>37</v>
      </c>
      <c r="E81" s="39" t="s">
        <v>20742</v>
      </c>
      <c r="F81" s="40">
        <v>42344</v>
      </c>
      <c r="G81" s="39" t="s">
        <v>20746</v>
      </c>
      <c r="H81" s="39" t="s">
        <v>1237</v>
      </c>
      <c r="I81" s="39" t="s">
        <v>1086</v>
      </c>
      <c r="L81" s="39" t="s">
        <v>20747</v>
      </c>
      <c r="M81" s="39" t="s">
        <v>27</v>
      </c>
      <c r="N81" s="63" t="s">
        <v>21576</v>
      </c>
      <c r="P81" s="28" t="s">
        <v>401</v>
      </c>
      <c r="Q81" s="39" t="s">
        <v>20748</v>
      </c>
      <c r="S81" s="8" t="s">
        <v>28</v>
      </c>
    </row>
    <row r="82" spans="1:46" s="39" customFormat="1" ht="13" customHeight="1">
      <c r="A82" s="39" t="s">
        <v>19129</v>
      </c>
      <c r="B82" s="43">
        <v>35</v>
      </c>
      <c r="C82" s="39" t="s">
        <v>20</v>
      </c>
      <c r="D82" s="39" t="s">
        <v>37</v>
      </c>
      <c r="E82" s="39" t="s">
        <v>20782</v>
      </c>
      <c r="F82" s="40">
        <v>42344</v>
      </c>
      <c r="G82" s="39" t="s">
        <v>20784</v>
      </c>
      <c r="H82" s="39" t="s">
        <v>156</v>
      </c>
      <c r="I82" s="39" t="s">
        <v>45</v>
      </c>
      <c r="L82" s="39" t="s">
        <v>157</v>
      </c>
      <c r="M82" s="39" t="s">
        <v>2297</v>
      </c>
      <c r="N82" s="63"/>
      <c r="P82" s="28" t="s">
        <v>401</v>
      </c>
      <c r="Q82" s="39" t="s">
        <v>20785</v>
      </c>
      <c r="S82" s="39" t="s">
        <v>18</v>
      </c>
    </row>
    <row r="83" spans="1:46" s="39" customFormat="1" ht="13" customHeight="1">
      <c r="A83" s="39" t="s">
        <v>20738</v>
      </c>
      <c r="B83" s="43">
        <v>38</v>
      </c>
      <c r="C83" s="39" t="s">
        <v>20</v>
      </c>
      <c r="D83" s="39" t="s">
        <v>48</v>
      </c>
      <c r="E83" s="39" t="s">
        <v>20733</v>
      </c>
      <c r="F83" s="40">
        <v>42343</v>
      </c>
      <c r="G83" s="39" t="s">
        <v>20739</v>
      </c>
      <c r="H83" s="39" t="s">
        <v>6343</v>
      </c>
      <c r="I83" s="39" t="s">
        <v>45</v>
      </c>
      <c r="L83" s="39" t="s">
        <v>6345</v>
      </c>
      <c r="M83" s="39" t="s">
        <v>27</v>
      </c>
      <c r="P83" s="28" t="s">
        <v>401</v>
      </c>
      <c r="Q83" s="39" t="s">
        <v>20740</v>
      </c>
      <c r="S83" s="8" t="s">
        <v>28</v>
      </c>
    </row>
    <row r="84" spans="1:46" s="39" customFormat="1" ht="13" customHeight="1">
      <c r="A84" s="39" t="s">
        <v>20728</v>
      </c>
      <c r="B84" s="43">
        <v>24</v>
      </c>
      <c r="C84" s="39" t="s">
        <v>20</v>
      </c>
      <c r="D84" s="39" t="s">
        <v>37</v>
      </c>
      <c r="F84" s="40">
        <v>42343</v>
      </c>
      <c r="G84" s="39" t="s">
        <v>20730</v>
      </c>
      <c r="H84" s="39" t="s">
        <v>6171</v>
      </c>
      <c r="I84" s="39" t="s">
        <v>73</v>
      </c>
      <c r="L84" s="39" t="s">
        <v>6173</v>
      </c>
      <c r="M84" s="39" t="s">
        <v>27</v>
      </c>
      <c r="N84" s="63" t="s">
        <v>21577</v>
      </c>
      <c r="P84" s="28" t="s">
        <v>401</v>
      </c>
      <c r="Q84" s="39" t="s">
        <v>20731</v>
      </c>
      <c r="S84" s="8" t="s">
        <v>28</v>
      </c>
    </row>
    <row r="85" spans="1:46" s="39" customFormat="1" ht="13" customHeight="1">
      <c r="A85" s="39" t="s">
        <v>20719</v>
      </c>
      <c r="B85" s="43">
        <v>52</v>
      </c>
      <c r="C85" s="39" t="s">
        <v>20</v>
      </c>
      <c r="D85" s="39" t="s">
        <v>37</v>
      </c>
      <c r="E85" s="39" t="s">
        <v>20715</v>
      </c>
      <c r="F85" s="40">
        <v>42343</v>
      </c>
      <c r="G85" s="39" t="s">
        <v>20721</v>
      </c>
      <c r="H85" s="39" t="s">
        <v>1524</v>
      </c>
      <c r="I85" s="39" t="s">
        <v>62</v>
      </c>
      <c r="L85" s="39" t="s">
        <v>1525</v>
      </c>
      <c r="M85" s="39" t="s">
        <v>27</v>
      </c>
      <c r="N85" s="63" t="s">
        <v>21578</v>
      </c>
      <c r="P85" s="28" t="s">
        <v>401</v>
      </c>
      <c r="Q85" s="39" t="s">
        <v>20722</v>
      </c>
      <c r="S85" s="8" t="s">
        <v>28</v>
      </c>
    </row>
    <row r="86" spans="1:46" s="39" customFormat="1" ht="13" customHeight="1">
      <c r="A86" s="39" t="s">
        <v>20732</v>
      </c>
      <c r="B86" s="43">
        <v>60</v>
      </c>
      <c r="C86" s="39" t="s">
        <v>20</v>
      </c>
      <c r="D86" s="39" t="s">
        <v>37</v>
      </c>
      <c r="E86" s="39" t="s">
        <v>20729</v>
      </c>
      <c r="F86" s="40">
        <v>42343</v>
      </c>
      <c r="G86" s="39" t="s">
        <v>20734</v>
      </c>
      <c r="H86" s="39" t="s">
        <v>20735</v>
      </c>
      <c r="I86" s="39" t="s">
        <v>438</v>
      </c>
      <c r="L86" s="39" t="s">
        <v>20736</v>
      </c>
      <c r="M86" s="39" t="s">
        <v>27</v>
      </c>
      <c r="N86" s="63" t="s">
        <v>21579</v>
      </c>
      <c r="P86" s="28" t="s">
        <v>401</v>
      </c>
      <c r="Q86" s="39" t="s">
        <v>20737</v>
      </c>
      <c r="S86" s="8" t="s">
        <v>28</v>
      </c>
    </row>
    <row r="87" spans="1:46" s="39" customFormat="1" ht="13" customHeight="1">
      <c r="A87" s="39" t="s">
        <v>20723</v>
      </c>
      <c r="B87" s="43">
        <v>61</v>
      </c>
      <c r="C87" s="39" t="s">
        <v>114</v>
      </c>
      <c r="D87" s="39" t="s">
        <v>37</v>
      </c>
      <c r="E87" s="39" t="s">
        <v>20720</v>
      </c>
      <c r="F87" s="40">
        <v>42343</v>
      </c>
      <c r="G87" s="39" t="s">
        <v>20724</v>
      </c>
      <c r="H87" s="39" t="s">
        <v>20725</v>
      </c>
      <c r="I87" s="39" t="s">
        <v>431</v>
      </c>
      <c r="L87" s="39" t="s">
        <v>20726</v>
      </c>
      <c r="M87" s="39" t="s">
        <v>27</v>
      </c>
      <c r="N87" s="63" t="s">
        <v>21580</v>
      </c>
      <c r="P87" s="28" t="s">
        <v>401</v>
      </c>
      <c r="Q87" s="39" t="s">
        <v>20727</v>
      </c>
      <c r="S87" s="8" t="s">
        <v>28</v>
      </c>
    </row>
    <row r="88" spans="1:46" s="39" customFormat="1" ht="13" customHeight="1">
      <c r="A88" s="39" t="s">
        <v>20786</v>
      </c>
      <c r="B88" s="43">
        <v>21</v>
      </c>
      <c r="C88" s="39" t="s">
        <v>20</v>
      </c>
      <c r="D88" s="39" t="s">
        <v>85</v>
      </c>
      <c r="F88" s="40">
        <v>42342</v>
      </c>
      <c r="G88" s="39" t="s">
        <v>20806</v>
      </c>
      <c r="H88" s="39" t="s">
        <v>14339</v>
      </c>
      <c r="I88" s="39" t="s">
        <v>404</v>
      </c>
      <c r="L88" s="39" t="s">
        <v>14340</v>
      </c>
      <c r="M88" s="39" t="s">
        <v>27</v>
      </c>
      <c r="N88" s="63" t="s">
        <v>20807</v>
      </c>
      <c r="P88" s="28" t="s">
        <v>401</v>
      </c>
      <c r="Q88" s="39" t="s">
        <v>20787</v>
      </c>
      <c r="S88" s="8" t="s">
        <v>28</v>
      </c>
    </row>
    <row r="89" spans="1:46" s="39" customFormat="1" ht="13" customHeight="1">
      <c r="A89" s="39" t="s">
        <v>20788</v>
      </c>
      <c r="B89" s="43">
        <v>40</v>
      </c>
      <c r="C89" s="39" t="s">
        <v>20</v>
      </c>
      <c r="D89" s="39" t="s">
        <v>37</v>
      </c>
      <c r="E89" s="39" t="s">
        <v>20840</v>
      </c>
      <c r="F89" s="40">
        <v>42342</v>
      </c>
      <c r="G89" s="39" t="s">
        <v>20789</v>
      </c>
      <c r="H89" s="39" t="s">
        <v>20790</v>
      </c>
      <c r="I89" s="39" t="s">
        <v>69</v>
      </c>
      <c r="L89" s="39" t="s">
        <v>3239</v>
      </c>
      <c r="M89" s="39" t="s">
        <v>27</v>
      </c>
      <c r="N89" s="63" t="s">
        <v>20801</v>
      </c>
      <c r="P89" s="8" t="s">
        <v>1162</v>
      </c>
      <c r="Q89" s="39" t="s">
        <v>20800</v>
      </c>
      <c r="R89" s="8" t="s">
        <v>100</v>
      </c>
      <c r="S89" s="39" t="s">
        <v>18</v>
      </c>
    </row>
    <row r="90" spans="1:46" s="39" customFormat="1" ht="13" customHeight="1">
      <c r="A90" s="39" t="s">
        <v>20710</v>
      </c>
      <c r="B90" s="43">
        <v>47</v>
      </c>
      <c r="C90" s="39" t="s">
        <v>20</v>
      </c>
      <c r="D90" s="39" t="s">
        <v>37</v>
      </c>
      <c r="F90" s="40">
        <v>42341</v>
      </c>
      <c r="G90" s="39" t="s">
        <v>20712</v>
      </c>
      <c r="H90" s="39" t="s">
        <v>1432</v>
      </c>
      <c r="I90" s="39" t="s">
        <v>123</v>
      </c>
      <c r="L90" s="39" t="s">
        <v>1433</v>
      </c>
      <c r="M90" s="39" t="s">
        <v>27</v>
      </c>
      <c r="N90" s="63" t="s">
        <v>21581</v>
      </c>
      <c r="P90" s="28" t="s">
        <v>401</v>
      </c>
      <c r="Q90" s="39" t="s">
        <v>20713</v>
      </c>
      <c r="S90" s="8" t="s">
        <v>28</v>
      </c>
    </row>
    <row r="91" spans="1:46" s="39" customFormat="1" ht="13" customHeight="1">
      <c r="A91" s="39" t="s">
        <v>20714</v>
      </c>
      <c r="B91" s="43">
        <v>66</v>
      </c>
      <c r="C91" s="39" t="s">
        <v>20</v>
      </c>
      <c r="D91" s="39" t="s">
        <v>37</v>
      </c>
      <c r="E91" s="39" t="s">
        <v>20711</v>
      </c>
      <c r="F91" s="40">
        <v>42341</v>
      </c>
      <c r="G91" s="39" t="s">
        <v>20716</v>
      </c>
      <c r="H91" s="39" t="s">
        <v>20717</v>
      </c>
      <c r="I91" s="39" t="s">
        <v>463</v>
      </c>
      <c r="L91" s="39" t="s">
        <v>21402</v>
      </c>
      <c r="M91" s="39" t="s">
        <v>27</v>
      </c>
      <c r="N91" s="63" t="s">
        <v>21508</v>
      </c>
      <c r="P91" s="28" t="s">
        <v>401</v>
      </c>
      <c r="Q91" s="39" t="s">
        <v>20718</v>
      </c>
      <c r="S91" s="8" t="s">
        <v>28</v>
      </c>
    </row>
    <row r="92" spans="1:46" s="39" customFormat="1" ht="13" customHeight="1">
      <c r="A92" s="39" t="s">
        <v>20695</v>
      </c>
      <c r="B92" s="43">
        <v>27</v>
      </c>
      <c r="C92" s="39" t="s">
        <v>114</v>
      </c>
      <c r="D92" s="39" t="s">
        <v>21</v>
      </c>
      <c r="E92" s="39" t="s">
        <v>20696</v>
      </c>
      <c r="F92" s="40">
        <v>42340</v>
      </c>
      <c r="G92" s="39" t="s">
        <v>20692</v>
      </c>
      <c r="H92" s="39" t="s">
        <v>20693</v>
      </c>
      <c r="I92" s="39" t="s">
        <v>45</v>
      </c>
      <c r="L92" s="39" t="s">
        <v>29</v>
      </c>
      <c r="M92" s="39" t="s">
        <v>27</v>
      </c>
      <c r="N92" s="63" t="s">
        <v>21582</v>
      </c>
      <c r="P92" s="28" t="s">
        <v>401</v>
      </c>
      <c r="Q92" s="39" t="s">
        <v>20694</v>
      </c>
      <c r="S92" s="8" t="s">
        <v>28</v>
      </c>
    </row>
    <row r="93" spans="1:46" s="39" customFormat="1" ht="13" customHeight="1">
      <c r="A93" s="39" t="s">
        <v>20690</v>
      </c>
      <c r="B93" s="43">
        <v>28</v>
      </c>
      <c r="C93" s="39" t="s">
        <v>20</v>
      </c>
      <c r="D93" s="39" t="s">
        <v>21</v>
      </c>
      <c r="E93" s="39" t="s">
        <v>20691</v>
      </c>
      <c r="F93" s="40">
        <v>42340</v>
      </c>
      <c r="G93" s="39" t="s">
        <v>20692</v>
      </c>
      <c r="H93" s="39" t="s">
        <v>20693</v>
      </c>
      <c r="I93" s="39" t="s">
        <v>45</v>
      </c>
      <c r="L93" s="39" t="s">
        <v>29</v>
      </c>
      <c r="M93" s="39" t="s">
        <v>27</v>
      </c>
      <c r="N93" s="63" t="s">
        <v>21583</v>
      </c>
      <c r="P93" s="28" t="s">
        <v>401</v>
      </c>
      <c r="Q93" s="39" t="s">
        <v>20694</v>
      </c>
      <c r="S93" s="8" t="s">
        <v>28</v>
      </c>
    </row>
    <row r="94" spans="1:46" s="39" customFormat="1" ht="13" customHeight="1">
      <c r="A94" s="8" t="s">
        <v>20669</v>
      </c>
      <c r="B94" s="16">
        <v>26</v>
      </c>
      <c r="C94" s="8" t="s">
        <v>20</v>
      </c>
      <c r="D94" s="8" t="s">
        <v>85</v>
      </c>
      <c r="E94" s="8" t="s">
        <v>20670</v>
      </c>
      <c r="F94" s="17">
        <v>42340</v>
      </c>
      <c r="G94" s="8" t="s">
        <v>20671</v>
      </c>
      <c r="H94" s="8" t="s">
        <v>948</v>
      </c>
      <c r="I94" s="8" t="s">
        <v>45</v>
      </c>
      <c r="J94" s="16">
        <v>94124</v>
      </c>
      <c r="K94" s="36" t="s">
        <v>948</v>
      </c>
      <c r="L94" s="35" t="s">
        <v>949</v>
      </c>
      <c r="M94" s="35" t="s">
        <v>27</v>
      </c>
      <c r="N94" s="37" t="s">
        <v>20673</v>
      </c>
      <c r="O94" s="8"/>
      <c r="P94" s="28" t="s">
        <v>401</v>
      </c>
      <c r="Q94" s="35" t="s">
        <v>20672</v>
      </c>
      <c r="R94" s="37" t="s">
        <v>967</v>
      </c>
      <c r="S94" s="35" t="s">
        <v>28</v>
      </c>
      <c r="T94" s="35"/>
      <c r="U94" s="35"/>
      <c r="V94" s="35"/>
      <c r="W94" s="35"/>
      <c r="X94" s="35"/>
      <c r="Y94" s="35"/>
      <c r="Z94" s="35"/>
      <c r="AA94" s="35"/>
      <c r="AB94" s="35"/>
      <c r="AC94" s="35"/>
      <c r="AD94" s="35"/>
      <c r="AE94" s="35"/>
      <c r="AF94" s="35"/>
      <c r="AG94" s="37"/>
      <c r="AH94" s="37"/>
      <c r="AI94" s="37"/>
      <c r="AJ94" s="37"/>
      <c r="AK94" s="37"/>
      <c r="AL94" s="37"/>
      <c r="AM94" s="37"/>
      <c r="AN94" s="37"/>
      <c r="AO94" s="37"/>
      <c r="AP94" s="37"/>
      <c r="AQ94" s="37"/>
      <c r="AR94" s="37"/>
      <c r="AS94" s="37"/>
      <c r="AT94" s="37"/>
    </row>
    <row r="95" spans="1:46" s="39" customFormat="1" ht="13" customHeight="1">
      <c r="A95" s="39" t="s">
        <v>20706</v>
      </c>
      <c r="B95" s="43">
        <v>36</v>
      </c>
      <c r="C95" s="39" t="s">
        <v>20</v>
      </c>
      <c r="D95" s="39" t="s">
        <v>48</v>
      </c>
      <c r="E95" s="39" t="s">
        <v>20703</v>
      </c>
      <c r="F95" s="40">
        <v>42340</v>
      </c>
      <c r="G95" s="39" t="s">
        <v>20707</v>
      </c>
      <c r="H95" s="39" t="s">
        <v>6007</v>
      </c>
      <c r="I95" s="39" t="s">
        <v>195</v>
      </c>
      <c r="L95" s="39" t="s">
        <v>20708</v>
      </c>
      <c r="M95" s="39" t="s">
        <v>27</v>
      </c>
      <c r="N95" s="63" t="s">
        <v>21584</v>
      </c>
      <c r="P95" s="28" t="s">
        <v>401</v>
      </c>
      <c r="Q95" s="39" t="s">
        <v>20709</v>
      </c>
      <c r="S95" s="8" t="s">
        <v>28</v>
      </c>
    </row>
    <row r="96" spans="1:46" s="39" customFormat="1" ht="13" customHeight="1">
      <c r="A96" s="39" t="s">
        <v>20702</v>
      </c>
      <c r="B96" s="43">
        <v>32</v>
      </c>
      <c r="C96" s="39" t="s">
        <v>20</v>
      </c>
      <c r="D96" s="39" t="s">
        <v>48</v>
      </c>
      <c r="E96" s="39" t="s">
        <v>20699</v>
      </c>
      <c r="F96" s="40">
        <v>42340</v>
      </c>
      <c r="G96" s="39" t="s">
        <v>20704</v>
      </c>
      <c r="H96" s="39" t="s">
        <v>575</v>
      </c>
      <c r="I96" s="39" t="s">
        <v>73</v>
      </c>
      <c r="L96" s="39" t="s">
        <v>281</v>
      </c>
      <c r="M96" s="39" t="s">
        <v>27</v>
      </c>
      <c r="N96" s="63"/>
      <c r="P96" s="28" t="s">
        <v>401</v>
      </c>
      <c r="Q96" s="39" t="s">
        <v>20705</v>
      </c>
      <c r="S96" t="s">
        <v>18</v>
      </c>
    </row>
    <row r="97" spans="1:49" s="39" customFormat="1" ht="13" customHeight="1">
      <c r="A97" s="39" t="s">
        <v>20698</v>
      </c>
      <c r="B97" s="43">
        <v>35</v>
      </c>
      <c r="C97" s="39" t="s">
        <v>20</v>
      </c>
      <c r="D97" s="39" t="s">
        <v>48</v>
      </c>
      <c r="E97" s="39" t="s">
        <v>20697</v>
      </c>
      <c r="F97" s="40">
        <v>42340</v>
      </c>
      <c r="G97" s="39" t="s">
        <v>20700</v>
      </c>
      <c r="H97" s="39" t="s">
        <v>1301</v>
      </c>
      <c r="I97" s="39" t="s">
        <v>209</v>
      </c>
      <c r="L97" s="39" t="s">
        <v>1302</v>
      </c>
      <c r="M97" s="39" t="s">
        <v>27</v>
      </c>
      <c r="N97" s="63" t="s">
        <v>21509</v>
      </c>
      <c r="P97" s="28" t="s">
        <v>401</v>
      </c>
      <c r="Q97" s="39" t="s">
        <v>20701</v>
      </c>
      <c r="S97" s="8" t="s">
        <v>35</v>
      </c>
    </row>
    <row r="98" spans="1:49" s="39" customFormat="1" ht="13" customHeight="1">
      <c r="A98" s="39" t="s">
        <v>20687</v>
      </c>
      <c r="B98" s="43">
        <v>18</v>
      </c>
      <c r="C98" s="39" t="s">
        <v>20</v>
      </c>
      <c r="D98" s="39" t="s">
        <v>48</v>
      </c>
      <c r="F98" s="40">
        <v>42339</v>
      </c>
      <c r="G98" s="39" t="s">
        <v>20688</v>
      </c>
      <c r="H98" s="39" t="s">
        <v>11479</v>
      </c>
      <c r="I98" s="39" t="s">
        <v>45</v>
      </c>
      <c r="L98" s="39" t="s">
        <v>414</v>
      </c>
      <c r="M98" s="39" t="s">
        <v>27</v>
      </c>
      <c r="N98" s="65" t="s">
        <v>21585</v>
      </c>
      <c r="P98" s="28" t="s">
        <v>401</v>
      </c>
      <c r="Q98" s="39" t="s">
        <v>20689</v>
      </c>
      <c r="S98" s="8" t="s">
        <v>28</v>
      </c>
    </row>
    <row r="99" spans="1:49" s="39" customFormat="1" ht="13" customHeight="1">
      <c r="A99" s="39" t="s">
        <v>20681</v>
      </c>
      <c r="B99" s="43">
        <v>23</v>
      </c>
      <c r="C99" s="39" t="s">
        <v>20</v>
      </c>
      <c r="D99" s="39" t="s">
        <v>37</v>
      </c>
      <c r="E99" s="39" t="s">
        <v>20682</v>
      </c>
      <c r="F99" s="40">
        <v>42339</v>
      </c>
      <c r="G99" s="39" t="s">
        <v>20683</v>
      </c>
      <c r="H99" s="39" t="s">
        <v>20684</v>
      </c>
      <c r="I99" s="39" t="s">
        <v>4399</v>
      </c>
      <c r="L99" s="39" t="s">
        <v>20685</v>
      </c>
      <c r="M99" s="39" t="s">
        <v>27</v>
      </c>
      <c r="N99" s="63" t="s">
        <v>21510</v>
      </c>
      <c r="P99" s="28" t="s">
        <v>401</v>
      </c>
      <c r="Q99" s="39" t="s">
        <v>20686</v>
      </c>
      <c r="S99" s="8" t="s">
        <v>28</v>
      </c>
      <c r="AU99" s="8"/>
      <c r="AV99" s="8"/>
      <c r="AW99" s="8"/>
    </row>
    <row r="100" spans="1:49" s="39" customFormat="1" ht="13" customHeight="1">
      <c r="A100" s="8" t="s">
        <v>19443</v>
      </c>
      <c r="B100" s="16" t="s">
        <v>29</v>
      </c>
      <c r="C100" s="8" t="s">
        <v>29</v>
      </c>
      <c r="D100" s="8" t="s">
        <v>21</v>
      </c>
      <c r="E100" s="8"/>
      <c r="F100" s="17">
        <v>42338</v>
      </c>
      <c r="G100" s="8" t="s">
        <v>19444</v>
      </c>
      <c r="H100" s="8" t="s">
        <v>3847</v>
      </c>
      <c r="I100" s="8" t="s">
        <v>209</v>
      </c>
      <c r="J100" s="16"/>
      <c r="K100" s="2"/>
      <c r="L100" s="8" t="s">
        <v>3850</v>
      </c>
      <c r="M100" s="8" t="s">
        <v>27</v>
      </c>
      <c r="N100" s="2" t="s">
        <v>21511</v>
      </c>
      <c r="O100" s="8"/>
      <c r="P100" s="8" t="s">
        <v>401</v>
      </c>
      <c r="Q100" s="12" t="s">
        <v>19445</v>
      </c>
      <c r="R100" s="8"/>
      <c r="S100" s="8" t="s">
        <v>28</v>
      </c>
      <c r="T100" s="8"/>
      <c r="U100" s="8"/>
      <c r="V100" s="2"/>
      <c r="W100" s="2"/>
      <c r="X100" s="2"/>
      <c r="Y100" s="2"/>
      <c r="Z100" s="2"/>
      <c r="AA100" s="2"/>
      <c r="AB100" s="2"/>
      <c r="AC100" s="2"/>
      <c r="AD100" s="2"/>
      <c r="AE100" s="2"/>
      <c r="AF100" s="2"/>
      <c r="AG100" s="2"/>
      <c r="AH100" s="2"/>
      <c r="AI100" s="25"/>
      <c r="AJ100" s="25"/>
      <c r="AK100" s="25"/>
      <c r="AL100" s="25"/>
      <c r="AM100" s="25"/>
      <c r="AN100" s="2"/>
      <c r="AO100" s="2"/>
      <c r="AP100" s="2"/>
      <c r="AQ100" s="2"/>
      <c r="AR100" s="2"/>
      <c r="AS100" s="2"/>
      <c r="AT100" s="2"/>
      <c r="AU100" s="8"/>
      <c r="AV100" s="8"/>
      <c r="AW100" s="8"/>
    </row>
    <row r="101" spans="1:49" s="39" customFormat="1" ht="13" customHeight="1">
      <c r="A101" s="8" t="s">
        <v>19446</v>
      </c>
      <c r="B101" s="16">
        <v>18</v>
      </c>
      <c r="C101" s="8" t="s">
        <v>20</v>
      </c>
      <c r="D101" s="8" t="s">
        <v>85</v>
      </c>
      <c r="E101" s="8" t="s">
        <v>19718</v>
      </c>
      <c r="F101" s="17">
        <v>42338</v>
      </c>
      <c r="G101" s="8" t="s">
        <v>19447</v>
      </c>
      <c r="H101" s="8" t="s">
        <v>1919</v>
      </c>
      <c r="I101" s="8" t="s">
        <v>173</v>
      </c>
      <c r="J101" s="16"/>
      <c r="K101" s="2"/>
      <c r="L101" s="8" t="s">
        <v>2550</v>
      </c>
      <c r="M101" s="8" t="s">
        <v>27</v>
      </c>
      <c r="N101" s="2" t="s">
        <v>21586</v>
      </c>
      <c r="O101" s="8" t="s">
        <v>400</v>
      </c>
      <c r="P101" s="8" t="s">
        <v>401</v>
      </c>
      <c r="Q101" s="12" t="s">
        <v>19448</v>
      </c>
      <c r="R101" s="8"/>
      <c r="S101" s="8" t="s">
        <v>28</v>
      </c>
      <c r="T101" s="8"/>
      <c r="U101" s="8"/>
      <c r="V101" s="8"/>
      <c r="W101" s="8"/>
      <c r="X101" s="8"/>
      <c r="Y101" s="2"/>
      <c r="Z101" s="2"/>
      <c r="AA101" s="2"/>
      <c r="AB101" s="2"/>
      <c r="AC101" s="2"/>
      <c r="AD101" s="2"/>
      <c r="AE101" s="2"/>
      <c r="AF101" s="2"/>
      <c r="AG101" s="2"/>
      <c r="AH101" s="2"/>
      <c r="AI101" s="8"/>
      <c r="AJ101" s="8"/>
      <c r="AK101" s="8"/>
      <c r="AL101" s="8"/>
      <c r="AM101" s="8"/>
      <c r="AN101" s="2"/>
      <c r="AO101" s="2"/>
      <c r="AP101" s="2"/>
      <c r="AQ101" s="2"/>
      <c r="AR101" s="2"/>
      <c r="AS101" s="2"/>
      <c r="AT101" s="2"/>
      <c r="AU101" s="8"/>
      <c r="AV101" s="8"/>
      <c r="AW101" s="8"/>
    </row>
    <row r="102" spans="1:49" s="39" customFormat="1" ht="13" customHeight="1">
      <c r="A102" s="8" t="s">
        <v>19452</v>
      </c>
      <c r="B102" s="16">
        <v>23</v>
      </c>
      <c r="C102" s="8" t="s">
        <v>20</v>
      </c>
      <c r="D102" s="8" t="s">
        <v>48</v>
      </c>
      <c r="E102" s="8" t="s">
        <v>19717</v>
      </c>
      <c r="F102" s="17">
        <v>42337</v>
      </c>
      <c r="G102" s="8" t="s">
        <v>19453</v>
      </c>
      <c r="H102" s="8" t="s">
        <v>681</v>
      </c>
      <c r="I102" s="8" t="s">
        <v>45</v>
      </c>
      <c r="J102" s="16"/>
      <c r="K102" s="2" t="s">
        <v>682</v>
      </c>
      <c r="L102" s="8" t="s">
        <v>683</v>
      </c>
      <c r="M102" s="8" t="s">
        <v>27</v>
      </c>
      <c r="N102" s="2" t="s">
        <v>21587</v>
      </c>
      <c r="O102" s="8"/>
      <c r="P102" s="8" t="s">
        <v>401</v>
      </c>
      <c r="Q102" s="12" t="s">
        <v>19454</v>
      </c>
      <c r="R102" s="8"/>
      <c r="S102" s="8" t="s">
        <v>28</v>
      </c>
      <c r="T102" s="8"/>
      <c r="U102" s="8"/>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8"/>
      <c r="AV102" s="8"/>
      <c r="AW102" s="8"/>
    </row>
    <row r="103" spans="1:49" s="39" customFormat="1" ht="13" customHeight="1">
      <c r="A103" s="8" t="s">
        <v>19449</v>
      </c>
      <c r="B103" s="16">
        <v>69</v>
      </c>
      <c r="C103" s="8" t="s">
        <v>20</v>
      </c>
      <c r="D103" s="8" t="s">
        <v>48</v>
      </c>
      <c r="E103" s="8"/>
      <c r="F103" s="17">
        <v>42337</v>
      </c>
      <c r="G103" s="8" t="s">
        <v>19450</v>
      </c>
      <c r="H103" s="8" t="s">
        <v>1894</v>
      </c>
      <c r="I103" s="8" t="s">
        <v>123</v>
      </c>
      <c r="J103" s="16"/>
      <c r="K103" s="2"/>
      <c r="L103" s="8" t="s">
        <v>1896</v>
      </c>
      <c r="M103" s="8" t="s">
        <v>27</v>
      </c>
      <c r="N103" s="2" t="s">
        <v>20573</v>
      </c>
      <c r="O103" s="8"/>
      <c r="P103" s="8" t="s">
        <v>401</v>
      </c>
      <c r="Q103" s="12" t="s">
        <v>19451</v>
      </c>
      <c r="R103" s="8"/>
      <c r="S103" s="8" t="s">
        <v>28</v>
      </c>
      <c r="T103" s="8"/>
      <c r="U103" s="8"/>
      <c r="V103" s="8"/>
      <c r="W103" s="8"/>
      <c r="X103" s="8"/>
      <c r="Y103" s="2"/>
      <c r="Z103" s="2"/>
      <c r="AA103" s="2"/>
      <c r="AB103" s="2"/>
      <c r="AC103" s="2"/>
      <c r="AD103" s="2"/>
      <c r="AE103" s="2"/>
      <c r="AF103" s="2"/>
      <c r="AG103" s="2"/>
      <c r="AH103" s="2"/>
      <c r="AI103" s="2"/>
      <c r="AJ103" s="2"/>
      <c r="AK103" s="2"/>
      <c r="AL103" s="2"/>
      <c r="AM103" s="2"/>
      <c r="AN103" s="2"/>
      <c r="AO103" s="2"/>
      <c r="AP103" s="2"/>
      <c r="AQ103" s="2"/>
      <c r="AR103" s="2"/>
      <c r="AS103" s="2"/>
      <c r="AT103" s="2"/>
      <c r="AU103" s="8"/>
      <c r="AV103" s="8"/>
      <c r="AW103" s="8"/>
    </row>
    <row r="104" spans="1:49" s="39" customFormat="1" ht="13" customHeight="1">
      <c r="A104" s="8" t="s">
        <v>19463</v>
      </c>
      <c r="B104" s="16">
        <v>22</v>
      </c>
      <c r="C104" s="8" t="s">
        <v>20</v>
      </c>
      <c r="D104" s="8" t="s">
        <v>37</v>
      </c>
      <c r="E104" s="8" t="s">
        <v>19714</v>
      </c>
      <c r="F104" s="17">
        <v>42337</v>
      </c>
      <c r="G104" s="8" t="s">
        <v>19464</v>
      </c>
      <c r="H104" s="8" t="s">
        <v>19465</v>
      </c>
      <c r="I104" s="8" t="s">
        <v>69</v>
      </c>
      <c r="J104" s="8"/>
      <c r="K104" s="8"/>
      <c r="L104" s="8" t="s">
        <v>19466</v>
      </c>
      <c r="M104" s="8" t="s">
        <v>27</v>
      </c>
      <c r="N104" s="2" t="s">
        <v>21588</v>
      </c>
      <c r="O104" s="8"/>
      <c r="P104" s="8" t="s">
        <v>401</v>
      </c>
      <c r="Q104" s="8" t="s">
        <v>19467</v>
      </c>
      <c r="R104" s="8"/>
      <c r="S104" s="8" t="s">
        <v>28</v>
      </c>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row>
    <row r="105" spans="1:49" s="8" customFormat="1" ht="13" customHeight="1">
      <c r="A105" s="8" t="s">
        <v>19460</v>
      </c>
      <c r="B105" s="16">
        <v>29</v>
      </c>
      <c r="C105" s="8" t="s">
        <v>20</v>
      </c>
      <c r="D105" s="8" t="s">
        <v>37</v>
      </c>
      <c r="E105" s="8" t="s">
        <v>19715</v>
      </c>
      <c r="F105" s="17">
        <v>42337</v>
      </c>
      <c r="G105" s="8" t="s">
        <v>19461</v>
      </c>
      <c r="H105" s="8" t="s">
        <v>2324</v>
      </c>
      <c r="I105" s="8" t="s">
        <v>463</v>
      </c>
      <c r="L105" s="8" t="s">
        <v>10342</v>
      </c>
      <c r="M105" s="8" t="s">
        <v>27</v>
      </c>
      <c r="N105" s="2" t="s">
        <v>21589</v>
      </c>
      <c r="P105" s="8" t="s">
        <v>401</v>
      </c>
      <c r="Q105" s="8" t="s">
        <v>19462</v>
      </c>
      <c r="S105" s="8" t="s">
        <v>28</v>
      </c>
      <c r="AU105" s="2"/>
      <c r="AV105" s="2"/>
      <c r="AW105" s="2"/>
    </row>
    <row r="106" spans="1:49" s="8" customFormat="1" ht="13" customHeight="1">
      <c r="A106" s="8" t="s">
        <v>19455</v>
      </c>
      <c r="B106" s="16">
        <v>53</v>
      </c>
      <c r="C106" s="8" t="s">
        <v>20</v>
      </c>
      <c r="D106" s="8" t="s">
        <v>37</v>
      </c>
      <c r="E106" s="8" t="s">
        <v>19716</v>
      </c>
      <c r="F106" s="17">
        <v>42337</v>
      </c>
      <c r="G106" s="8" t="s">
        <v>19456</v>
      </c>
      <c r="H106" s="8" t="s">
        <v>19457</v>
      </c>
      <c r="I106" s="8" t="s">
        <v>431</v>
      </c>
      <c r="L106" s="8" t="s">
        <v>19458</v>
      </c>
      <c r="M106" s="8" t="s">
        <v>27</v>
      </c>
      <c r="N106" s="2" t="s">
        <v>21590</v>
      </c>
      <c r="P106" s="8" t="s">
        <v>401</v>
      </c>
      <c r="Q106" s="8" t="s">
        <v>19459</v>
      </c>
      <c r="S106" s="8" t="s">
        <v>28</v>
      </c>
      <c r="AU106" s="25"/>
      <c r="AV106" s="25"/>
      <c r="AW106" s="25"/>
    </row>
    <row r="107" spans="1:49" s="8" customFormat="1" ht="13" customHeight="1">
      <c r="A107" s="8" t="s">
        <v>21193</v>
      </c>
      <c r="B107" s="16">
        <v>50</v>
      </c>
      <c r="C107" s="8" t="s">
        <v>20</v>
      </c>
      <c r="D107" s="8" t="s">
        <v>37</v>
      </c>
      <c r="E107" s="8" t="s">
        <v>21192</v>
      </c>
      <c r="F107" s="17">
        <v>42336</v>
      </c>
      <c r="G107" s="8" t="s">
        <v>19468</v>
      </c>
      <c r="H107" s="8" t="s">
        <v>19469</v>
      </c>
      <c r="I107" s="8" t="s">
        <v>73</v>
      </c>
      <c r="J107" s="16"/>
      <c r="K107" s="2"/>
      <c r="L107" s="8" t="s">
        <v>19470</v>
      </c>
      <c r="M107" s="8" t="s">
        <v>27</v>
      </c>
      <c r="N107" s="2" t="s">
        <v>21591</v>
      </c>
      <c r="P107" s="8" t="s">
        <v>401</v>
      </c>
      <c r="Q107" s="12" t="s">
        <v>19471</v>
      </c>
      <c r="S107" s="8" t="s">
        <v>28</v>
      </c>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row>
    <row r="108" spans="1:49" s="8" customFormat="1" ht="13" customHeight="1">
      <c r="A108" s="8" t="s">
        <v>19472</v>
      </c>
      <c r="B108" s="16">
        <v>58</v>
      </c>
      <c r="C108" s="8" t="s">
        <v>20</v>
      </c>
      <c r="D108" s="8" t="s">
        <v>37</v>
      </c>
      <c r="F108" s="17">
        <v>42335</v>
      </c>
      <c r="G108" s="8" t="s">
        <v>19473</v>
      </c>
      <c r="H108" s="8" t="s">
        <v>19474</v>
      </c>
      <c r="I108" s="8" t="s">
        <v>431</v>
      </c>
      <c r="L108" s="8" t="s">
        <v>10508</v>
      </c>
      <c r="M108" s="8" t="s">
        <v>27</v>
      </c>
      <c r="N108" s="2" t="s">
        <v>21592</v>
      </c>
      <c r="P108" s="8" t="s">
        <v>401</v>
      </c>
      <c r="Q108" s="8" t="s">
        <v>19475</v>
      </c>
      <c r="S108" s="8" t="s">
        <v>28</v>
      </c>
      <c r="AU108" s="2"/>
      <c r="AV108" s="2"/>
      <c r="AW108" s="2"/>
    </row>
    <row r="109" spans="1:49" s="8" customFormat="1" ht="13" customHeight="1">
      <c r="A109" s="8" t="s">
        <v>19480</v>
      </c>
      <c r="B109" s="16">
        <v>23</v>
      </c>
      <c r="C109" s="8" t="s">
        <v>20</v>
      </c>
      <c r="D109" s="8" t="s">
        <v>37</v>
      </c>
      <c r="E109" s="8" t="s">
        <v>19692</v>
      </c>
      <c r="F109" s="17">
        <v>42333</v>
      </c>
      <c r="G109" s="8" t="s">
        <v>19481</v>
      </c>
      <c r="H109" s="8" t="s">
        <v>4209</v>
      </c>
      <c r="I109" s="8" t="s">
        <v>431</v>
      </c>
      <c r="L109" s="8" t="s">
        <v>4212</v>
      </c>
      <c r="M109" s="8" t="s">
        <v>27</v>
      </c>
      <c r="N109" s="2" t="s">
        <v>21593</v>
      </c>
      <c r="P109" s="8" t="s">
        <v>401</v>
      </c>
      <c r="Q109" s="8" t="s">
        <v>19482</v>
      </c>
      <c r="S109" s="8" t="s">
        <v>28</v>
      </c>
      <c r="AU109" s="2"/>
      <c r="AV109" s="2"/>
      <c r="AW109" s="2"/>
    </row>
    <row r="110" spans="1:49" s="8" customFormat="1" ht="13" customHeight="1">
      <c r="A110" s="8" t="s">
        <v>19476</v>
      </c>
      <c r="B110" s="16">
        <v>37</v>
      </c>
      <c r="C110" s="8" t="s">
        <v>114</v>
      </c>
      <c r="D110" s="8" t="s">
        <v>37</v>
      </c>
      <c r="E110" s="8" t="s">
        <v>19713</v>
      </c>
      <c r="F110" s="17">
        <v>42333</v>
      </c>
      <c r="G110" s="8" t="s">
        <v>19477</v>
      </c>
      <c r="H110" s="8" t="s">
        <v>13775</v>
      </c>
      <c r="I110" s="8" t="s">
        <v>431</v>
      </c>
      <c r="J110" s="16"/>
      <c r="K110" s="2"/>
      <c r="L110" s="8" t="s">
        <v>19478</v>
      </c>
      <c r="M110" s="8" t="s">
        <v>27</v>
      </c>
      <c r="N110" s="62" t="s">
        <v>21594</v>
      </c>
      <c r="P110" s="8" t="s">
        <v>401</v>
      </c>
      <c r="Q110" s="12" t="s">
        <v>19479</v>
      </c>
      <c r="S110" s="8" t="s">
        <v>28</v>
      </c>
      <c r="AI110" s="2"/>
      <c r="AJ110" s="2"/>
      <c r="AK110" s="2"/>
      <c r="AL110" s="2"/>
      <c r="AM110" s="2"/>
      <c r="AN110" s="25"/>
      <c r="AO110" s="25"/>
      <c r="AP110" s="25"/>
      <c r="AQ110" s="25"/>
      <c r="AR110" s="25"/>
      <c r="AS110" s="25"/>
      <c r="AT110" s="25"/>
      <c r="AU110" s="2"/>
      <c r="AV110" s="2"/>
      <c r="AW110" s="2"/>
    </row>
    <row r="111" spans="1:49" s="25" customFormat="1" ht="13" customHeight="1">
      <c r="A111" s="39" t="s">
        <v>21133</v>
      </c>
      <c r="B111" s="43">
        <v>26</v>
      </c>
      <c r="C111" s="39" t="s">
        <v>114</v>
      </c>
      <c r="D111" s="39" t="s">
        <v>37</v>
      </c>
      <c r="E111" s="39" t="s">
        <v>21391</v>
      </c>
      <c r="F111" s="40">
        <v>42333</v>
      </c>
      <c r="G111" s="39" t="s">
        <v>21132</v>
      </c>
      <c r="H111" s="39" t="s">
        <v>5270</v>
      </c>
      <c r="I111" s="39" t="s">
        <v>45</v>
      </c>
      <c r="J111" s="39"/>
      <c r="K111" s="39"/>
      <c r="L111" s="39" t="s">
        <v>21131</v>
      </c>
      <c r="M111" s="39" t="s">
        <v>27</v>
      </c>
      <c r="N111" s="63" t="s">
        <v>21129</v>
      </c>
      <c r="O111" s="39"/>
      <c r="P111" s="28" t="s">
        <v>401</v>
      </c>
      <c r="Q111" s="39" t="s">
        <v>21130</v>
      </c>
      <c r="R111" s="39"/>
      <c r="S111" s="39" t="s">
        <v>18</v>
      </c>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row>
    <row r="112" spans="1:49" ht="13" customHeight="1">
      <c r="A112" s="39" t="s">
        <v>15439</v>
      </c>
      <c r="B112" s="43">
        <v>26</v>
      </c>
      <c r="C112" s="39" t="s">
        <v>20</v>
      </c>
      <c r="D112" s="39" t="s">
        <v>37</v>
      </c>
      <c r="E112" s="39"/>
      <c r="F112" s="40">
        <v>42333</v>
      </c>
      <c r="G112" s="39" t="s">
        <v>21132</v>
      </c>
      <c r="H112" s="39" t="s">
        <v>5270</v>
      </c>
      <c r="I112" s="39" t="s">
        <v>45</v>
      </c>
      <c r="J112" s="39"/>
      <c r="K112" s="39"/>
      <c r="L112" s="39" t="s">
        <v>21131</v>
      </c>
      <c r="M112" s="39" t="s">
        <v>27</v>
      </c>
      <c r="N112" s="63" t="s">
        <v>21129</v>
      </c>
      <c r="O112" s="39"/>
      <c r="P112" s="28" t="s">
        <v>401</v>
      </c>
      <c r="Q112" s="39" t="s">
        <v>21130</v>
      </c>
      <c r="R112" s="39"/>
      <c r="S112" s="39" t="s">
        <v>18</v>
      </c>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row>
    <row r="113" spans="1:49" ht="13" customHeight="1">
      <c r="A113" s="8" t="s">
        <v>19483</v>
      </c>
      <c r="B113" s="16">
        <v>52</v>
      </c>
      <c r="C113" s="8" t="s">
        <v>20</v>
      </c>
      <c r="D113" s="8" t="s">
        <v>37</v>
      </c>
      <c r="F113" s="17">
        <v>42333</v>
      </c>
      <c r="G113" s="8" t="s">
        <v>19484</v>
      </c>
      <c r="H113" s="8" t="s">
        <v>2174</v>
      </c>
      <c r="I113" s="8" t="s">
        <v>123</v>
      </c>
      <c r="J113" s="8"/>
      <c r="K113" s="8"/>
      <c r="L113" s="8" t="s">
        <v>19485</v>
      </c>
      <c r="M113" s="8" t="s">
        <v>27</v>
      </c>
      <c r="N113" s="2" t="s">
        <v>21512</v>
      </c>
      <c r="P113" s="8" t="s">
        <v>401</v>
      </c>
      <c r="Q113" s="8" t="s">
        <v>19486</v>
      </c>
      <c r="S113" s="8" t="s">
        <v>35</v>
      </c>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row>
    <row r="114" spans="1:49" ht="13" customHeight="1">
      <c r="A114" s="8" t="s">
        <v>19487</v>
      </c>
      <c r="B114" s="16">
        <v>24</v>
      </c>
      <c r="C114" s="8" t="s">
        <v>20</v>
      </c>
      <c r="D114" s="8" t="s">
        <v>85</v>
      </c>
      <c r="E114" s="8" t="s">
        <v>19712</v>
      </c>
      <c r="F114" s="17">
        <v>42332</v>
      </c>
      <c r="G114" s="8" t="s">
        <v>19488</v>
      </c>
      <c r="H114" s="8" t="s">
        <v>1509</v>
      </c>
      <c r="I114" s="8" t="s">
        <v>81</v>
      </c>
      <c r="L114" s="8" t="s">
        <v>1510</v>
      </c>
      <c r="M114" s="8" t="s">
        <v>27</v>
      </c>
      <c r="N114" s="2" t="s">
        <v>21595</v>
      </c>
      <c r="O114" s="8" t="s">
        <v>400</v>
      </c>
      <c r="P114" s="8" t="s">
        <v>401</v>
      </c>
      <c r="Q114" s="12" t="s">
        <v>19489</v>
      </c>
      <c r="S114" s="8" t="s">
        <v>28</v>
      </c>
      <c r="T114" s="8"/>
      <c r="U114" s="8"/>
      <c r="V114" s="8"/>
      <c r="W114" s="8"/>
      <c r="X114" s="8"/>
      <c r="AI114" s="8"/>
      <c r="AJ114" s="8"/>
      <c r="AK114" s="8"/>
      <c r="AL114" s="8"/>
      <c r="AM114" s="8"/>
    </row>
    <row r="115" spans="1:49" ht="13" customHeight="1">
      <c r="A115" s="8" t="s">
        <v>19490</v>
      </c>
      <c r="B115" s="16">
        <v>32</v>
      </c>
      <c r="C115" s="8" t="s">
        <v>20</v>
      </c>
      <c r="D115" s="8" t="s">
        <v>37</v>
      </c>
      <c r="E115" s="8" t="s">
        <v>19711</v>
      </c>
      <c r="F115" s="17">
        <v>42332</v>
      </c>
      <c r="G115" s="8" t="s">
        <v>19491</v>
      </c>
      <c r="H115" s="8" t="s">
        <v>657</v>
      </c>
      <c r="I115" s="8" t="s">
        <v>269</v>
      </c>
      <c r="L115" s="8" t="s">
        <v>571</v>
      </c>
      <c r="M115" s="8" t="s">
        <v>27</v>
      </c>
      <c r="N115" s="2" t="s">
        <v>21596</v>
      </c>
      <c r="P115" s="8" t="s">
        <v>401</v>
      </c>
      <c r="Q115" s="12" t="s">
        <v>19492</v>
      </c>
      <c r="S115" s="8" t="s">
        <v>28</v>
      </c>
      <c r="T115" s="8"/>
      <c r="U115" s="8"/>
      <c r="AU115" s="8"/>
      <c r="AV115" s="8"/>
      <c r="AW115" s="8"/>
    </row>
    <row r="116" spans="1:49" ht="13" customHeight="1">
      <c r="A116" s="8" t="s">
        <v>19493</v>
      </c>
      <c r="B116" s="16">
        <v>45</v>
      </c>
      <c r="C116" s="8" t="s">
        <v>20</v>
      </c>
      <c r="D116" s="8" t="s">
        <v>37</v>
      </c>
      <c r="E116" s="8" t="s">
        <v>19680</v>
      </c>
      <c r="F116" s="17">
        <v>42332</v>
      </c>
      <c r="G116" s="8" t="s">
        <v>19494</v>
      </c>
      <c r="H116" s="8" t="s">
        <v>19495</v>
      </c>
      <c r="I116" s="8" t="s">
        <v>133</v>
      </c>
      <c r="L116" s="8" t="s">
        <v>19496</v>
      </c>
      <c r="M116" s="8" t="s">
        <v>27</v>
      </c>
      <c r="N116" s="62" t="s">
        <v>21513</v>
      </c>
      <c r="P116" s="8" t="s">
        <v>401</v>
      </c>
      <c r="Q116" s="12" t="s">
        <v>19497</v>
      </c>
      <c r="S116" s="8" t="s">
        <v>35</v>
      </c>
      <c r="T116" s="8"/>
      <c r="U116" s="8"/>
      <c r="V116" s="8"/>
      <c r="W116" s="8"/>
      <c r="X116" s="8"/>
    </row>
    <row r="117" spans="1:49" ht="13" customHeight="1">
      <c r="A117" s="8" t="s">
        <v>19498</v>
      </c>
      <c r="B117" s="16">
        <v>49</v>
      </c>
      <c r="C117" s="8" t="s">
        <v>20</v>
      </c>
      <c r="D117" s="8" t="s">
        <v>48</v>
      </c>
      <c r="E117" s="8" t="s">
        <v>19691</v>
      </c>
      <c r="F117" s="17">
        <v>42331</v>
      </c>
      <c r="G117" s="8" t="s">
        <v>19499</v>
      </c>
      <c r="H117" s="8" t="s">
        <v>12472</v>
      </c>
      <c r="I117" s="8" t="s">
        <v>73</v>
      </c>
      <c r="L117" s="8" t="s">
        <v>12475</v>
      </c>
      <c r="M117" s="8" t="s">
        <v>27</v>
      </c>
      <c r="N117" s="62" t="s">
        <v>21597</v>
      </c>
      <c r="P117" s="8" t="s">
        <v>401</v>
      </c>
      <c r="Q117" s="12" t="s">
        <v>19500</v>
      </c>
      <c r="S117" s="8" t="s">
        <v>28</v>
      </c>
      <c r="T117" s="8"/>
      <c r="U117" s="8"/>
      <c r="V117" s="8"/>
      <c r="W117" s="8"/>
      <c r="X117" s="8"/>
      <c r="AU117" s="8"/>
      <c r="AV117" s="8"/>
      <c r="AW117" s="8"/>
    </row>
    <row r="118" spans="1:49" ht="13" customHeight="1">
      <c r="A118" s="8" t="s">
        <v>19501</v>
      </c>
      <c r="B118" s="16">
        <v>50</v>
      </c>
      <c r="C118" s="8" t="s">
        <v>20</v>
      </c>
      <c r="D118" s="8" t="s">
        <v>37</v>
      </c>
      <c r="E118" s="8" t="s">
        <v>19710</v>
      </c>
      <c r="F118" s="17">
        <v>42331</v>
      </c>
      <c r="G118" s="8" t="s">
        <v>19502</v>
      </c>
      <c r="H118" s="8" t="s">
        <v>1290</v>
      </c>
      <c r="I118" s="8" t="s">
        <v>69</v>
      </c>
      <c r="L118" s="8" t="s">
        <v>12628</v>
      </c>
      <c r="M118" s="8" t="s">
        <v>27</v>
      </c>
      <c r="N118" s="2" t="s">
        <v>21598</v>
      </c>
      <c r="P118" s="8" t="s">
        <v>401</v>
      </c>
      <c r="Q118" s="12" t="s">
        <v>19503</v>
      </c>
      <c r="S118" s="8" t="s">
        <v>28</v>
      </c>
      <c r="T118" s="8"/>
      <c r="U118" s="8"/>
      <c r="V118" s="8"/>
      <c r="W118" s="8"/>
      <c r="X118" s="8"/>
      <c r="AU118" s="8"/>
      <c r="AV118" s="8"/>
      <c r="AW118" s="8"/>
    </row>
    <row r="119" spans="1:49" ht="13" customHeight="1">
      <c r="A119" s="8" t="s">
        <v>19504</v>
      </c>
      <c r="B119" s="16">
        <v>28</v>
      </c>
      <c r="C119" s="8" t="s">
        <v>20</v>
      </c>
      <c r="D119" s="8" t="s">
        <v>48</v>
      </c>
      <c r="F119" s="17">
        <v>42330</v>
      </c>
      <c r="G119" s="8" t="s">
        <v>19505</v>
      </c>
      <c r="H119" s="8" t="s">
        <v>1301</v>
      </c>
      <c r="I119" s="8" t="s">
        <v>209</v>
      </c>
      <c r="L119" s="8" t="s">
        <v>1302</v>
      </c>
      <c r="M119" s="8" t="s">
        <v>27</v>
      </c>
      <c r="N119" s="2" t="s">
        <v>21599</v>
      </c>
      <c r="P119" s="8" t="s">
        <v>401</v>
      </c>
      <c r="Q119" s="12" t="s">
        <v>19506</v>
      </c>
      <c r="S119" s="8" t="s">
        <v>28</v>
      </c>
      <c r="T119" s="8"/>
      <c r="U119" s="8"/>
      <c r="V119" s="8"/>
      <c r="W119" s="8"/>
      <c r="X119" s="8"/>
      <c r="AU119" s="8"/>
      <c r="AV119" s="8"/>
      <c r="AW119" s="8"/>
    </row>
    <row r="120" spans="1:49" s="8" customFormat="1" ht="13" customHeight="1">
      <c r="A120" s="8" t="s">
        <v>19507</v>
      </c>
      <c r="B120" s="16">
        <v>45</v>
      </c>
      <c r="C120" s="8" t="s">
        <v>20</v>
      </c>
      <c r="D120" s="8" t="s">
        <v>37</v>
      </c>
      <c r="E120" s="8" t="s">
        <v>19709</v>
      </c>
      <c r="F120" s="17">
        <v>42330</v>
      </c>
      <c r="G120" s="8" t="s">
        <v>19508</v>
      </c>
      <c r="H120" s="8" t="s">
        <v>1615</v>
      </c>
      <c r="I120" s="8" t="s">
        <v>269</v>
      </c>
      <c r="J120" s="16"/>
      <c r="K120" s="2"/>
      <c r="L120" s="8" t="s">
        <v>7514</v>
      </c>
      <c r="M120" s="8" t="s">
        <v>27</v>
      </c>
      <c r="N120" s="2" t="s">
        <v>21600</v>
      </c>
      <c r="P120" s="8" t="s">
        <v>401</v>
      </c>
      <c r="Q120" s="12" t="s">
        <v>19509</v>
      </c>
      <c r="S120" s="8" t="s">
        <v>28</v>
      </c>
      <c r="Y120" s="2"/>
      <c r="Z120" s="2"/>
      <c r="AA120" s="2"/>
      <c r="AB120" s="2"/>
      <c r="AC120" s="2"/>
      <c r="AD120" s="2"/>
      <c r="AE120" s="2"/>
      <c r="AF120" s="2"/>
      <c r="AG120" s="2"/>
      <c r="AH120" s="2"/>
      <c r="AI120" s="2"/>
      <c r="AJ120" s="2"/>
      <c r="AK120" s="2"/>
      <c r="AL120" s="2"/>
      <c r="AM120" s="2"/>
      <c r="AN120" s="2"/>
      <c r="AO120" s="2"/>
      <c r="AP120" s="2"/>
      <c r="AQ120" s="2"/>
      <c r="AR120" s="2"/>
      <c r="AS120" s="2"/>
      <c r="AT120" s="2"/>
    </row>
    <row r="121" spans="1:49" s="8" customFormat="1" ht="13" customHeight="1">
      <c r="A121" s="8" t="s">
        <v>19510</v>
      </c>
      <c r="B121" s="16">
        <v>46</v>
      </c>
      <c r="C121" s="8" t="s">
        <v>20</v>
      </c>
      <c r="D121" s="8" t="s">
        <v>37</v>
      </c>
      <c r="E121" s="8" t="s">
        <v>19690</v>
      </c>
      <c r="F121" s="17">
        <v>42330</v>
      </c>
      <c r="G121" s="8" t="s">
        <v>19511</v>
      </c>
      <c r="H121" s="8" t="s">
        <v>415</v>
      </c>
      <c r="I121" s="8" t="s">
        <v>45</v>
      </c>
      <c r="J121" s="16"/>
      <c r="K121" s="2"/>
      <c r="L121" s="8" t="s">
        <v>416</v>
      </c>
      <c r="M121" s="8" t="s">
        <v>27</v>
      </c>
      <c r="N121" s="2" t="s">
        <v>21601</v>
      </c>
      <c r="P121" s="8" t="s">
        <v>401</v>
      </c>
      <c r="Q121" s="12" t="s">
        <v>19512</v>
      </c>
      <c r="S121" s="8" t="s">
        <v>28</v>
      </c>
      <c r="Y121" s="2"/>
      <c r="Z121" s="2"/>
      <c r="AA121" s="2"/>
      <c r="AB121" s="2"/>
      <c r="AC121" s="2"/>
      <c r="AD121" s="2"/>
      <c r="AE121" s="2"/>
      <c r="AF121" s="2"/>
      <c r="AG121" s="2"/>
      <c r="AH121" s="2"/>
      <c r="AI121" s="2"/>
      <c r="AJ121" s="2"/>
      <c r="AK121" s="2"/>
      <c r="AL121" s="2"/>
      <c r="AM121" s="2"/>
      <c r="AN121" s="2"/>
      <c r="AO121" s="2"/>
      <c r="AP121" s="2"/>
      <c r="AQ121" s="2"/>
      <c r="AR121" s="2"/>
      <c r="AS121" s="2"/>
      <c r="AT121" s="2"/>
    </row>
    <row r="122" spans="1:49" s="8" customFormat="1" ht="13" customHeight="1">
      <c r="A122" s="8" t="s">
        <v>19513</v>
      </c>
      <c r="B122" s="16">
        <v>24</v>
      </c>
      <c r="C122" s="8" t="s">
        <v>20</v>
      </c>
      <c r="D122" s="8" t="s">
        <v>37</v>
      </c>
      <c r="E122" s="8" t="s">
        <v>19686</v>
      </c>
      <c r="F122" s="17">
        <v>42329</v>
      </c>
      <c r="G122" s="8" t="s">
        <v>19514</v>
      </c>
      <c r="H122" s="8" t="s">
        <v>95</v>
      </c>
      <c r="I122" s="8" t="s">
        <v>395</v>
      </c>
      <c r="J122" s="16"/>
      <c r="K122" s="2"/>
      <c r="L122" s="8" t="s">
        <v>19515</v>
      </c>
      <c r="M122" s="8" t="s">
        <v>27</v>
      </c>
      <c r="N122" s="2"/>
      <c r="P122" s="8" t="s">
        <v>401</v>
      </c>
      <c r="Q122" s="12" t="s">
        <v>19516</v>
      </c>
      <c r="S122" s="8" t="s">
        <v>18</v>
      </c>
      <c r="Y122" s="2"/>
      <c r="Z122" s="2"/>
      <c r="AA122" s="2"/>
      <c r="AB122" s="2"/>
      <c r="AC122" s="2"/>
      <c r="AD122" s="2"/>
      <c r="AE122" s="2"/>
      <c r="AF122" s="2"/>
      <c r="AG122" s="2"/>
      <c r="AH122" s="2"/>
      <c r="AI122" s="2"/>
      <c r="AJ122" s="2"/>
      <c r="AK122" s="2"/>
      <c r="AL122" s="2"/>
      <c r="AM122" s="2"/>
      <c r="AN122" s="2"/>
      <c r="AO122" s="2"/>
      <c r="AP122" s="2"/>
      <c r="AQ122" s="2"/>
      <c r="AR122" s="2"/>
      <c r="AS122" s="2"/>
      <c r="AT122" s="2"/>
    </row>
    <row r="123" spans="1:49" s="8" customFormat="1" ht="13" customHeight="1">
      <c r="A123" s="8" t="s">
        <v>19129</v>
      </c>
      <c r="B123" s="16" t="s">
        <v>29</v>
      </c>
      <c r="C123" s="8" t="s">
        <v>20</v>
      </c>
      <c r="D123" s="8" t="s">
        <v>30</v>
      </c>
      <c r="F123" s="17">
        <v>42328</v>
      </c>
      <c r="G123" s="8" t="s">
        <v>19517</v>
      </c>
      <c r="H123" s="8" t="s">
        <v>415</v>
      </c>
      <c r="I123" s="8" t="s">
        <v>45</v>
      </c>
      <c r="J123" s="16"/>
      <c r="K123" s="2"/>
      <c r="L123" s="8" t="s">
        <v>416</v>
      </c>
      <c r="M123" s="8" t="s">
        <v>27</v>
      </c>
      <c r="N123" s="2"/>
      <c r="P123" s="8" t="s">
        <v>401</v>
      </c>
      <c r="Q123" s="12" t="s">
        <v>19518</v>
      </c>
      <c r="S123" s="8" t="s">
        <v>28</v>
      </c>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spans="1:49" s="8" customFormat="1" ht="13" customHeight="1">
      <c r="A124" s="8" t="s">
        <v>19524</v>
      </c>
      <c r="B124" s="16">
        <v>39</v>
      </c>
      <c r="C124" s="8" t="s">
        <v>20</v>
      </c>
      <c r="D124" s="8" t="s">
        <v>37</v>
      </c>
      <c r="E124" s="8" t="s">
        <v>19708</v>
      </c>
      <c r="F124" s="17">
        <v>42328</v>
      </c>
      <c r="G124" s="8" t="s">
        <v>19525</v>
      </c>
      <c r="H124" s="8" t="s">
        <v>285</v>
      </c>
      <c r="I124" s="8" t="s">
        <v>173</v>
      </c>
      <c r="J124" s="16"/>
      <c r="K124" s="2"/>
      <c r="L124" s="8" t="s">
        <v>19526</v>
      </c>
      <c r="M124" s="8" t="s">
        <v>27</v>
      </c>
      <c r="N124" s="2" t="s">
        <v>21602</v>
      </c>
      <c r="P124" s="8" t="s">
        <v>401</v>
      </c>
      <c r="Q124" s="12" t="s">
        <v>19527</v>
      </c>
      <c r="S124" s="8" t="s">
        <v>28</v>
      </c>
      <c r="Y124" s="2"/>
      <c r="Z124" s="2"/>
      <c r="AA124" s="2"/>
      <c r="AB124" s="2"/>
      <c r="AC124" s="2"/>
      <c r="AD124" s="2"/>
      <c r="AE124" s="2"/>
      <c r="AF124" s="2"/>
      <c r="AG124" s="2"/>
      <c r="AH124" s="2"/>
      <c r="AI124" s="2"/>
      <c r="AJ124" s="2"/>
      <c r="AK124" s="2"/>
      <c r="AL124" s="2"/>
      <c r="AM124" s="2"/>
      <c r="AN124" s="2"/>
      <c r="AO124" s="2"/>
      <c r="AP124" s="2"/>
      <c r="AQ124" s="2"/>
      <c r="AR124" s="2"/>
      <c r="AS124" s="2"/>
      <c r="AT124" s="2"/>
    </row>
    <row r="125" spans="1:49" s="8" customFormat="1" ht="13" customHeight="1">
      <c r="A125" s="8" t="s">
        <v>19519</v>
      </c>
      <c r="B125" s="16">
        <v>32</v>
      </c>
      <c r="C125" s="8" t="s">
        <v>20</v>
      </c>
      <c r="D125" s="8" t="s">
        <v>37</v>
      </c>
      <c r="E125" s="8" t="s">
        <v>19685</v>
      </c>
      <c r="F125" s="17">
        <v>42328</v>
      </c>
      <c r="G125" s="8" t="s">
        <v>19520</v>
      </c>
      <c r="H125" s="8" t="s">
        <v>19521</v>
      </c>
      <c r="I125" s="8" t="s">
        <v>173</v>
      </c>
      <c r="J125" s="16"/>
      <c r="K125" s="2"/>
      <c r="L125" s="8" t="s">
        <v>19522</v>
      </c>
      <c r="M125" s="8" t="s">
        <v>391</v>
      </c>
      <c r="N125" s="2"/>
      <c r="P125" s="8" t="s">
        <v>401</v>
      </c>
      <c r="Q125" s="12" t="s">
        <v>19523</v>
      </c>
      <c r="S125" s="8" t="s">
        <v>18</v>
      </c>
      <c r="Y125" s="2"/>
      <c r="Z125" s="2"/>
      <c r="AA125" s="2"/>
      <c r="AB125" s="2"/>
      <c r="AC125" s="2"/>
      <c r="AD125" s="2"/>
      <c r="AE125" s="2"/>
      <c r="AF125" s="2"/>
      <c r="AG125" s="2"/>
      <c r="AH125" s="2"/>
      <c r="AI125" s="2"/>
      <c r="AJ125" s="2"/>
      <c r="AK125" s="2"/>
      <c r="AL125" s="2"/>
      <c r="AM125" s="2"/>
      <c r="AN125" s="2"/>
      <c r="AO125" s="2"/>
      <c r="AP125" s="2"/>
      <c r="AQ125" s="2"/>
      <c r="AR125" s="2"/>
      <c r="AS125" s="2"/>
      <c r="AT125" s="2"/>
    </row>
    <row r="126" spans="1:49" s="8" customFormat="1" ht="13" customHeight="1">
      <c r="A126" s="8" t="s">
        <v>19401</v>
      </c>
      <c r="B126" s="16">
        <v>27</v>
      </c>
      <c r="C126" s="8" t="s">
        <v>20</v>
      </c>
      <c r="D126" s="8" t="s">
        <v>85</v>
      </c>
      <c r="E126" s="8" t="s">
        <v>19402</v>
      </c>
      <c r="F126" s="17">
        <v>42327</v>
      </c>
      <c r="G126" s="8" t="s">
        <v>19403</v>
      </c>
      <c r="H126" s="8" t="s">
        <v>3256</v>
      </c>
      <c r="I126" s="8" t="s">
        <v>62</v>
      </c>
      <c r="J126" s="16" t="s">
        <v>19404</v>
      </c>
      <c r="K126" s="2" t="s">
        <v>3258</v>
      </c>
      <c r="L126" s="8" t="s">
        <v>19405</v>
      </c>
      <c r="M126" s="8" t="s">
        <v>27</v>
      </c>
      <c r="N126" s="2" t="s">
        <v>19406</v>
      </c>
      <c r="O126" s="8" t="s">
        <v>400</v>
      </c>
      <c r="P126" s="8" t="s">
        <v>401</v>
      </c>
      <c r="Q126" s="12" t="s">
        <v>19407</v>
      </c>
      <c r="R126" s="8" t="s">
        <v>100</v>
      </c>
      <c r="S126" s="8" t="s">
        <v>28</v>
      </c>
      <c r="AN126" s="2"/>
      <c r="AO126" s="2"/>
      <c r="AP126" s="2"/>
      <c r="AQ126" s="2"/>
      <c r="AR126" s="2"/>
      <c r="AS126" s="2"/>
      <c r="AT126" s="2"/>
    </row>
    <row r="127" spans="1:49" s="8" customFormat="1" ht="13" customHeight="1">
      <c r="A127" s="8" t="s">
        <v>19396</v>
      </c>
      <c r="B127" s="16">
        <v>34</v>
      </c>
      <c r="C127" s="8" t="s">
        <v>20</v>
      </c>
      <c r="D127" s="8" t="s">
        <v>85</v>
      </c>
      <c r="E127" s="8" t="s">
        <v>19397</v>
      </c>
      <c r="F127" s="17">
        <v>42327</v>
      </c>
      <c r="G127" s="8" t="s">
        <v>19398</v>
      </c>
      <c r="H127" s="8" t="s">
        <v>3593</v>
      </c>
      <c r="I127" s="8" t="s">
        <v>62</v>
      </c>
      <c r="J127" s="16" t="s">
        <v>7593</v>
      </c>
      <c r="K127" s="2" t="s">
        <v>3595</v>
      </c>
      <c r="L127" s="8" t="s">
        <v>3596</v>
      </c>
      <c r="M127" s="8" t="s">
        <v>27</v>
      </c>
      <c r="N127" s="2" t="s">
        <v>19399</v>
      </c>
      <c r="O127" s="8" t="s">
        <v>400</v>
      </c>
      <c r="P127" s="8" t="s">
        <v>401</v>
      </c>
      <c r="Q127" s="12" t="s">
        <v>19400</v>
      </c>
      <c r="R127" s="8" t="s">
        <v>29</v>
      </c>
      <c r="S127" s="8" t="s">
        <v>28</v>
      </c>
      <c r="Y127" s="2"/>
      <c r="Z127" s="2"/>
      <c r="AA127" s="2"/>
      <c r="AB127" s="2"/>
      <c r="AC127" s="2"/>
      <c r="AD127" s="2"/>
      <c r="AE127" s="2"/>
      <c r="AF127" s="2"/>
      <c r="AG127" s="2"/>
      <c r="AH127" s="2"/>
      <c r="AN127" s="2"/>
      <c r="AO127" s="2"/>
      <c r="AP127" s="2"/>
      <c r="AQ127" s="2"/>
      <c r="AR127" s="2"/>
      <c r="AS127" s="2"/>
      <c r="AT127" s="2"/>
    </row>
    <row r="128" spans="1:49" s="8" customFormat="1" ht="13" customHeight="1">
      <c r="A128" s="8" t="s">
        <v>19413</v>
      </c>
      <c r="B128" s="16">
        <v>34</v>
      </c>
      <c r="C128" s="8" t="s">
        <v>20</v>
      </c>
      <c r="D128" s="8" t="s">
        <v>85</v>
      </c>
      <c r="E128" s="8" t="s">
        <v>19689</v>
      </c>
      <c r="F128" s="17">
        <v>42327</v>
      </c>
      <c r="G128" s="8" t="s">
        <v>19414</v>
      </c>
      <c r="H128" s="8" t="s">
        <v>118</v>
      </c>
      <c r="I128" s="8" t="s">
        <v>3685</v>
      </c>
      <c r="J128" s="16" t="s">
        <v>10706</v>
      </c>
      <c r="K128" s="2" t="s">
        <v>3687</v>
      </c>
      <c r="L128" s="8" t="s">
        <v>19723</v>
      </c>
      <c r="M128" s="8" t="s">
        <v>27</v>
      </c>
      <c r="N128" s="2" t="s">
        <v>19415</v>
      </c>
      <c r="O128" s="8" t="s">
        <v>400</v>
      </c>
      <c r="P128" s="8" t="s">
        <v>401</v>
      </c>
      <c r="Q128" s="12" t="s">
        <v>19416</v>
      </c>
      <c r="R128" s="8" t="s">
        <v>29</v>
      </c>
      <c r="S128" s="8" t="s">
        <v>28</v>
      </c>
      <c r="Y128" s="2"/>
      <c r="Z128" s="2"/>
      <c r="AA128" s="2"/>
      <c r="AB128" s="2"/>
      <c r="AC128" s="2"/>
      <c r="AD128" s="2"/>
      <c r="AE128" s="2"/>
      <c r="AF128" s="2"/>
      <c r="AG128" s="2"/>
      <c r="AH128" s="2"/>
      <c r="AN128" s="2"/>
      <c r="AO128" s="2"/>
      <c r="AP128" s="2"/>
      <c r="AQ128" s="2"/>
      <c r="AR128" s="2"/>
      <c r="AS128" s="2"/>
      <c r="AT128" s="2"/>
    </row>
    <row r="129" spans="1:49" s="8" customFormat="1" ht="13" customHeight="1">
      <c r="A129" s="8" t="s">
        <v>19408</v>
      </c>
      <c r="B129" s="16">
        <v>29</v>
      </c>
      <c r="C129" s="8" t="s">
        <v>20</v>
      </c>
      <c r="D129" s="8" t="s">
        <v>85</v>
      </c>
      <c r="F129" s="17">
        <v>42327</v>
      </c>
      <c r="G129" s="8" t="s">
        <v>19409</v>
      </c>
      <c r="H129" s="8" t="s">
        <v>348</v>
      </c>
      <c r="I129" s="8" t="s">
        <v>45</v>
      </c>
      <c r="J129" s="16" t="s">
        <v>19410</v>
      </c>
      <c r="K129" s="2" t="s">
        <v>309</v>
      </c>
      <c r="L129" s="8" t="s">
        <v>12151</v>
      </c>
      <c r="M129" s="8" t="s">
        <v>27</v>
      </c>
      <c r="N129" s="2" t="s">
        <v>19411</v>
      </c>
      <c r="O129" s="8" t="s">
        <v>400</v>
      </c>
      <c r="P129" s="8" t="s">
        <v>401</v>
      </c>
      <c r="Q129" s="12" t="s">
        <v>19412</v>
      </c>
      <c r="R129" s="8" t="s">
        <v>29</v>
      </c>
      <c r="S129" s="8" t="s">
        <v>18</v>
      </c>
      <c r="Y129" s="2"/>
      <c r="Z129" s="2"/>
      <c r="AA129" s="2"/>
      <c r="AB129" s="2"/>
      <c r="AC129" s="2"/>
      <c r="AD129" s="2"/>
      <c r="AE129" s="2"/>
      <c r="AF129" s="2"/>
      <c r="AG129" s="2"/>
      <c r="AH129" s="2"/>
      <c r="AN129" s="2"/>
      <c r="AO129" s="2"/>
      <c r="AP129" s="2"/>
      <c r="AQ129" s="2"/>
      <c r="AR129" s="2"/>
      <c r="AS129" s="2"/>
      <c r="AT129" s="2"/>
    </row>
    <row r="130" spans="1:49" s="8" customFormat="1" ht="13" customHeight="1">
      <c r="A130" s="8" t="s">
        <v>21194</v>
      </c>
      <c r="B130" s="16">
        <v>54</v>
      </c>
      <c r="C130" s="8" t="s">
        <v>114</v>
      </c>
      <c r="D130" s="8" t="s">
        <v>30</v>
      </c>
      <c r="F130" s="17">
        <v>42327</v>
      </c>
      <c r="G130" s="8" t="s">
        <v>19528</v>
      </c>
      <c r="H130" s="8" t="s">
        <v>3209</v>
      </c>
      <c r="I130" s="8" t="s">
        <v>117</v>
      </c>
      <c r="J130" s="16"/>
      <c r="K130" s="2"/>
      <c r="L130" s="8" t="s">
        <v>19529</v>
      </c>
      <c r="M130" s="8" t="s">
        <v>379</v>
      </c>
      <c r="N130" s="2"/>
      <c r="P130" s="8" t="s">
        <v>401</v>
      </c>
      <c r="Q130" s="12" t="s">
        <v>19530</v>
      </c>
      <c r="S130" s="8" t="s">
        <v>18</v>
      </c>
      <c r="Y130" s="2"/>
      <c r="Z130" s="2"/>
      <c r="AA130" s="2"/>
      <c r="AB130" s="2"/>
      <c r="AC130" s="2"/>
      <c r="AD130" s="2"/>
      <c r="AE130" s="2"/>
      <c r="AF130" s="2"/>
      <c r="AG130" s="2"/>
      <c r="AH130" s="2"/>
      <c r="AI130" s="2"/>
      <c r="AJ130" s="2"/>
      <c r="AK130" s="2"/>
      <c r="AL130" s="2"/>
      <c r="AM130" s="2"/>
      <c r="AN130" s="2"/>
      <c r="AO130" s="2"/>
      <c r="AP130" s="2"/>
      <c r="AQ130" s="2"/>
      <c r="AR130" s="2"/>
      <c r="AS130" s="2"/>
      <c r="AT130" s="2"/>
    </row>
    <row r="131" spans="1:49" s="8" customFormat="1" ht="13" customHeight="1">
      <c r="A131" s="8" t="s">
        <v>20811</v>
      </c>
      <c r="B131" s="16">
        <v>30</v>
      </c>
      <c r="C131" s="8" t="s">
        <v>114</v>
      </c>
      <c r="D131" s="8" t="s">
        <v>85</v>
      </c>
      <c r="E131" s="8" t="s">
        <v>20812</v>
      </c>
      <c r="F131" s="17">
        <v>42326</v>
      </c>
      <c r="G131" s="8" t="s">
        <v>20813</v>
      </c>
      <c r="H131" s="8" t="s">
        <v>2348</v>
      </c>
      <c r="I131" s="8" t="s">
        <v>217</v>
      </c>
      <c r="J131" s="16"/>
      <c r="K131" s="2"/>
      <c r="L131" s="8" t="s">
        <v>11587</v>
      </c>
      <c r="M131" s="8" t="s">
        <v>27</v>
      </c>
      <c r="N131" s="2" t="s">
        <v>20822</v>
      </c>
      <c r="O131" s="8" t="s">
        <v>1161</v>
      </c>
      <c r="P131" s="8" t="s">
        <v>1162</v>
      </c>
      <c r="Q131" s="12" t="s">
        <v>20814</v>
      </c>
      <c r="R131" s="8" t="s">
        <v>100</v>
      </c>
      <c r="S131" s="8" t="s">
        <v>18</v>
      </c>
      <c r="T131" s="7"/>
      <c r="U131" s="41"/>
      <c r="X131" s="41"/>
      <c r="Y131" s="41"/>
      <c r="AK131" s="2"/>
      <c r="AL131" s="2"/>
      <c r="AM131" s="2"/>
      <c r="AN131" s="2"/>
      <c r="AO131" s="2"/>
      <c r="AP131" s="2"/>
      <c r="AQ131" s="2"/>
      <c r="AR131" s="2"/>
      <c r="AS131" s="2"/>
      <c r="AT131" s="2"/>
      <c r="AU131" s="2"/>
      <c r="AV131" s="2"/>
      <c r="AW131" s="2"/>
    </row>
    <row r="132" spans="1:49" s="8" customFormat="1" ht="13" customHeight="1">
      <c r="A132" s="8" t="s">
        <v>19390</v>
      </c>
      <c r="B132" s="16">
        <v>44</v>
      </c>
      <c r="C132" s="8" t="s">
        <v>20</v>
      </c>
      <c r="D132" s="8" t="s">
        <v>85</v>
      </c>
      <c r="E132" s="8" t="s">
        <v>19391</v>
      </c>
      <c r="F132" s="17">
        <v>42326</v>
      </c>
      <c r="G132" s="8" t="s">
        <v>19392</v>
      </c>
      <c r="H132" s="8" t="s">
        <v>291</v>
      </c>
      <c r="I132" s="8" t="s">
        <v>57</v>
      </c>
      <c r="J132" s="16" t="s">
        <v>19393</v>
      </c>
      <c r="K132" s="2" t="s">
        <v>10176</v>
      </c>
      <c r="L132" s="8" t="s">
        <v>3978</v>
      </c>
      <c r="M132" s="8" t="s">
        <v>27</v>
      </c>
      <c r="N132" s="2" t="s">
        <v>19394</v>
      </c>
      <c r="O132" s="8" t="s">
        <v>1013</v>
      </c>
      <c r="P132" s="8" t="s">
        <v>401</v>
      </c>
      <c r="Q132" s="12" t="s">
        <v>19395</v>
      </c>
      <c r="R132" s="8" t="s">
        <v>29</v>
      </c>
      <c r="S132" s="8" t="s">
        <v>28</v>
      </c>
      <c r="Y132" s="2"/>
      <c r="Z132" s="2"/>
      <c r="AA132" s="2"/>
      <c r="AB132" s="2"/>
      <c r="AC132" s="2"/>
      <c r="AD132" s="2"/>
      <c r="AE132" s="2"/>
      <c r="AF132" s="2"/>
      <c r="AG132" s="2"/>
      <c r="AH132" s="2"/>
      <c r="AN132" s="2"/>
      <c r="AO132" s="2"/>
      <c r="AP132" s="2"/>
      <c r="AQ132" s="2"/>
      <c r="AR132" s="2"/>
      <c r="AS132" s="2"/>
      <c r="AT132" s="2"/>
    </row>
    <row r="133" spans="1:49" s="8" customFormat="1" ht="13" customHeight="1">
      <c r="A133" s="8" t="s">
        <v>19383</v>
      </c>
      <c r="B133" s="16">
        <v>25</v>
      </c>
      <c r="C133" s="8" t="s">
        <v>20</v>
      </c>
      <c r="D133" s="8" t="s">
        <v>85</v>
      </c>
      <c r="E133" s="8" t="s">
        <v>19384</v>
      </c>
      <c r="F133" s="17">
        <v>42326</v>
      </c>
      <c r="G133" s="8" t="s">
        <v>19385</v>
      </c>
      <c r="H133" s="8" t="s">
        <v>19386</v>
      </c>
      <c r="I133" s="8" t="s">
        <v>62</v>
      </c>
      <c r="J133" s="16" t="s">
        <v>19387</v>
      </c>
      <c r="K133" s="2" t="s">
        <v>161</v>
      </c>
      <c r="L133" s="8" t="s">
        <v>17642</v>
      </c>
      <c r="M133" s="8" t="s">
        <v>27</v>
      </c>
      <c r="N133" s="2" t="s">
        <v>19388</v>
      </c>
      <c r="O133" s="8" t="s">
        <v>400</v>
      </c>
      <c r="P133" s="8" t="s">
        <v>401</v>
      </c>
      <c r="Q133" s="12" t="s">
        <v>19389</v>
      </c>
      <c r="R133" s="8" t="s">
        <v>29</v>
      </c>
      <c r="S133" s="8" t="s">
        <v>18</v>
      </c>
      <c r="Y133" s="2"/>
      <c r="Z133" s="2"/>
      <c r="AA133" s="2"/>
      <c r="AB133" s="2"/>
      <c r="AC133" s="2"/>
      <c r="AD133" s="2"/>
      <c r="AE133" s="2"/>
      <c r="AF133" s="2"/>
      <c r="AG133" s="2"/>
      <c r="AH133" s="2"/>
      <c r="AN133" s="2"/>
      <c r="AO133" s="2"/>
      <c r="AP133" s="2"/>
      <c r="AQ133" s="2"/>
      <c r="AR133" s="2"/>
      <c r="AS133" s="2"/>
      <c r="AT133" s="2"/>
    </row>
    <row r="134" spans="1:49" s="8" customFormat="1" ht="13" customHeight="1">
      <c r="A134" s="8" t="s">
        <v>19365</v>
      </c>
      <c r="B134" s="16">
        <v>21</v>
      </c>
      <c r="C134" s="8" t="s">
        <v>20</v>
      </c>
      <c r="D134" s="8" t="s">
        <v>85</v>
      </c>
      <c r="E134" s="8" t="s">
        <v>19366</v>
      </c>
      <c r="F134" s="17">
        <v>42325</v>
      </c>
      <c r="G134" s="8" t="s">
        <v>19367</v>
      </c>
      <c r="H134" s="8" t="s">
        <v>19368</v>
      </c>
      <c r="I134" s="8" t="s">
        <v>32</v>
      </c>
      <c r="J134" s="16" t="s">
        <v>19369</v>
      </c>
      <c r="K134" s="2" t="s">
        <v>1010</v>
      </c>
      <c r="L134" s="8" t="s">
        <v>19370</v>
      </c>
      <c r="M134" s="8" t="s">
        <v>27</v>
      </c>
      <c r="N134" s="2" t="s">
        <v>19371</v>
      </c>
      <c r="O134" s="8" t="s">
        <v>4714</v>
      </c>
      <c r="P134" s="8" t="s">
        <v>401</v>
      </c>
      <c r="Q134" s="12" t="s">
        <v>19372</v>
      </c>
      <c r="R134" s="8" t="s">
        <v>555</v>
      </c>
      <c r="S134" s="8" t="s">
        <v>28</v>
      </c>
      <c r="Y134" s="2"/>
      <c r="Z134" s="2"/>
      <c r="AA134" s="2"/>
      <c r="AB134" s="2"/>
      <c r="AC134" s="2"/>
      <c r="AD134" s="2"/>
      <c r="AE134" s="2"/>
      <c r="AF134" s="2"/>
      <c r="AG134" s="2"/>
      <c r="AH134" s="2"/>
      <c r="AN134" s="2"/>
      <c r="AO134" s="2"/>
      <c r="AP134" s="2"/>
      <c r="AQ134" s="2"/>
      <c r="AR134" s="2"/>
      <c r="AS134" s="2"/>
      <c r="AT134" s="2"/>
    </row>
    <row r="135" spans="1:49" ht="13" customHeight="1">
      <c r="A135" s="8" t="s">
        <v>19378</v>
      </c>
      <c r="B135" s="16">
        <v>28</v>
      </c>
      <c r="C135" s="8" t="s">
        <v>20</v>
      </c>
      <c r="D135" s="8" t="s">
        <v>85</v>
      </c>
      <c r="E135" s="8" t="s">
        <v>19379</v>
      </c>
      <c r="F135" s="17">
        <v>42325</v>
      </c>
      <c r="G135" s="8" t="s">
        <v>19380</v>
      </c>
      <c r="H135" s="8" t="s">
        <v>213</v>
      </c>
      <c r="I135" s="8" t="s">
        <v>62</v>
      </c>
      <c r="J135" s="16" t="s">
        <v>11455</v>
      </c>
      <c r="K135" s="2" t="s">
        <v>161</v>
      </c>
      <c r="L135" s="8" t="s">
        <v>162</v>
      </c>
      <c r="M135" s="8" t="s">
        <v>27</v>
      </c>
      <c r="N135" s="2" t="s">
        <v>19381</v>
      </c>
      <c r="O135" s="8" t="s">
        <v>4714</v>
      </c>
      <c r="P135" s="8" t="s">
        <v>401</v>
      </c>
      <c r="Q135" s="12" t="s">
        <v>19382</v>
      </c>
      <c r="R135" s="8" t="s">
        <v>100</v>
      </c>
      <c r="S135" s="8" t="s">
        <v>28</v>
      </c>
      <c r="T135" s="8"/>
      <c r="U135" s="8"/>
      <c r="V135" s="8"/>
      <c r="W135" s="8"/>
      <c r="X135" s="8"/>
      <c r="AI135" s="8"/>
      <c r="AJ135" s="8"/>
      <c r="AK135" s="8"/>
      <c r="AL135" s="8"/>
      <c r="AM135" s="8"/>
      <c r="AU135" s="8"/>
      <c r="AV135" s="8"/>
      <c r="AW135" s="8"/>
    </row>
    <row r="136" spans="1:49" ht="13" customHeight="1">
      <c r="A136" s="8" t="s">
        <v>19373</v>
      </c>
      <c r="B136" s="16">
        <v>30</v>
      </c>
      <c r="C136" s="8" t="s">
        <v>20</v>
      </c>
      <c r="D136" s="8" t="s">
        <v>85</v>
      </c>
      <c r="E136" s="8" t="s">
        <v>19374</v>
      </c>
      <c r="F136" s="17">
        <v>42325</v>
      </c>
      <c r="G136" s="8" t="s">
        <v>19375</v>
      </c>
      <c r="H136" s="8" t="s">
        <v>726</v>
      </c>
      <c r="I136" s="8" t="s">
        <v>73</v>
      </c>
      <c r="J136" s="16" t="s">
        <v>11296</v>
      </c>
      <c r="K136" s="2" t="s">
        <v>558</v>
      </c>
      <c r="L136" s="8" t="s">
        <v>559</v>
      </c>
      <c r="M136" s="8" t="s">
        <v>27</v>
      </c>
      <c r="N136" s="2" t="s">
        <v>19376</v>
      </c>
      <c r="O136" s="8" t="s">
        <v>4714</v>
      </c>
      <c r="P136" s="8" t="s">
        <v>401</v>
      </c>
      <c r="Q136" s="12" t="s">
        <v>19377</v>
      </c>
      <c r="R136" s="8" t="s">
        <v>29</v>
      </c>
      <c r="S136" s="8" t="s">
        <v>28</v>
      </c>
      <c r="T136" s="8"/>
      <c r="U136" s="8"/>
      <c r="V136" s="8"/>
      <c r="W136" s="8"/>
      <c r="X136" s="8"/>
      <c r="AI136" s="8"/>
      <c r="AJ136" s="8"/>
      <c r="AK136" s="8"/>
      <c r="AL136" s="8"/>
      <c r="AM136" s="8"/>
      <c r="AU136" s="8"/>
      <c r="AV136" s="8"/>
      <c r="AW136" s="8"/>
    </row>
    <row r="137" spans="1:49" ht="13" customHeight="1">
      <c r="A137" s="8" t="s">
        <v>19426</v>
      </c>
      <c r="B137" s="16">
        <v>48</v>
      </c>
      <c r="C137" s="8" t="s">
        <v>114</v>
      </c>
      <c r="D137" s="8" t="s">
        <v>85</v>
      </c>
      <c r="E137" s="8" t="s">
        <v>19427</v>
      </c>
      <c r="F137" s="17">
        <v>42325</v>
      </c>
      <c r="G137" s="8" t="s">
        <v>19428</v>
      </c>
      <c r="H137" s="8" t="s">
        <v>430</v>
      </c>
      <c r="I137" s="8" t="s">
        <v>431</v>
      </c>
      <c r="J137" s="16">
        <v>64132</v>
      </c>
      <c r="K137" s="2" t="s">
        <v>433</v>
      </c>
      <c r="L137" s="8" t="s">
        <v>434</v>
      </c>
      <c r="M137" s="8" t="s">
        <v>379</v>
      </c>
      <c r="N137" s="2" t="s">
        <v>19429</v>
      </c>
      <c r="O137" s="8" t="s">
        <v>400</v>
      </c>
      <c r="P137" s="8" t="s">
        <v>401</v>
      </c>
      <c r="Q137" s="12" t="s">
        <v>19430</v>
      </c>
      <c r="R137" s="8" t="s">
        <v>100</v>
      </c>
      <c r="S137" s="8" t="s">
        <v>18</v>
      </c>
      <c r="T137" s="8"/>
      <c r="U137" s="8"/>
      <c r="AI137" s="8"/>
      <c r="AJ137" s="8"/>
      <c r="AK137" s="8"/>
      <c r="AL137" s="8"/>
      <c r="AM137" s="8"/>
      <c r="AU137" s="8"/>
      <c r="AV137" s="8"/>
      <c r="AW137" s="8"/>
    </row>
    <row r="138" spans="1:49" ht="13" customHeight="1">
      <c r="A138" s="8" t="s">
        <v>19534</v>
      </c>
      <c r="B138" s="16">
        <v>47</v>
      </c>
      <c r="C138" s="8" t="s">
        <v>20</v>
      </c>
      <c r="D138" s="8" t="s">
        <v>37</v>
      </c>
      <c r="E138" s="8" t="s">
        <v>19688</v>
      </c>
      <c r="F138" s="17">
        <v>42325</v>
      </c>
      <c r="G138" s="8" t="s">
        <v>19535</v>
      </c>
      <c r="H138" s="8" t="s">
        <v>19536</v>
      </c>
      <c r="I138" s="8" t="s">
        <v>81</v>
      </c>
      <c r="L138" s="8" t="s">
        <v>19537</v>
      </c>
      <c r="M138" s="8" t="s">
        <v>27</v>
      </c>
      <c r="N138" s="2" t="s">
        <v>21603</v>
      </c>
      <c r="P138" s="8" t="s">
        <v>401</v>
      </c>
      <c r="Q138" s="12" t="s">
        <v>19538</v>
      </c>
      <c r="S138" s="8" t="s">
        <v>28</v>
      </c>
      <c r="T138" s="8"/>
      <c r="U138" s="8"/>
      <c r="V138" s="8"/>
      <c r="W138" s="8"/>
      <c r="X138" s="8"/>
      <c r="AN138" s="8"/>
      <c r="AO138" s="8"/>
      <c r="AP138" s="8"/>
      <c r="AQ138" s="8"/>
      <c r="AR138" s="8"/>
      <c r="AS138" s="8"/>
      <c r="AT138" s="8"/>
      <c r="AU138" s="8"/>
      <c r="AV138" s="8"/>
      <c r="AW138" s="8"/>
    </row>
    <row r="139" spans="1:49" s="8" customFormat="1" ht="13" customHeight="1">
      <c r="A139" s="8" t="s">
        <v>19531</v>
      </c>
      <c r="B139" s="16">
        <v>41</v>
      </c>
      <c r="C139" s="8" t="s">
        <v>20</v>
      </c>
      <c r="D139" s="8" t="s">
        <v>37</v>
      </c>
      <c r="F139" s="17">
        <v>42325</v>
      </c>
      <c r="G139" s="8" t="s">
        <v>19532</v>
      </c>
      <c r="H139" s="8" t="s">
        <v>1624</v>
      </c>
      <c r="I139" s="8" t="s">
        <v>73</v>
      </c>
      <c r="J139" s="16"/>
      <c r="K139" s="2"/>
      <c r="L139" s="8" t="s">
        <v>1627</v>
      </c>
      <c r="M139" s="8" t="s">
        <v>27</v>
      </c>
      <c r="N139" s="2"/>
      <c r="P139" s="8" t="s">
        <v>401</v>
      </c>
      <c r="Q139" s="12" t="s">
        <v>19533</v>
      </c>
      <c r="S139" s="8" t="s">
        <v>18</v>
      </c>
      <c r="Y139" s="2"/>
      <c r="Z139" s="2"/>
      <c r="AA139" s="2"/>
      <c r="AB139" s="2"/>
      <c r="AC139" s="2"/>
      <c r="AD139" s="2"/>
      <c r="AE139" s="2"/>
      <c r="AF139" s="2"/>
      <c r="AG139" s="2"/>
      <c r="AH139" s="2"/>
      <c r="AI139" s="2"/>
      <c r="AJ139" s="2"/>
      <c r="AK139" s="2"/>
      <c r="AL139" s="2"/>
      <c r="AM139" s="2"/>
    </row>
    <row r="140" spans="1:49" s="8" customFormat="1" ht="13" customHeight="1">
      <c r="A140" s="8" t="s">
        <v>19539</v>
      </c>
      <c r="B140" s="16">
        <v>58</v>
      </c>
      <c r="C140" s="8" t="s">
        <v>20</v>
      </c>
      <c r="D140" s="8" t="s">
        <v>37</v>
      </c>
      <c r="F140" s="17">
        <v>42325</v>
      </c>
      <c r="G140" s="8" t="s">
        <v>19540</v>
      </c>
      <c r="H140" s="8" t="s">
        <v>846</v>
      </c>
      <c r="I140" s="8" t="s">
        <v>173</v>
      </c>
      <c r="J140" s="16"/>
      <c r="K140" s="2"/>
      <c r="L140" s="8" t="s">
        <v>19541</v>
      </c>
      <c r="M140" s="8" t="s">
        <v>27</v>
      </c>
      <c r="N140" s="2" t="s">
        <v>21514</v>
      </c>
      <c r="P140" s="8" t="s">
        <v>401</v>
      </c>
      <c r="Q140" s="12" t="s">
        <v>19542</v>
      </c>
      <c r="S140" s="8" t="s">
        <v>18</v>
      </c>
      <c r="V140" s="2"/>
      <c r="W140" s="2"/>
      <c r="X140" s="2"/>
      <c r="Y140" s="2"/>
      <c r="Z140" s="2"/>
      <c r="AA140" s="2"/>
      <c r="AB140" s="2"/>
      <c r="AC140" s="2"/>
      <c r="AD140" s="2"/>
      <c r="AE140" s="2"/>
      <c r="AF140" s="2"/>
      <c r="AG140" s="2"/>
      <c r="AH140" s="2"/>
      <c r="AI140" s="2"/>
      <c r="AJ140" s="2"/>
      <c r="AK140" s="2"/>
      <c r="AL140" s="2"/>
      <c r="AM140" s="2"/>
    </row>
    <row r="141" spans="1:49" s="8" customFormat="1" ht="13" customHeight="1">
      <c r="A141" s="8" t="s">
        <v>19543</v>
      </c>
      <c r="B141" s="16">
        <v>25</v>
      </c>
      <c r="C141" s="8" t="s">
        <v>20</v>
      </c>
      <c r="D141" s="8" t="s">
        <v>37</v>
      </c>
      <c r="E141" s="8" t="s">
        <v>19672</v>
      </c>
      <c r="F141" s="17">
        <v>42324</v>
      </c>
      <c r="G141" s="8" t="s">
        <v>19544</v>
      </c>
      <c r="H141" s="8" t="s">
        <v>19545</v>
      </c>
      <c r="I141" s="8" t="s">
        <v>173</v>
      </c>
      <c r="J141" s="16"/>
      <c r="K141" s="2"/>
      <c r="L141" s="8" t="s">
        <v>19546</v>
      </c>
      <c r="M141" s="8" t="s">
        <v>27</v>
      </c>
      <c r="N141" s="2" t="s">
        <v>21534</v>
      </c>
      <c r="P141" s="8" t="s">
        <v>401</v>
      </c>
      <c r="Q141" s="12" t="s">
        <v>19547</v>
      </c>
      <c r="S141" s="8" t="s">
        <v>379</v>
      </c>
      <c r="Y141" s="2"/>
      <c r="Z141" s="2"/>
      <c r="AA141" s="2"/>
      <c r="AB141" s="2"/>
      <c r="AC141" s="2"/>
      <c r="AD141" s="2"/>
      <c r="AE141" s="2"/>
      <c r="AF141" s="2"/>
      <c r="AG141" s="2"/>
      <c r="AH141" s="2"/>
      <c r="AI141" s="2"/>
      <c r="AJ141" s="2"/>
      <c r="AK141" s="2"/>
      <c r="AL141" s="2"/>
      <c r="AM141" s="2"/>
    </row>
    <row r="142" spans="1:49" s="8" customFormat="1" ht="13" customHeight="1">
      <c r="A142" s="8" t="s">
        <v>21196</v>
      </c>
      <c r="B142" s="16">
        <v>16</v>
      </c>
      <c r="C142" s="8" t="s">
        <v>20</v>
      </c>
      <c r="D142" s="8" t="s">
        <v>85</v>
      </c>
      <c r="E142" s="8" t="s">
        <v>21195</v>
      </c>
      <c r="F142" s="17">
        <v>42323</v>
      </c>
      <c r="G142" s="8" t="s">
        <v>19548</v>
      </c>
      <c r="H142" s="8" t="s">
        <v>1103</v>
      </c>
      <c r="I142" s="8" t="s">
        <v>404</v>
      </c>
      <c r="J142" s="16"/>
      <c r="K142" s="2"/>
      <c r="L142" s="8" t="s">
        <v>19549</v>
      </c>
      <c r="M142" s="8" t="s">
        <v>27</v>
      </c>
      <c r="N142" s="2" t="s">
        <v>21258</v>
      </c>
      <c r="P142" s="8" t="s">
        <v>401</v>
      </c>
      <c r="Q142" s="12" t="s">
        <v>19550</v>
      </c>
      <c r="S142" s="8" t="s">
        <v>28</v>
      </c>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row>
    <row r="143" spans="1:49" s="8" customFormat="1" ht="13" customHeight="1">
      <c r="A143" s="8" t="s">
        <v>19359</v>
      </c>
      <c r="B143" s="16">
        <v>24</v>
      </c>
      <c r="C143" s="8" t="s">
        <v>20</v>
      </c>
      <c r="D143" s="8" t="s">
        <v>85</v>
      </c>
      <c r="E143" s="8" t="s">
        <v>19360</v>
      </c>
      <c r="F143" s="17">
        <v>42323</v>
      </c>
      <c r="G143" s="8" t="s">
        <v>19361</v>
      </c>
      <c r="H143" s="8" t="s">
        <v>6820</v>
      </c>
      <c r="I143" s="8" t="s">
        <v>133</v>
      </c>
      <c r="J143" s="16" t="s">
        <v>19362</v>
      </c>
      <c r="K143" s="2" t="s">
        <v>1075</v>
      </c>
      <c r="L143" s="8" t="s">
        <v>17007</v>
      </c>
      <c r="M143" s="8" t="s">
        <v>27</v>
      </c>
      <c r="N143" s="2" t="s">
        <v>19363</v>
      </c>
      <c r="O143" s="8" t="s">
        <v>4714</v>
      </c>
      <c r="P143" s="8" t="s">
        <v>401</v>
      </c>
      <c r="Q143" s="12" t="s">
        <v>19364</v>
      </c>
      <c r="R143" s="8" t="s">
        <v>100</v>
      </c>
      <c r="S143" s="8" t="s">
        <v>18</v>
      </c>
      <c r="Y143" s="2"/>
      <c r="Z143" s="2"/>
      <c r="AA143" s="2"/>
      <c r="AB143" s="2"/>
      <c r="AC143" s="2"/>
      <c r="AD143" s="2"/>
      <c r="AE143" s="2"/>
      <c r="AF143" s="2"/>
      <c r="AG143" s="2"/>
      <c r="AH143" s="2"/>
      <c r="AN143" s="2"/>
      <c r="AO143" s="2"/>
      <c r="AP143" s="2"/>
      <c r="AQ143" s="2"/>
      <c r="AR143" s="2"/>
      <c r="AS143" s="2"/>
      <c r="AT143" s="2"/>
    </row>
    <row r="144" spans="1:49" s="8" customFormat="1" ht="13" customHeight="1">
      <c r="A144" s="8" t="s">
        <v>19421</v>
      </c>
      <c r="B144" s="16">
        <v>39</v>
      </c>
      <c r="C144" s="8" t="s">
        <v>20</v>
      </c>
      <c r="D144" s="8" t="s">
        <v>85</v>
      </c>
      <c r="E144" s="8" t="s">
        <v>19422</v>
      </c>
      <c r="F144" s="17">
        <v>42323</v>
      </c>
      <c r="G144" s="8" t="s">
        <v>19423</v>
      </c>
      <c r="H144" s="8" t="s">
        <v>603</v>
      </c>
      <c r="I144" s="8" t="s">
        <v>45</v>
      </c>
      <c r="J144" s="16">
        <v>94621</v>
      </c>
      <c r="K144" s="2" t="s">
        <v>604</v>
      </c>
      <c r="L144" s="8" t="s">
        <v>605</v>
      </c>
      <c r="M144" s="8" t="s">
        <v>27</v>
      </c>
      <c r="N144" s="2" t="s">
        <v>19424</v>
      </c>
      <c r="O144" s="8" t="s">
        <v>400</v>
      </c>
      <c r="P144" s="8" t="s">
        <v>401</v>
      </c>
      <c r="Q144" s="12" t="s">
        <v>19425</v>
      </c>
      <c r="R144" s="8" t="s">
        <v>100</v>
      </c>
      <c r="S144" s="8" t="s">
        <v>18</v>
      </c>
      <c r="Y144" s="2"/>
      <c r="Z144" s="2"/>
      <c r="AA144" s="2"/>
      <c r="AB144" s="2"/>
      <c r="AC144" s="2"/>
      <c r="AD144" s="2"/>
      <c r="AE144" s="2"/>
      <c r="AF144" s="2"/>
      <c r="AG144" s="2"/>
      <c r="AH144" s="2"/>
      <c r="AN144" s="2"/>
      <c r="AO144" s="2"/>
      <c r="AP144" s="2"/>
      <c r="AQ144" s="2"/>
      <c r="AR144" s="2"/>
      <c r="AS144" s="2"/>
      <c r="AT144" s="2"/>
    </row>
    <row r="145" spans="1:49" s="8" customFormat="1" ht="13" customHeight="1">
      <c r="A145" s="8" t="s">
        <v>19551</v>
      </c>
      <c r="B145" s="16">
        <v>33</v>
      </c>
      <c r="C145" s="8" t="s">
        <v>20</v>
      </c>
      <c r="D145" s="8" t="s">
        <v>37</v>
      </c>
      <c r="E145" s="8" t="s">
        <v>19679</v>
      </c>
      <c r="F145" s="17">
        <v>42323</v>
      </c>
      <c r="G145" s="8" t="s">
        <v>19552</v>
      </c>
      <c r="H145" s="8" t="s">
        <v>19553</v>
      </c>
      <c r="I145" s="8" t="s">
        <v>366</v>
      </c>
      <c r="J145" s="16"/>
      <c r="K145" s="2"/>
      <c r="L145" s="8" t="s">
        <v>19554</v>
      </c>
      <c r="M145" s="8" t="s">
        <v>27</v>
      </c>
      <c r="N145" s="2" t="s">
        <v>21515</v>
      </c>
      <c r="P145" s="8" t="s">
        <v>401</v>
      </c>
      <c r="Q145" s="12" t="s">
        <v>19555</v>
      </c>
      <c r="S145" s="8" t="s">
        <v>35</v>
      </c>
      <c r="AI145" s="2"/>
      <c r="AJ145" s="2"/>
      <c r="AK145" s="2"/>
      <c r="AL145" s="2"/>
      <c r="AM145" s="2"/>
    </row>
    <row r="146" spans="1:49" s="8" customFormat="1" ht="13" customHeight="1">
      <c r="A146" s="39" t="s">
        <v>21229</v>
      </c>
      <c r="B146" s="43">
        <v>25</v>
      </c>
      <c r="C146" s="39" t="s">
        <v>20</v>
      </c>
      <c r="D146" s="39" t="s">
        <v>85</v>
      </c>
      <c r="E146" s="39" t="s">
        <v>21154</v>
      </c>
      <c r="F146" s="40">
        <v>42322</v>
      </c>
      <c r="G146" s="39" t="s">
        <v>21157</v>
      </c>
      <c r="H146" s="39" t="s">
        <v>118</v>
      </c>
      <c r="I146" s="39" t="s">
        <v>3685</v>
      </c>
      <c r="J146" s="39"/>
      <c r="K146" s="39"/>
      <c r="L146" s="39" t="s">
        <v>231</v>
      </c>
      <c r="M146" s="39" t="s">
        <v>27</v>
      </c>
      <c r="N146" s="63" t="s">
        <v>21155</v>
      </c>
      <c r="O146" s="39"/>
      <c r="P146" s="28" t="s">
        <v>401</v>
      </c>
      <c r="Q146" s="39" t="s">
        <v>21156</v>
      </c>
      <c r="R146" s="39"/>
      <c r="S146" s="39" t="s">
        <v>28</v>
      </c>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row>
    <row r="147" spans="1:49" s="8" customFormat="1" ht="13" customHeight="1">
      <c r="A147" s="8" t="s">
        <v>19556</v>
      </c>
      <c r="B147" s="16">
        <v>31</v>
      </c>
      <c r="C147" s="8" t="s">
        <v>20</v>
      </c>
      <c r="D147" s="8" t="s">
        <v>48</v>
      </c>
      <c r="F147" s="17">
        <v>42322</v>
      </c>
      <c r="G147" s="8" t="s">
        <v>19557</v>
      </c>
      <c r="H147" s="8" t="s">
        <v>786</v>
      </c>
      <c r="I147" s="8" t="s">
        <v>45</v>
      </c>
      <c r="J147" s="16"/>
      <c r="K147" s="2"/>
      <c r="L147" s="8" t="s">
        <v>787</v>
      </c>
      <c r="M147" s="8" t="s">
        <v>27</v>
      </c>
      <c r="N147" s="2" t="s">
        <v>21604</v>
      </c>
      <c r="P147" s="8" t="s">
        <v>401</v>
      </c>
      <c r="Q147" s="12" t="s">
        <v>19558</v>
      </c>
      <c r="S147" s="8" t="s">
        <v>28</v>
      </c>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spans="1:49" s="8" customFormat="1" ht="13" customHeight="1">
      <c r="A148" s="8" t="s">
        <v>19559</v>
      </c>
      <c r="B148" s="16">
        <v>25</v>
      </c>
      <c r="C148" s="8" t="s">
        <v>20</v>
      </c>
      <c r="D148" s="8" t="s">
        <v>48</v>
      </c>
      <c r="E148" s="8" t="s">
        <v>19678</v>
      </c>
      <c r="F148" s="17">
        <v>42321</v>
      </c>
      <c r="G148" s="8" t="s">
        <v>19560</v>
      </c>
      <c r="H148" s="8" t="s">
        <v>15938</v>
      </c>
      <c r="I148" s="8" t="s">
        <v>45</v>
      </c>
      <c r="J148" s="16"/>
      <c r="K148" s="2"/>
      <c r="L148" s="8" t="s">
        <v>787</v>
      </c>
      <c r="M148" s="8" t="s">
        <v>27</v>
      </c>
      <c r="N148" s="62" t="s">
        <v>21516</v>
      </c>
      <c r="P148" s="8" t="s">
        <v>401</v>
      </c>
      <c r="Q148" s="12" t="s">
        <v>19561</v>
      </c>
      <c r="S148" s="8" t="s">
        <v>35</v>
      </c>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row>
    <row r="149" spans="1:49" s="8" customFormat="1" ht="13" customHeight="1">
      <c r="A149" s="8" t="s">
        <v>19566</v>
      </c>
      <c r="B149" s="16">
        <v>20</v>
      </c>
      <c r="C149" s="8" t="s">
        <v>20</v>
      </c>
      <c r="D149" s="8" t="s">
        <v>37</v>
      </c>
      <c r="E149" s="8" t="s">
        <v>19707</v>
      </c>
      <c r="F149" s="17">
        <v>42321</v>
      </c>
      <c r="G149" s="8" t="s">
        <v>19567</v>
      </c>
      <c r="H149" s="8" t="s">
        <v>16658</v>
      </c>
      <c r="I149" s="8" t="s">
        <v>173</v>
      </c>
      <c r="J149" s="16"/>
      <c r="K149" s="2"/>
      <c r="L149" s="8" t="s">
        <v>18805</v>
      </c>
      <c r="M149" s="8" t="s">
        <v>27</v>
      </c>
      <c r="N149" s="2" t="s">
        <v>21605</v>
      </c>
      <c r="P149" s="8" t="s">
        <v>401</v>
      </c>
      <c r="Q149" s="12" t="s">
        <v>19568</v>
      </c>
      <c r="S149" s="8" t="s">
        <v>28</v>
      </c>
      <c r="V149" s="2"/>
      <c r="W149" s="2"/>
      <c r="X149" s="2"/>
      <c r="Y149" s="2"/>
      <c r="Z149" s="2"/>
      <c r="AA149" s="2"/>
      <c r="AB149" s="2"/>
      <c r="AC149" s="2"/>
      <c r="AD149" s="2"/>
      <c r="AE149" s="2"/>
      <c r="AF149" s="2"/>
      <c r="AG149" s="2"/>
      <c r="AH149" s="2"/>
      <c r="AI149" s="2"/>
      <c r="AJ149" s="2"/>
      <c r="AK149" s="2"/>
      <c r="AL149" s="2"/>
      <c r="AM149" s="2"/>
    </row>
    <row r="150" spans="1:49" s="8" customFormat="1" ht="13" customHeight="1">
      <c r="A150" s="8" t="s">
        <v>19562</v>
      </c>
      <c r="B150" s="16">
        <v>52</v>
      </c>
      <c r="C150" s="8" t="s">
        <v>20</v>
      </c>
      <c r="D150" s="8" t="s">
        <v>37</v>
      </c>
      <c r="E150" s="8" t="s">
        <v>20815</v>
      </c>
      <c r="F150" s="17">
        <v>42321</v>
      </c>
      <c r="G150" s="8" t="s">
        <v>19563</v>
      </c>
      <c r="H150" s="8" t="s">
        <v>2106</v>
      </c>
      <c r="I150" s="8" t="s">
        <v>319</v>
      </c>
      <c r="J150" s="16"/>
      <c r="K150" s="2"/>
      <c r="L150" s="8" t="s">
        <v>19564</v>
      </c>
      <c r="M150" s="8" t="s">
        <v>27</v>
      </c>
      <c r="N150" s="2" t="s">
        <v>21606</v>
      </c>
      <c r="P150" s="8" t="s">
        <v>401</v>
      </c>
      <c r="Q150" s="12" t="s">
        <v>19565</v>
      </c>
      <c r="S150" s="8" t="s">
        <v>28</v>
      </c>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row>
    <row r="151" spans="1:49" s="8" customFormat="1" ht="13" customHeight="1">
      <c r="A151" s="8" t="s">
        <v>19417</v>
      </c>
      <c r="B151" s="16">
        <v>45</v>
      </c>
      <c r="C151" s="8" t="s">
        <v>20</v>
      </c>
      <c r="D151" s="8" t="s">
        <v>85</v>
      </c>
      <c r="E151" s="8" t="s">
        <v>19684</v>
      </c>
      <c r="F151" s="17">
        <v>42320</v>
      </c>
      <c r="G151" s="8" t="s">
        <v>19418</v>
      </c>
      <c r="H151" s="8" t="s">
        <v>4171</v>
      </c>
      <c r="I151" s="8" t="s">
        <v>94</v>
      </c>
      <c r="J151" s="16">
        <v>35204</v>
      </c>
      <c r="K151" s="2" t="s">
        <v>1781</v>
      </c>
      <c r="L151" s="8" t="s">
        <v>4196</v>
      </c>
      <c r="M151" s="8" t="s">
        <v>379</v>
      </c>
      <c r="N151" s="2" t="s">
        <v>19419</v>
      </c>
      <c r="O151" s="8" t="s">
        <v>400</v>
      </c>
      <c r="P151" s="8" t="s">
        <v>401</v>
      </c>
      <c r="Q151" s="12" t="s">
        <v>19420</v>
      </c>
      <c r="R151" s="8" t="s">
        <v>100</v>
      </c>
      <c r="S151" s="8" t="s">
        <v>18</v>
      </c>
      <c r="V151" s="2"/>
      <c r="W151" s="2"/>
      <c r="X151" s="2"/>
      <c r="Y151" s="2"/>
      <c r="Z151" s="2"/>
      <c r="AA151" s="2"/>
      <c r="AB151" s="2"/>
      <c r="AC151" s="2"/>
      <c r="AD151" s="2"/>
      <c r="AE151" s="2"/>
      <c r="AF151" s="2"/>
      <c r="AG151" s="2"/>
      <c r="AH151" s="2"/>
      <c r="AN151" s="2"/>
      <c r="AO151" s="2"/>
      <c r="AP151" s="2"/>
      <c r="AQ151" s="2"/>
      <c r="AR151" s="2"/>
      <c r="AS151" s="2"/>
      <c r="AT151" s="2"/>
    </row>
    <row r="152" spans="1:49" s="8" customFormat="1" ht="13" customHeight="1">
      <c r="A152" s="8" t="s">
        <v>19569</v>
      </c>
      <c r="B152" s="16">
        <v>42</v>
      </c>
      <c r="C152" s="8" t="s">
        <v>20</v>
      </c>
      <c r="D152" s="8" t="s">
        <v>48</v>
      </c>
      <c r="E152" s="8" t="s">
        <v>19687</v>
      </c>
      <c r="F152" s="17">
        <v>42320</v>
      </c>
      <c r="G152" s="8" t="s">
        <v>19570</v>
      </c>
      <c r="H152" s="8" t="s">
        <v>774</v>
      </c>
      <c r="I152" s="8" t="s">
        <v>45</v>
      </c>
      <c r="J152" s="16"/>
      <c r="K152" s="2"/>
      <c r="L152" s="8" t="s">
        <v>19571</v>
      </c>
      <c r="M152" s="8" t="s">
        <v>27</v>
      </c>
      <c r="N152" s="2" t="s">
        <v>21607</v>
      </c>
      <c r="P152" s="8" t="s">
        <v>401</v>
      </c>
      <c r="Q152" s="12" t="s">
        <v>19572</v>
      </c>
      <c r="S152" s="8" t="s">
        <v>28</v>
      </c>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row>
    <row r="153" spans="1:49" s="8" customFormat="1" ht="13" customHeight="1">
      <c r="A153" s="8" t="s">
        <v>19354</v>
      </c>
      <c r="B153" s="16">
        <v>32</v>
      </c>
      <c r="C153" s="8" t="s">
        <v>20</v>
      </c>
      <c r="D153" s="8" t="s">
        <v>85</v>
      </c>
      <c r="E153" s="8" t="s">
        <v>19355</v>
      </c>
      <c r="F153" s="17">
        <v>42319</v>
      </c>
      <c r="G153" s="8" t="s">
        <v>19356</v>
      </c>
      <c r="H153" s="8" t="s">
        <v>1596</v>
      </c>
      <c r="I153" s="8" t="s">
        <v>52</v>
      </c>
      <c r="J153" s="16" t="s">
        <v>9182</v>
      </c>
      <c r="K153" s="2" t="s">
        <v>4727</v>
      </c>
      <c r="L153" s="8" t="s">
        <v>2782</v>
      </c>
      <c r="M153" s="8" t="s">
        <v>27</v>
      </c>
      <c r="N153" s="2" t="s">
        <v>19357</v>
      </c>
      <c r="O153" s="8" t="s">
        <v>4714</v>
      </c>
      <c r="P153" s="8" t="s">
        <v>401</v>
      </c>
      <c r="Q153" s="12" t="s">
        <v>19358</v>
      </c>
      <c r="R153" s="8" t="s">
        <v>29</v>
      </c>
      <c r="S153" s="8" t="s">
        <v>28</v>
      </c>
      <c r="V153" s="2"/>
      <c r="W153" s="2"/>
      <c r="X153" s="2"/>
      <c r="Y153" s="2"/>
      <c r="Z153" s="2"/>
      <c r="AA153" s="2"/>
      <c r="AB153" s="2"/>
      <c r="AC153" s="2"/>
      <c r="AD153" s="2"/>
      <c r="AE153" s="2"/>
      <c r="AF153" s="2"/>
      <c r="AG153" s="2"/>
      <c r="AH153" s="2"/>
      <c r="AN153" s="2"/>
      <c r="AO153" s="2"/>
      <c r="AP153" s="2"/>
      <c r="AQ153" s="2"/>
      <c r="AR153" s="2"/>
      <c r="AS153" s="2"/>
      <c r="AT153" s="2"/>
    </row>
    <row r="154" spans="1:49" s="8" customFormat="1" ht="13" customHeight="1">
      <c r="A154" s="8" t="s">
        <v>19431</v>
      </c>
      <c r="B154" s="16">
        <v>50</v>
      </c>
      <c r="C154" s="8" t="s">
        <v>20</v>
      </c>
      <c r="D154" s="8" t="s">
        <v>85</v>
      </c>
      <c r="E154" s="8" t="s">
        <v>19432</v>
      </c>
      <c r="F154" s="17">
        <v>42319</v>
      </c>
      <c r="G154" s="8" t="s">
        <v>19433</v>
      </c>
      <c r="H154" s="8" t="s">
        <v>1301</v>
      </c>
      <c r="I154" s="8" t="s">
        <v>209</v>
      </c>
      <c r="J154" s="16">
        <v>80239</v>
      </c>
      <c r="K154" s="2" t="s">
        <v>1301</v>
      </c>
      <c r="L154" s="8" t="s">
        <v>19434</v>
      </c>
      <c r="M154" s="8" t="s">
        <v>2297</v>
      </c>
      <c r="N154" s="2" t="s">
        <v>19435</v>
      </c>
      <c r="O154" s="8" t="s">
        <v>400</v>
      </c>
      <c r="P154" s="8" t="s">
        <v>401</v>
      </c>
      <c r="Q154" s="12" t="s">
        <v>19436</v>
      </c>
      <c r="R154" s="8" t="s">
        <v>555</v>
      </c>
      <c r="S154" s="8" t="s">
        <v>18</v>
      </c>
      <c r="V154" s="2"/>
      <c r="W154" s="2"/>
      <c r="X154" s="2"/>
      <c r="Y154" s="2"/>
      <c r="Z154" s="2"/>
      <c r="AA154" s="2"/>
      <c r="AB154" s="2"/>
      <c r="AC154" s="2"/>
      <c r="AD154" s="2"/>
      <c r="AE154" s="2"/>
      <c r="AF154" s="2"/>
      <c r="AG154" s="2"/>
      <c r="AH154" s="2"/>
      <c r="AN154" s="2"/>
      <c r="AO154" s="2"/>
      <c r="AP154" s="2"/>
      <c r="AQ154" s="2"/>
      <c r="AR154" s="2"/>
      <c r="AS154" s="2"/>
      <c r="AT154" s="2"/>
    </row>
    <row r="155" spans="1:49" s="8" customFormat="1" ht="13" customHeight="1">
      <c r="A155" s="8" t="s">
        <v>19573</v>
      </c>
      <c r="B155" s="16">
        <v>25</v>
      </c>
      <c r="C155" s="8" t="s">
        <v>20</v>
      </c>
      <c r="D155" s="8" t="s">
        <v>48</v>
      </c>
      <c r="E155" s="8" t="s">
        <v>19706</v>
      </c>
      <c r="F155" s="17">
        <v>42319</v>
      </c>
      <c r="G155" s="8" t="s">
        <v>19574</v>
      </c>
      <c r="H155" s="8" t="s">
        <v>948</v>
      </c>
      <c r="I155" s="8" t="s">
        <v>45</v>
      </c>
      <c r="J155" s="16"/>
      <c r="K155" s="2"/>
      <c r="L155" s="8" t="s">
        <v>949</v>
      </c>
      <c r="M155" s="8" t="s">
        <v>27</v>
      </c>
      <c r="N155" s="2" t="s">
        <v>21608</v>
      </c>
      <c r="P155" s="8" t="s">
        <v>401</v>
      </c>
      <c r="Q155" s="12" t="s">
        <v>19575</v>
      </c>
      <c r="S155" s="8" t="s">
        <v>28</v>
      </c>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row>
    <row r="156" spans="1:49" s="8" customFormat="1" ht="13" customHeight="1">
      <c r="A156" s="8" t="s">
        <v>19576</v>
      </c>
      <c r="B156" s="16">
        <v>31</v>
      </c>
      <c r="C156" s="8" t="s">
        <v>20</v>
      </c>
      <c r="D156" s="8" t="s">
        <v>48</v>
      </c>
      <c r="E156" s="8" t="s">
        <v>19677</v>
      </c>
      <c r="F156" s="17">
        <v>42319</v>
      </c>
      <c r="G156" s="8" t="s">
        <v>19577</v>
      </c>
      <c r="H156" s="8" t="s">
        <v>925</v>
      </c>
      <c r="I156" s="8" t="s">
        <v>195</v>
      </c>
      <c r="J156" s="16"/>
      <c r="K156" s="2"/>
      <c r="L156" s="8" t="s">
        <v>8198</v>
      </c>
      <c r="M156" s="8" t="s">
        <v>27</v>
      </c>
      <c r="N156" s="2" t="s">
        <v>21517</v>
      </c>
      <c r="P156" s="8" t="s">
        <v>401</v>
      </c>
      <c r="Q156" s="12" t="s">
        <v>19578</v>
      </c>
      <c r="S156" s="8" t="s">
        <v>379</v>
      </c>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row>
    <row r="157" spans="1:49" s="8" customFormat="1" ht="13" customHeight="1">
      <c r="A157" s="8" t="s">
        <v>19579</v>
      </c>
      <c r="B157" s="16">
        <v>57</v>
      </c>
      <c r="C157" s="8" t="s">
        <v>20</v>
      </c>
      <c r="D157" s="8" t="s">
        <v>37</v>
      </c>
      <c r="E157" s="8" t="s">
        <v>19705</v>
      </c>
      <c r="F157" s="17">
        <v>42319</v>
      </c>
      <c r="G157" s="8" t="s">
        <v>19580</v>
      </c>
      <c r="H157" s="8" t="s">
        <v>1787</v>
      </c>
      <c r="I157" s="8" t="s">
        <v>32</v>
      </c>
      <c r="J157" s="16"/>
      <c r="K157" s="2"/>
      <c r="L157" s="8" t="s">
        <v>1788</v>
      </c>
      <c r="M157" s="8" t="s">
        <v>27</v>
      </c>
      <c r="N157" s="62" t="s">
        <v>21609</v>
      </c>
      <c r="P157" s="8" t="s">
        <v>401</v>
      </c>
      <c r="Q157" s="12" t="s">
        <v>19581</v>
      </c>
      <c r="S157" s="8" t="s">
        <v>28</v>
      </c>
      <c r="V157" s="2"/>
      <c r="W157" s="2"/>
      <c r="X157" s="2"/>
      <c r="Y157" s="2"/>
      <c r="Z157" s="2"/>
      <c r="AA157" s="2"/>
      <c r="AB157" s="2"/>
      <c r="AC157" s="2"/>
      <c r="AD157" s="2"/>
      <c r="AE157" s="2"/>
      <c r="AF157" s="2"/>
      <c r="AG157" s="2"/>
      <c r="AH157" s="2"/>
      <c r="AI157" s="2"/>
      <c r="AJ157" s="2"/>
      <c r="AK157" s="2"/>
      <c r="AL157" s="2"/>
      <c r="AM157" s="2"/>
    </row>
    <row r="158" spans="1:49" s="8" customFormat="1" ht="13" customHeight="1">
      <c r="A158" s="8" t="s">
        <v>19582</v>
      </c>
      <c r="B158" s="16">
        <v>34</v>
      </c>
      <c r="C158" s="8" t="s">
        <v>20</v>
      </c>
      <c r="D158" s="8" t="s">
        <v>48</v>
      </c>
      <c r="E158" s="8" t="s">
        <v>19704</v>
      </c>
      <c r="F158" s="17">
        <v>42318</v>
      </c>
      <c r="G158" s="8" t="s">
        <v>19583</v>
      </c>
      <c r="H158" s="8" t="s">
        <v>14160</v>
      </c>
      <c r="I158" s="8" t="s">
        <v>45</v>
      </c>
      <c r="J158" s="16"/>
      <c r="K158" s="2"/>
      <c r="L158" s="8" t="s">
        <v>14161</v>
      </c>
      <c r="M158" s="8" t="s">
        <v>27</v>
      </c>
      <c r="N158" s="2" t="s">
        <v>21610</v>
      </c>
      <c r="P158" s="8" t="s">
        <v>401</v>
      </c>
      <c r="Q158" s="12" t="s">
        <v>19584</v>
      </c>
      <c r="S158" s="8" t="s">
        <v>28</v>
      </c>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row>
    <row r="159" spans="1:49" s="8" customFormat="1" ht="13" customHeight="1">
      <c r="A159" s="8" t="s">
        <v>19588</v>
      </c>
      <c r="B159" s="16">
        <v>22</v>
      </c>
      <c r="C159" s="8" t="s">
        <v>20</v>
      </c>
      <c r="D159" s="8" t="s">
        <v>37</v>
      </c>
      <c r="E159" s="8" t="s">
        <v>19702</v>
      </c>
      <c r="F159" s="17">
        <v>42318</v>
      </c>
      <c r="G159" s="8" t="s">
        <v>19589</v>
      </c>
      <c r="H159" s="8" t="s">
        <v>19590</v>
      </c>
      <c r="I159" s="8" t="s">
        <v>857</v>
      </c>
      <c r="J159" s="16"/>
      <c r="K159" s="2"/>
      <c r="L159" s="8" t="s">
        <v>19591</v>
      </c>
      <c r="M159" s="8" t="s">
        <v>27</v>
      </c>
      <c r="N159" s="2" t="s">
        <v>21611</v>
      </c>
      <c r="P159" s="8" t="s">
        <v>401</v>
      </c>
      <c r="Q159" s="12" t="s">
        <v>19592</v>
      </c>
      <c r="S159" s="8" t="s">
        <v>28</v>
      </c>
      <c r="V159" s="2"/>
      <c r="W159" s="2"/>
      <c r="X159" s="2"/>
      <c r="Y159" s="2"/>
      <c r="Z159" s="2"/>
      <c r="AA159" s="2"/>
      <c r="AB159" s="2"/>
      <c r="AC159" s="2"/>
      <c r="AD159" s="2"/>
      <c r="AE159" s="2"/>
      <c r="AF159" s="2"/>
      <c r="AG159" s="2"/>
      <c r="AH159" s="2"/>
      <c r="AI159" s="2"/>
      <c r="AJ159" s="2"/>
      <c r="AK159" s="2"/>
      <c r="AL159" s="2"/>
      <c r="AM159" s="2"/>
    </row>
    <row r="160" spans="1:49" s="8" customFormat="1" ht="13" customHeight="1">
      <c r="A160" s="8" t="s">
        <v>19585</v>
      </c>
      <c r="B160" s="16">
        <v>36</v>
      </c>
      <c r="C160" s="8" t="s">
        <v>20</v>
      </c>
      <c r="D160" s="8" t="s">
        <v>37</v>
      </c>
      <c r="E160" s="8" t="s">
        <v>19703</v>
      </c>
      <c r="F160" s="17">
        <v>42318</v>
      </c>
      <c r="G160" s="8" t="s">
        <v>19586</v>
      </c>
      <c r="H160" s="8" t="s">
        <v>16631</v>
      </c>
      <c r="I160" s="8" t="s">
        <v>209</v>
      </c>
      <c r="J160" s="16"/>
      <c r="K160" s="2"/>
      <c r="L160" s="8" t="s">
        <v>29</v>
      </c>
      <c r="M160" s="8" t="s">
        <v>27</v>
      </c>
      <c r="N160" s="2" t="s">
        <v>21612</v>
      </c>
      <c r="P160" s="8" t="s">
        <v>401</v>
      </c>
      <c r="Q160" s="12" t="s">
        <v>19587</v>
      </c>
      <c r="S160" s="8" t="s">
        <v>28</v>
      </c>
      <c r="V160" s="2"/>
      <c r="W160" s="2"/>
      <c r="X160" s="2"/>
      <c r="Y160" s="2"/>
      <c r="Z160" s="2"/>
      <c r="AA160" s="2"/>
      <c r="AB160" s="2"/>
      <c r="AC160" s="2"/>
      <c r="AD160" s="2"/>
      <c r="AE160" s="2"/>
      <c r="AF160" s="2"/>
      <c r="AG160" s="2"/>
      <c r="AH160" s="2"/>
      <c r="AI160" s="2"/>
      <c r="AJ160" s="2"/>
      <c r="AK160" s="2"/>
      <c r="AL160" s="2"/>
      <c r="AM160" s="2"/>
    </row>
    <row r="161" spans="1:46" s="8" customFormat="1" ht="13" customHeight="1">
      <c r="A161" s="8" t="s">
        <v>19347</v>
      </c>
      <c r="B161" s="16">
        <v>20</v>
      </c>
      <c r="C161" s="8" t="s">
        <v>20</v>
      </c>
      <c r="D161" s="8" t="s">
        <v>85</v>
      </c>
      <c r="E161" s="8" t="s">
        <v>19348</v>
      </c>
      <c r="F161" s="17">
        <v>42317</v>
      </c>
      <c r="G161" s="8" t="s">
        <v>19349</v>
      </c>
      <c r="H161" s="8" t="s">
        <v>2875</v>
      </c>
      <c r="I161" s="8" t="s">
        <v>32</v>
      </c>
      <c r="J161" s="16" t="s">
        <v>19350</v>
      </c>
      <c r="K161" s="2" t="s">
        <v>2875</v>
      </c>
      <c r="L161" s="8" t="s">
        <v>19351</v>
      </c>
      <c r="M161" s="8" t="s">
        <v>27</v>
      </c>
      <c r="N161" s="2" t="s">
        <v>19352</v>
      </c>
      <c r="O161" s="8" t="s">
        <v>4714</v>
      </c>
      <c r="P161" s="8" t="s">
        <v>401</v>
      </c>
      <c r="Q161" s="12" t="s">
        <v>19353</v>
      </c>
      <c r="R161" s="8" t="s">
        <v>29</v>
      </c>
      <c r="S161" s="8" t="s">
        <v>379</v>
      </c>
      <c r="V161" s="2"/>
      <c r="W161" s="2"/>
      <c r="X161" s="2"/>
      <c r="Y161" s="2"/>
      <c r="Z161" s="2"/>
      <c r="AA161" s="2"/>
      <c r="AB161" s="2"/>
      <c r="AC161" s="2"/>
      <c r="AD161" s="2"/>
      <c r="AE161" s="2"/>
      <c r="AF161" s="2"/>
      <c r="AG161" s="2"/>
      <c r="AH161" s="2"/>
      <c r="AN161" s="2"/>
      <c r="AO161" s="2"/>
      <c r="AP161" s="2"/>
      <c r="AQ161" s="2"/>
      <c r="AR161" s="2"/>
      <c r="AS161" s="2"/>
      <c r="AT161" s="2"/>
    </row>
    <row r="162" spans="1:46" s="8" customFormat="1" ht="13" customHeight="1">
      <c r="A162" s="8" t="s">
        <v>20675</v>
      </c>
      <c r="B162" s="16">
        <v>22</v>
      </c>
      <c r="C162" s="8" t="s">
        <v>20</v>
      </c>
      <c r="D162" s="8" t="s">
        <v>85</v>
      </c>
      <c r="F162" s="17">
        <v>42317</v>
      </c>
      <c r="G162" s="8" t="s">
        <v>19602</v>
      </c>
      <c r="H162" s="8" t="s">
        <v>19603</v>
      </c>
      <c r="I162" s="8" t="s">
        <v>62</v>
      </c>
      <c r="J162" s="16">
        <v>32746</v>
      </c>
      <c r="K162" s="2" t="s">
        <v>9194</v>
      </c>
      <c r="L162" s="8" t="s">
        <v>17381</v>
      </c>
      <c r="M162" s="8" t="s">
        <v>379</v>
      </c>
      <c r="N162" s="2" t="s">
        <v>21650</v>
      </c>
      <c r="O162" s="8" t="s">
        <v>400</v>
      </c>
      <c r="P162" s="8" t="s">
        <v>401</v>
      </c>
      <c r="Q162" s="12" t="s">
        <v>19604</v>
      </c>
      <c r="R162" s="8" t="s">
        <v>100</v>
      </c>
      <c r="S162" s="8" t="s">
        <v>35</v>
      </c>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row>
    <row r="163" spans="1:46" s="8" customFormat="1" ht="13" customHeight="1">
      <c r="A163" s="8" t="s">
        <v>20676</v>
      </c>
      <c r="B163" s="16">
        <v>22</v>
      </c>
      <c r="C163" s="8" t="s">
        <v>20</v>
      </c>
      <c r="D163" s="8" t="s">
        <v>85</v>
      </c>
      <c r="F163" s="17">
        <v>42317</v>
      </c>
      <c r="G163" s="8" t="s">
        <v>19602</v>
      </c>
      <c r="H163" s="8" t="s">
        <v>19603</v>
      </c>
      <c r="I163" s="8" t="s">
        <v>62</v>
      </c>
      <c r="J163" s="16">
        <v>32746</v>
      </c>
      <c r="K163" s="2" t="s">
        <v>9194</v>
      </c>
      <c r="L163" s="8" t="s">
        <v>17381</v>
      </c>
      <c r="M163" s="8" t="s">
        <v>379</v>
      </c>
      <c r="N163" s="2" t="s">
        <v>21649</v>
      </c>
      <c r="O163" s="8" t="s">
        <v>400</v>
      </c>
      <c r="P163" s="8" t="s">
        <v>401</v>
      </c>
      <c r="Q163" s="12" t="s">
        <v>19604</v>
      </c>
      <c r="R163" s="8" t="s">
        <v>100</v>
      </c>
      <c r="S163" s="8" t="s">
        <v>35</v>
      </c>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row>
    <row r="164" spans="1:46" s="8" customFormat="1" ht="13" customHeight="1">
      <c r="A164" s="8" t="s">
        <v>19596</v>
      </c>
      <c r="B164" s="16">
        <v>25</v>
      </c>
      <c r="C164" s="8" t="s">
        <v>20</v>
      </c>
      <c r="D164" s="8" t="s">
        <v>48</v>
      </c>
      <c r="E164" s="8" t="s">
        <v>19700</v>
      </c>
      <c r="F164" s="17">
        <v>42317</v>
      </c>
      <c r="G164" s="8" t="s">
        <v>19597</v>
      </c>
      <c r="H164" s="8" t="s">
        <v>4307</v>
      </c>
      <c r="I164" s="8" t="s">
        <v>73</v>
      </c>
      <c r="J164" s="16"/>
      <c r="K164" s="2"/>
      <c r="L164" s="8" t="s">
        <v>4310</v>
      </c>
      <c r="M164" s="8" t="s">
        <v>27</v>
      </c>
      <c r="N164" s="2" t="s">
        <v>21613</v>
      </c>
      <c r="P164" s="8" t="s">
        <v>401</v>
      </c>
      <c r="Q164" s="12" t="s">
        <v>19598</v>
      </c>
      <c r="S164" s="8" t="s">
        <v>28</v>
      </c>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row>
    <row r="165" spans="1:46" s="8" customFormat="1" ht="13" customHeight="1">
      <c r="A165" s="8" t="s">
        <v>19593</v>
      </c>
      <c r="B165" s="16">
        <v>45</v>
      </c>
      <c r="C165" s="8" t="s">
        <v>20</v>
      </c>
      <c r="D165" s="8" t="s">
        <v>48</v>
      </c>
      <c r="E165" s="8" t="s">
        <v>19701</v>
      </c>
      <c r="F165" s="17">
        <v>42317</v>
      </c>
      <c r="G165" s="8" t="s">
        <v>19594</v>
      </c>
      <c r="H165" s="8" t="s">
        <v>608</v>
      </c>
      <c r="I165" s="8" t="s">
        <v>45</v>
      </c>
      <c r="J165" s="16"/>
      <c r="K165" s="2"/>
      <c r="L165" s="8" t="s">
        <v>730</v>
      </c>
      <c r="M165" s="8" t="s">
        <v>27</v>
      </c>
      <c r="N165" s="2" t="s">
        <v>21614</v>
      </c>
      <c r="P165" s="8" t="s">
        <v>401</v>
      </c>
      <c r="Q165" s="12" t="s">
        <v>19595</v>
      </c>
      <c r="S165" s="8" t="s">
        <v>28</v>
      </c>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row>
    <row r="166" spans="1:46" s="8" customFormat="1" ht="13" customHeight="1">
      <c r="A166" s="8" t="s">
        <v>19599</v>
      </c>
      <c r="B166" s="16">
        <v>34</v>
      </c>
      <c r="C166" s="8" t="s">
        <v>20</v>
      </c>
      <c r="D166" s="8" t="s">
        <v>48</v>
      </c>
      <c r="E166" s="8" t="s">
        <v>19676</v>
      </c>
      <c r="F166" s="17">
        <v>42317</v>
      </c>
      <c r="G166" s="8" t="s">
        <v>19600</v>
      </c>
      <c r="H166" s="8" t="s">
        <v>98</v>
      </c>
      <c r="I166" s="8" t="s">
        <v>45</v>
      </c>
      <c r="J166" s="16"/>
      <c r="K166" s="2"/>
      <c r="L166" s="8" t="s">
        <v>99</v>
      </c>
      <c r="M166" s="8" t="s">
        <v>27</v>
      </c>
      <c r="N166" s="2" t="s">
        <v>21518</v>
      </c>
      <c r="P166" s="8" t="s">
        <v>401</v>
      </c>
      <c r="Q166" s="12" t="s">
        <v>19601</v>
      </c>
      <c r="S166" s="8" t="s">
        <v>35</v>
      </c>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row>
    <row r="167" spans="1:46" s="8" customFormat="1" ht="13" customHeight="1">
      <c r="A167" s="8" t="s">
        <v>19605</v>
      </c>
      <c r="B167" s="16">
        <v>26</v>
      </c>
      <c r="C167" s="8" t="s">
        <v>20</v>
      </c>
      <c r="D167" s="8" t="s">
        <v>37</v>
      </c>
      <c r="E167" s="8" t="s">
        <v>19699</v>
      </c>
      <c r="F167" s="17">
        <v>42317</v>
      </c>
      <c r="G167" s="8" t="s">
        <v>19606</v>
      </c>
      <c r="H167" s="8" t="s">
        <v>1063</v>
      </c>
      <c r="I167" s="8" t="s">
        <v>150</v>
      </c>
      <c r="J167" s="16"/>
      <c r="K167" s="2"/>
      <c r="L167" s="8" t="s">
        <v>19607</v>
      </c>
      <c r="M167" s="8" t="s">
        <v>27</v>
      </c>
      <c r="N167" s="2" t="s">
        <v>21615</v>
      </c>
      <c r="P167" s="8" t="s">
        <v>401</v>
      </c>
      <c r="Q167" s="12" t="s">
        <v>19608</v>
      </c>
      <c r="S167" s="8" t="s">
        <v>28</v>
      </c>
      <c r="V167" s="2"/>
      <c r="W167" s="2"/>
      <c r="X167" s="2"/>
      <c r="Y167" s="2"/>
      <c r="Z167" s="2"/>
      <c r="AA167" s="2"/>
      <c r="AB167" s="2"/>
      <c r="AC167" s="2"/>
      <c r="AD167" s="2"/>
      <c r="AE167" s="2"/>
      <c r="AF167" s="2"/>
      <c r="AG167" s="2"/>
      <c r="AH167" s="2"/>
      <c r="AI167" s="2"/>
      <c r="AJ167" s="2"/>
      <c r="AK167" s="2"/>
      <c r="AL167" s="2"/>
      <c r="AM167" s="2"/>
    </row>
    <row r="168" spans="1:46" s="8" customFormat="1" ht="13" customHeight="1">
      <c r="A168" s="8" t="s">
        <v>19612</v>
      </c>
      <c r="B168" s="16">
        <v>51</v>
      </c>
      <c r="C168" s="8" t="s">
        <v>20</v>
      </c>
      <c r="D168" s="8" t="s">
        <v>37</v>
      </c>
      <c r="E168" s="8" t="s">
        <v>19698</v>
      </c>
      <c r="F168" s="17">
        <v>42314</v>
      </c>
      <c r="G168" s="8" t="s">
        <v>19613</v>
      </c>
      <c r="H168" s="8" t="s">
        <v>1565</v>
      </c>
      <c r="I168" s="8" t="s">
        <v>117</v>
      </c>
      <c r="J168" s="16"/>
      <c r="K168" s="2"/>
      <c r="L168" s="8" t="s">
        <v>18022</v>
      </c>
      <c r="M168" s="8" t="s">
        <v>27</v>
      </c>
      <c r="N168" s="2" t="s">
        <v>21616</v>
      </c>
      <c r="P168" s="8" t="s">
        <v>401</v>
      </c>
      <c r="Q168" s="12" t="s">
        <v>19614</v>
      </c>
      <c r="S168" s="8" t="s">
        <v>28</v>
      </c>
      <c r="V168" s="2"/>
      <c r="W168" s="2"/>
      <c r="X168" s="2"/>
      <c r="Y168" s="2"/>
      <c r="Z168" s="2"/>
      <c r="AA168" s="2"/>
      <c r="AB168" s="2"/>
      <c r="AC168" s="2"/>
      <c r="AD168" s="2"/>
      <c r="AE168" s="2"/>
      <c r="AF168" s="2"/>
      <c r="AG168" s="2"/>
      <c r="AH168" s="2"/>
      <c r="AI168" s="2"/>
      <c r="AJ168" s="2"/>
      <c r="AK168" s="2"/>
      <c r="AL168" s="2"/>
      <c r="AM168" s="2"/>
    </row>
    <row r="169" spans="1:46" s="8" customFormat="1" ht="13" customHeight="1">
      <c r="A169" s="8" t="s">
        <v>19609</v>
      </c>
      <c r="B169" s="16">
        <v>68</v>
      </c>
      <c r="C169" s="8" t="s">
        <v>20</v>
      </c>
      <c r="D169" s="8" t="s">
        <v>37</v>
      </c>
      <c r="F169" s="17">
        <v>42314</v>
      </c>
      <c r="G169" s="8" t="s">
        <v>19610</v>
      </c>
      <c r="H169" s="8" t="s">
        <v>3914</v>
      </c>
      <c r="I169" s="8" t="s">
        <v>62</v>
      </c>
      <c r="J169" s="16"/>
      <c r="K169" s="2"/>
      <c r="L169" s="8" t="s">
        <v>17047</v>
      </c>
      <c r="M169" s="8" t="s">
        <v>27</v>
      </c>
      <c r="N169" s="2"/>
      <c r="P169" s="8" t="s">
        <v>401</v>
      </c>
      <c r="Q169" s="12" t="s">
        <v>19611</v>
      </c>
      <c r="S169" s="8" t="s">
        <v>18</v>
      </c>
      <c r="V169" s="2"/>
      <c r="W169" s="2"/>
      <c r="X169" s="2"/>
      <c r="Y169" s="2"/>
      <c r="Z169" s="2"/>
      <c r="AA169" s="2"/>
      <c r="AB169" s="2"/>
      <c r="AC169" s="2"/>
      <c r="AD169" s="2"/>
      <c r="AE169" s="2"/>
      <c r="AF169" s="2"/>
      <c r="AG169" s="2"/>
      <c r="AH169" s="2"/>
      <c r="AI169" s="2"/>
      <c r="AJ169" s="2"/>
      <c r="AK169" s="2"/>
      <c r="AL169" s="2"/>
      <c r="AM169" s="2"/>
    </row>
    <row r="170" spans="1:46" s="8" customFormat="1" ht="13" customHeight="1">
      <c r="A170" s="8" t="s">
        <v>19615</v>
      </c>
      <c r="B170" s="16">
        <v>48</v>
      </c>
      <c r="C170" s="8" t="s">
        <v>20</v>
      </c>
      <c r="D170" s="8" t="s">
        <v>37</v>
      </c>
      <c r="E170" s="8" t="s">
        <v>19675</v>
      </c>
      <c r="F170" s="17">
        <v>42314</v>
      </c>
      <c r="G170" s="8" t="s">
        <v>19616</v>
      </c>
      <c r="H170" s="8" t="s">
        <v>19617</v>
      </c>
      <c r="I170" s="8" t="s">
        <v>366</v>
      </c>
      <c r="J170" s="16"/>
      <c r="K170" s="2"/>
      <c r="L170" s="8" t="s">
        <v>19618</v>
      </c>
      <c r="M170" s="8" t="s">
        <v>27</v>
      </c>
      <c r="N170" s="2" t="s">
        <v>21519</v>
      </c>
      <c r="P170" s="8" t="s">
        <v>401</v>
      </c>
      <c r="Q170" s="12" t="s">
        <v>19619</v>
      </c>
      <c r="S170" s="8" t="s">
        <v>35</v>
      </c>
      <c r="V170" s="2"/>
      <c r="W170" s="2"/>
      <c r="X170" s="2"/>
      <c r="Y170" s="2"/>
      <c r="Z170" s="2"/>
      <c r="AA170" s="2"/>
      <c r="AB170" s="2"/>
      <c r="AC170" s="2"/>
      <c r="AD170" s="2"/>
      <c r="AE170" s="2"/>
      <c r="AF170" s="2"/>
      <c r="AG170" s="2"/>
      <c r="AH170" s="2"/>
      <c r="AI170" s="2"/>
      <c r="AJ170" s="2"/>
      <c r="AK170" s="2"/>
      <c r="AL170" s="2"/>
      <c r="AM170" s="2"/>
    </row>
    <row r="171" spans="1:46" s="8" customFormat="1" ht="13" customHeight="1">
      <c r="A171" s="8" t="s">
        <v>19620</v>
      </c>
      <c r="B171" s="16">
        <v>55</v>
      </c>
      <c r="C171" s="8" t="s">
        <v>20</v>
      </c>
      <c r="D171" s="8" t="s">
        <v>37</v>
      </c>
      <c r="E171" s="8" t="s">
        <v>19671</v>
      </c>
      <c r="F171" s="17">
        <v>42314</v>
      </c>
      <c r="G171" s="8" t="s">
        <v>19621</v>
      </c>
      <c r="H171" s="8" t="s">
        <v>657</v>
      </c>
      <c r="I171" s="8" t="s">
        <v>269</v>
      </c>
      <c r="J171" s="16"/>
      <c r="K171" s="2"/>
      <c r="L171" s="8" t="s">
        <v>19622</v>
      </c>
      <c r="M171" s="8" t="s">
        <v>27</v>
      </c>
      <c r="N171" s="2" t="s">
        <v>21535</v>
      </c>
      <c r="P171" s="8" t="s">
        <v>401</v>
      </c>
      <c r="Q171" s="12" t="s">
        <v>19623</v>
      </c>
      <c r="S171" s="8" t="s">
        <v>379</v>
      </c>
      <c r="V171" s="2"/>
      <c r="W171" s="2"/>
      <c r="X171" s="2"/>
      <c r="AI171" s="2"/>
      <c r="AJ171" s="2"/>
      <c r="AK171" s="2"/>
      <c r="AL171" s="2"/>
      <c r="AM171" s="2"/>
    </row>
    <row r="172" spans="1:46" s="8" customFormat="1" ht="13" customHeight="1">
      <c r="A172" s="8" t="s">
        <v>19624</v>
      </c>
      <c r="B172" s="16">
        <v>20</v>
      </c>
      <c r="C172" s="8" t="s">
        <v>20</v>
      </c>
      <c r="D172" s="8" t="s">
        <v>37</v>
      </c>
      <c r="E172" s="8" t="s">
        <v>19697</v>
      </c>
      <c r="F172" s="17">
        <v>42313</v>
      </c>
      <c r="G172" s="8" t="s">
        <v>19625</v>
      </c>
      <c r="H172" s="8" t="s">
        <v>19626</v>
      </c>
      <c r="I172" s="8" t="s">
        <v>395</v>
      </c>
      <c r="J172" s="16"/>
      <c r="K172" s="2"/>
      <c r="L172" s="8" t="s">
        <v>19627</v>
      </c>
      <c r="M172" s="8" t="s">
        <v>27</v>
      </c>
      <c r="N172" s="2" t="s">
        <v>21617</v>
      </c>
      <c r="P172" s="8" t="s">
        <v>401</v>
      </c>
      <c r="Q172" s="12" t="s">
        <v>19628</v>
      </c>
      <c r="S172" s="8" t="s">
        <v>28</v>
      </c>
      <c r="V172" s="2"/>
      <c r="W172" s="2"/>
      <c r="X172" s="2"/>
      <c r="Y172" s="2"/>
      <c r="Z172" s="2"/>
      <c r="AA172" s="2"/>
      <c r="AB172" s="2"/>
      <c r="AC172" s="2"/>
      <c r="AD172" s="2"/>
      <c r="AE172" s="2"/>
      <c r="AF172" s="2"/>
      <c r="AG172" s="2"/>
      <c r="AH172" s="2"/>
      <c r="AI172" s="2"/>
      <c r="AJ172" s="2"/>
      <c r="AK172" s="2"/>
      <c r="AL172" s="2"/>
      <c r="AM172" s="2"/>
    </row>
    <row r="173" spans="1:46" s="8" customFormat="1" ht="13" customHeight="1">
      <c r="A173" s="8" t="s">
        <v>19637</v>
      </c>
      <c r="B173" s="16">
        <v>30</v>
      </c>
      <c r="C173" s="8" t="s">
        <v>20</v>
      </c>
      <c r="D173" s="8" t="s">
        <v>37</v>
      </c>
      <c r="F173" s="17">
        <v>42313</v>
      </c>
      <c r="G173" s="8" t="s">
        <v>19638</v>
      </c>
      <c r="H173" s="8" t="s">
        <v>19639</v>
      </c>
      <c r="I173" s="8" t="s">
        <v>431</v>
      </c>
      <c r="J173" s="16"/>
      <c r="K173" s="2"/>
      <c r="L173" s="8" t="s">
        <v>19640</v>
      </c>
      <c r="M173" s="8" t="s">
        <v>27</v>
      </c>
      <c r="N173" s="2" t="s">
        <v>21618</v>
      </c>
      <c r="P173" s="8" t="s">
        <v>401</v>
      </c>
      <c r="Q173" s="12" t="s">
        <v>19641</v>
      </c>
      <c r="S173" s="8" t="s">
        <v>28</v>
      </c>
      <c r="V173" s="2"/>
      <c r="W173" s="2"/>
      <c r="X173" s="2"/>
      <c r="Y173" s="2"/>
      <c r="Z173" s="2"/>
      <c r="AA173" s="2"/>
      <c r="AB173" s="2"/>
      <c r="AC173" s="2"/>
      <c r="AD173" s="2"/>
      <c r="AE173" s="2"/>
      <c r="AF173" s="2"/>
      <c r="AG173" s="2"/>
      <c r="AH173" s="2"/>
      <c r="AI173" s="2"/>
      <c r="AJ173" s="2"/>
      <c r="AK173" s="2"/>
      <c r="AL173" s="2"/>
      <c r="AM173" s="2"/>
    </row>
    <row r="174" spans="1:46" s="8" customFormat="1" ht="13" customHeight="1">
      <c r="A174" s="8" t="s">
        <v>19629</v>
      </c>
      <c r="B174" s="16">
        <v>36</v>
      </c>
      <c r="C174" s="8" t="s">
        <v>114</v>
      </c>
      <c r="D174" s="8" t="s">
        <v>37</v>
      </c>
      <c r="F174" s="17">
        <v>42313</v>
      </c>
      <c r="G174" s="8" t="s">
        <v>19630</v>
      </c>
      <c r="H174" s="8" t="s">
        <v>7116</v>
      </c>
      <c r="I174" s="8" t="s">
        <v>32</v>
      </c>
      <c r="J174" s="16"/>
      <c r="K174" s="2"/>
      <c r="L174" s="8" t="s">
        <v>19631</v>
      </c>
      <c r="M174" s="8" t="s">
        <v>27</v>
      </c>
      <c r="N174" s="2" t="s">
        <v>21619</v>
      </c>
      <c r="P174" s="8" t="s">
        <v>401</v>
      </c>
      <c r="Q174" s="12" t="s">
        <v>19632</v>
      </c>
      <c r="S174" s="8" t="s">
        <v>28</v>
      </c>
      <c r="V174" s="2"/>
      <c r="W174" s="2"/>
      <c r="X174" s="2"/>
      <c r="Y174" s="2"/>
      <c r="Z174" s="2"/>
      <c r="AA174" s="2"/>
      <c r="AB174" s="2"/>
      <c r="AC174" s="2"/>
      <c r="AD174" s="2"/>
      <c r="AE174" s="2"/>
      <c r="AF174" s="2"/>
      <c r="AG174" s="2"/>
      <c r="AH174" s="2"/>
      <c r="AI174" s="2"/>
      <c r="AJ174" s="2"/>
      <c r="AK174" s="2"/>
      <c r="AL174" s="2"/>
      <c r="AM174" s="2"/>
    </row>
    <row r="175" spans="1:46" s="8" customFormat="1" ht="13" customHeight="1">
      <c r="A175" s="8" t="s">
        <v>19633</v>
      </c>
      <c r="B175" s="16">
        <v>46</v>
      </c>
      <c r="C175" s="8" t="s">
        <v>20</v>
      </c>
      <c r="D175" s="8" t="s">
        <v>37</v>
      </c>
      <c r="E175" s="8" t="s">
        <v>19696</v>
      </c>
      <c r="F175" s="17">
        <v>42313</v>
      </c>
      <c r="G175" s="8" t="s">
        <v>19634</v>
      </c>
      <c r="H175" s="8" t="s">
        <v>1937</v>
      </c>
      <c r="I175" s="8" t="s">
        <v>150</v>
      </c>
      <c r="J175" s="16"/>
      <c r="K175" s="2"/>
      <c r="L175" s="8" t="s">
        <v>19635</v>
      </c>
      <c r="M175" s="8" t="s">
        <v>27</v>
      </c>
      <c r="N175" s="2" t="s">
        <v>21620</v>
      </c>
      <c r="P175" s="8" t="s">
        <v>401</v>
      </c>
      <c r="Q175" s="12" t="s">
        <v>19636</v>
      </c>
      <c r="S175" s="8" t="s">
        <v>28</v>
      </c>
      <c r="Y175" s="2"/>
      <c r="Z175" s="2"/>
      <c r="AA175" s="2"/>
      <c r="AB175" s="2"/>
      <c r="AC175" s="2"/>
      <c r="AD175" s="2"/>
      <c r="AE175" s="2"/>
      <c r="AF175" s="2"/>
      <c r="AG175" s="2"/>
      <c r="AH175" s="2"/>
      <c r="AI175" s="2"/>
      <c r="AJ175" s="2"/>
      <c r="AK175" s="2"/>
      <c r="AL175" s="2"/>
      <c r="AM175" s="2"/>
    </row>
    <row r="176" spans="1:46" s="8" customFormat="1" ht="13" customHeight="1">
      <c r="A176" s="8" t="s">
        <v>19642</v>
      </c>
      <c r="B176" s="16">
        <v>18</v>
      </c>
      <c r="C176" s="8" t="s">
        <v>20</v>
      </c>
      <c r="D176" s="8" t="s">
        <v>21</v>
      </c>
      <c r="E176" s="8" t="s">
        <v>19674</v>
      </c>
      <c r="F176" s="17">
        <v>42312</v>
      </c>
      <c r="G176" s="8" t="s">
        <v>19643</v>
      </c>
      <c r="H176" s="8" t="s">
        <v>1427</v>
      </c>
      <c r="I176" s="8" t="s">
        <v>45</v>
      </c>
      <c r="J176" s="16"/>
      <c r="K176" s="2"/>
      <c r="L176" s="8" t="s">
        <v>19644</v>
      </c>
      <c r="M176" s="8" t="s">
        <v>27</v>
      </c>
      <c r="N176" s="2" t="s">
        <v>21520</v>
      </c>
      <c r="P176" s="8" t="s">
        <v>401</v>
      </c>
      <c r="Q176" s="12" t="s">
        <v>19645</v>
      </c>
      <c r="S176" s="8" t="s">
        <v>35</v>
      </c>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row>
    <row r="177" spans="1:46" s="8" customFormat="1" ht="13" customHeight="1">
      <c r="A177" s="8" t="s">
        <v>19341</v>
      </c>
      <c r="B177" s="16">
        <v>57</v>
      </c>
      <c r="C177" s="8" t="s">
        <v>20</v>
      </c>
      <c r="D177" s="8" t="s">
        <v>85</v>
      </c>
      <c r="E177" s="8" t="s">
        <v>19342</v>
      </c>
      <c r="F177" s="17">
        <v>42312</v>
      </c>
      <c r="G177" s="8" t="s">
        <v>19343</v>
      </c>
      <c r="H177" s="8" t="s">
        <v>726</v>
      </c>
      <c r="I177" s="8" t="s">
        <v>73</v>
      </c>
      <c r="J177" s="16" t="s">
        <v>19344</v>
      </c>
      <c r="K177" s="2" t="s">
        <v>558</v>
      </c>
      <c r="L177" s="8" t="s">
        <v>727</v>
      </c>
      <c r="M177" s="8" t="s">
        <v>27</v>
      </c>
      <c r="N177" s="2" t="s">
        <v>19345</v>
      </c>
      <c r="O177" s="8" t="s">
        <v>4714</v>
      </c>
      <c r="P177" s="8" t="s">
        <v>401</v>
      </c>
      <c r="Q177" s="12" t="s">
        <v>19346</v>
      </c>
      <c r="R177" s="8" t="s">
        <v>100</v>
      </c>
      <c r="S177" s="8" t="s">
        <v>28</v>
      </c>
      <c r="V177" s="2"/>
      <c r="W177" s="2"/>
      <c r="X177" s="2"/>
      <c r="Y177" s="2"/>
      <c r="Z177" s="2"/>
      <c r="AA177" s="2"/>
      <c r="AB177" s="2"/>
      <c r="AC177" s="2"/>
      <c r="AD177" s="2"/>
      <c r="AE177" s="2"/>
      <c r="AF177" s="2"/>
      <c r="AG177" s="2"/>
      <c r="AH177" s="2"/>
      <c r="AN177" s="2"/>
      <c r="AO177" s="2"/>
      <c r="AP177" s="2"/>
      <c r="AQ177" s="2"/>
      <c r="AR177" s="2"/>
      <c r="AS177" s="2"/>
      <c r="AT177" s="2"/>
    </row>
    <row r="178" spans="1:46" s="8" customFormat="1" ht="13" customHeight="1">
      <c r="A178" s="8" t="s">
        <v>19649</v>
      </c>
      <c r="B178" s="16">
        <v>30</v>
      </c>
      <c r="C178" s="8" t="s">
        <v>20</v>
      </c>
      <c r="D178" s="8" t="s">
        <v>37</v>
      </c>
      <c r="E178" s="8" t="s">
        <v>19695</v>
      </c>
      <c r="F178" s="17">
        <v>42312</v>
      </c>
      <c r="G178" s="8" t="s">
        <v>19650</v>
      </c>
      <c r="H178" s="8" t="s">
        <v>4209</v>
      </c>
      <c r="I178" s="8" t="s">
        <v>431</v>
      </c>
      <c r="J178" s="16"/>
      <c r="K178" s="2"/>
      <c r="L178" s="8" t="s">
        <v>4212</v>
      </c>
      <c r="M178" s="8" t="s">
        <v>27</v>
      </c>
      <c r="N178" s="2" t="s">
        <v>21621</v>
      </c>
      <c r="P178" s="8" t="s">
        <v>401</v>
      </c>
      <c r="Q178" s="12" t="s">
        <v>19651</v>
      </c>
      <c r="S178" s="2" t="s">
        <v>28</v>
      </c>
      <c r="V178" s="2"/>
      <c r="W178" s="2"/>
      <c r="X178" s="2"/>
      <c r="Y178" s="2"/>
      <c r="Z178" s="2"/>
      <c r="AA178" s="2"/>
      <c r="AB178" s="2"/>
      <c r="AC178" s="2"/>
      <c r="AD178" s="2"/>
      <c r="AE178" s="2"/>
      <c r="AF178" s="2"/>
      <c r="AG178" s="2"/>
      <c r="AH178" s="2"/>
      <c r="AI178" s="2"/>
      <c r="AJ178" s="2"/>
      <c r="AK178" s="2"/>
      <c r="AL178" s="2"/>
      <c r="AM178" s="2"/>
    </row>
    <row r="179" spans="1:46" s="8" customFormat="1" ht="13" customHeight="1">
      <c r="A179" s="8" t="s">
        <v>19646</v>
      </c>
      <c r="B179" s="16">
        <v>47</v>
      </c>
      <c r="C179" s="8" t="s">
        <v>20</v>
      </c>
      <c r="D179" s="8" t="s">
        <v>37</v>
      </c>
      <c r="E179" s="8" t="s">
        <v>19683</v>
      </c>
      <c r="F179" s="17">
        <v>42312</v>
      </c>
      <c r="G179" s="8" t="s">
        <v>19647</v>
      </c>
      <c r="H179" s="8" t="s">
        <v>156</v>
      </c>
      <c r="I179" s="8" t="s">
        <v>45</v>
      </c>
      <c r="J179" s="16"/>
      <c r="K179" s="2"/>
      <c r="L179" s="8" t="s">
        <v>157</v>
      </c>
      <c r="M179" s="8" t="s">
        <v>27</v>
      </c>
      <c r="N179" s="2"/>
      <c r="P179" s="8" t="s">
        <v>401</v>
      </c>
      <c r="Q179" s="12" t="s">
        <v>19648</v>
      </c>
      <c r="S179" s="8" t="s">
        <v>18</v>
      </c>
      <c r="V179" s="2"/>
      <c r="W179" s="2"/>
      <c r="X179" s="2"/>
      <c r="Y179" s="2"/>
      <c r="Z179" s="2"/>
      <c r="AA179" s="2"/>
      <c r="AB179" s="2"/>
      <c r="AC179" s="2"/>
      <c r="AD179" s="2"/>
      <c r="AE179" s="2"/>
      <c r="AF179" s="2"/>
      <c r="AG179" s="2"/>
      <c r="AH179" s="2"/>
      <c r="AI179" s="2"/>
      <c r="AJ179" s="2"/>
      <c r="AK179" s="2"/>
      <c r="AL179" s="2"/>
      <c r="AM179" s="2"/>
    </row>
    <row r="180" spans="1:46" s="8" customFormat="1" ht="13" customHeight="1">
      <c r="A180" s="8" t="s">
        <v>19652</v>
      </c>
      <c r="B180" s="16">
        <v>6</v>
      </c>
      <c r="C180" s="8" t="s">
        <v>20</v>
      </c>
      <c r="D180" s="8" t="s">
        <v>37</v>
      </c>
      <c r="E180" s="8" t="s">
        <v>19682</v>
      </c>
      <c r="F180" s="17">
        <v>42311</v>
      </c>
      <c r="G180" s="8" t="s">
        <v>19653</v>
      </c>
      <c r="H180" s="8" t="s">
        <v>19654</v>
      </c>
      <c r="I180" s="8" t="s">
        <v>25</v>
      </c>
      <c r="J180" s="16"/>
      <c r="K180" s="2"/>
      <c r="L180" s="8" t="s">
        <v>20839</v>
      </c>
      <c r="M180" s="8" t="s">
        <v>27</v>
      </c>
      <c r="N180" s="2" t="s">
        <v>20838</v>
      </c>
      <c r="P180" s="8" t="s">
        <v>1162</v>
      </c>
      <c r="Q180" s="12" t="s">
        <v>19655</v>
      </c>
      <c r="S180" s="8" t="s">
        <v>18</v>
      </c>
      <c r="T180" s="13"/>
      <c r="U180" s="13"/>
      <c r="V180" s="2"/>
      <c r="W180" s="2"/>
      <c r="X180" s="2"/>
      <c r="Y180" s="2"/>
      <c r="Z180" s="2"/>
      <c r="AA180" s="2"/>
      <c r="AB180" s="2"/>
      <c r="AC180" s="2"/>
      <c r="AD180" s="2"/>
      <c r="AE180" s="2"/>
      <c r="AF180" s="2"/>
      <c r="AG180" s="2"/>
      <c r="AH180" s="2"/>
      <c r="AI180" s="2"/>
      <c r="AJ180" s="2"/>
      <c r="AK180" s="2"/>
      <c r="AL180" s="2"/>
      <c r="AM180" s="2"/>
    </row>
    <row r="181" spans="1:46" s="8" customFormat="1" ht="13" customHeight="1">
      <c r="A181" s="8" t="s">
        <v>19336</v>
      </c>
      <c r="B181" s="16">
        <v>62</v>
      </c>
      <c r="C181" s="8" t="s">
        <v>20</v>
      </c>
      <c r="D181" s="8" t="s">
        <v>85</v>
      </c>
      <c r="F181" s="17">
        <v>42310</v>
      </c>
      <c r="G181" s="8" t="s">
        <v>19337</v>
      </c>
      <c r="H181" s="8" t="s">
        <v>118</v>
      </c>
      <c r="I181" s="8" t="s">
        <v>3685</v>
      </c>
      <c r="J181" s="16" t="s">
        <v>8192</v>
      </c>
      <c r="K181" s="2" t="s">
        <v>3687</v>
      </c>
      <c r="L181" s="8" t="s">
        <v>19338</v>
      </c>
      <c r="M181" s="8" t="s">
        <v>27</v>
      </c>
      <c r="N181" s="2" t="s">
        <v>19339</v>
      </c>
      <c r="O181" s="8" t="s">
        <v>400</v>
      </c>
      <c r="P181" s="8" t="s">
        <v>401</v>
      </c>
      <c r="Q181" s="12" t="s">
        <v>19340</v>
      </c>
      <c r="R181" s="8" t="s">
        <v>100</v>
      </c>
      <c r="S181" s="8" t="s">
        <v>28</v>
      </c>
      <c r="V181" s="2"/>
      <c r="W181" s="2"/>
      <c r="X181" s="2"/>
      <c r="Y181" s="2"/>
      <c r="Z181" s="2"/>
      <c r="AA181" s="2"/>
      <c r="AB181" s="2"/>
      <c r="AC181" s="2"/>
      <c r="AD181" s="2"/>
      <c r="AE181" s="2"/>
      <c r="AF181" s="2"/>
      <c r="AG181" s="2"/>
      <c r="AH181" s="2"/>
      <c r="AN181" s="2"/>
      <c r="AO181" s="2"/>
      <c r="AP181" s="2"/>
      <c r="AQ181" s="2"/>
      <c r="AR181" s="2"/>
      <c r="AS181" s="2"/>
      <c r="AT181" s="2"/>
    </row>
    <row r="182" spans="1:46" s="8" customFormat="1" ht="13" customHeight="1">
      <c r="A182" s="8" t="s">
        <v>19656</v>
      </c>
      <c r="B182" s="16">
        <v>28</v>
      </c>
      <c r="C182" s="8" t="s">
        <v>20</v>
      </c>
      <c r="D182" s="8" t="s">
        <v>37</v>
      </c>
      <c r="E182" s="8" t="s">
        <v>19681</v>
      </c>
      <c r="F182" s="17">
        <v>42310</v>
      </c>
      <c r="G182" s="8" t="s">
        <v>19657</v>
      </c>
      <c r="H182" s="8" t="s">
        <v>6039</v>
      </c>
      <c r="I182" s="8" t="s">
        <v>117</v>
      </c>
      <c r="J182" s="16"/>
      <c r="K182" s="2"/>
      <c r="L182" s="8" t="s">
        <v>19658</v>
      </c>
      <c r="M182" s="8" t="s">
        <v>379</v>
      </c>
      <c r="N182" s="2"/>
      <c r="P182" s="8" t="s">
        <v>401</v>
      </c>
      <c r="Q182" s="12" t="s">
        <v>19659</v>
      </c>
      <c r="S182" s="8" t="s">
        <v>18</v>
      </c>
      <c r="V182" s="2"/>
      <c r="W182" s="2"/>
      <c r="X182" s="2"/>
      <c r="Y182" s="2"/>
      <c r="Z182" s="2"/>
      <c r="AA182" s="2"/>
      <c r="AB182" s="2"/>
      <c r="AC182" s="2"/>
      <c r="AD182" s="2"/>
      <c r="AE182" s="2"/>
      <c r="AF182" s="2"/>
      <c r="AG182" s="2"/>
      <c r="AH182" s="2"/>
      <c r="AI182" s="2"/>
      <c r="AJ182" s="2"/>
      <c r="AK182" s="2"/>
      <c r="AL182" s="2"/>
      <c r="AM182" s="2"/>
    </row>
    <row r="183" spans="1:46" s="8" customFormat="1" ht="13" customHeight="1">
      <c r="A183" s="8" t="s">
        <v>19322</v>
      </c>
      <c r="B183" s="16">
        <v>56</v>
      </c>
      <c r="C183" s="8" t="s">
        <v>20</v>
      </c>
      <c r="D183" s="8" t="s">
        <v>85</v>
      </c>
      <c r="E183" s="8" t="s">
        <v>19323</v>
      </c>
      <c r="F183" s="17">
        <v>42309</v>
      </c>
      <c r="G183" s="8" t="s">
        <v>19324</v>
      </c>
      <c r="H183" s="8" t="s">
        <v>19325</v>
      </c>
      <c r="I183" s="8" t="s">
        <v>94</v>
      </c>
      <c r="J183" s="16" t="s">
        <v>19326</v>
      </c>
      <c r="K183" s="2" t="s">
        <v>5575</v>
      </c>
      <c r="L183" s="8" t="s">
        <v>19327</v>
      </c>
      <c r="M183" s="8" t="s">
        <v>27</v>
      </c>
      <c r="N183" s="2" t="s">
        <v>19328</v>
      </c>
      <c r="O183" s="8" t="s">
        <v>400</v>
      </c>
      <c r="P183" s="8" t="s">
        <v>401</v>
      </c>
      <c r="Q183" s="12" t="s">
        <v>19329</v>
      </c>
      <c r="S183" s="8" t="s">
        <v>28</v>
      </c>
      <c r="V183" s="2"/>
      <c r="W183" s="2"/>
      <c r="X183" s="2"/>
      <c r="Y183" s="2"/>
      <c r="Z183" s="2"/>
      <c r="AA183" s="2"/>
      <c r="AB183" s="2"/>
      <c r="AC183" s="2"/>
      <c r="AD183" s="2"/>
      <c r="AE183" s="2"/>
      <c r="AF183" s="2"/>
      <c r="AG183" s="2"/>
      <c r="AH183" s="2"/>
      <c r="AN183" s="2"/>
      <c r="AO183" s="2"/>
      <c r="AP183" s="2"/>
      <c r="AQ183" s="2"/>
      <c r="AR183" s="2"/>
      <c r="AS183" s="2"/>
      <c r="AT183" s="2"/>
    </row>
    <row r="184" spans="1:46" s="8" customFormat="1" ht="13" customHeight="1">
      <c r="A184" s="8" t="s">
        <v>19330</v>
      </c>
      <c r="B184" s="16">
        <v>27</v>
      </c>
      <c r="C184" s="8" t="s">
        <v>20</v>
      </c>
      <c r="D184" s="8" t="s">
        <v>85</v>
      </c>
      <c r="E184" s="8" t="s">
        <v>19331</v>
      </c>
      <c r="F184" s="17">
        <v>42309</v>
      </c>
      <c r="G184" s="8" t="s">
        <v>19332</v>
      </c>
      <c r="H184" s="8" t="s">
        <v>118</v>
      </c>
      <c r="I184" s="8" t="s">
        <v>3685</v>
      </c>
      <c r="J184" s="16" t="s">
        <v>8192</v>
      </c>
      <c r="K184" s="2" t="s">
        <v>3687</v>
      </c>
      <c r="L184" s="8" t="s">
        <v>19333</v>
      </c>
      <c r="M184" s="8" t="s">
        <v>29</v>
      </c>
      <c r="N184" s="2" t="s">
        <v>19334</v>
      </c>
      <c r="O184" s="8" t="s">
        <v>400</v>
      </c>
      <c r="P184" s="8" t="s">
        <v>401</v>
      </c>
      <c r="Q184" s="12" t="s">
        <v>19335</v>
      </c>
      <c r="R184" s="8" t="s">
        <v>100</v>
      </c>
      <c r="S184" s="8" t="s">
        <v>18</v>
      </c>
      <c r="V184" s="2"/>
      <c r="W184" s="2"/>
      <c r="X184" s="2"/>
      <c r="Y184" s="2"/>
      <c r="Z184" s="2"/>
      <c r="AA184" s="2"/>
      <c r="AB184" s="2"/>
      <c r="AC184" s="2"/>
      <c r="AD184" s="2"/>
      <c r="AE184" s="2"/>
      <c r="AF184" s="2"/>
      <c r="AG184" s="2"/>
      <c r="AH184" s="2"/>
      <c r="AN184" s="2"/>
      <c r="AO184" s="2"/>
      <c r="AP184" s="2"/>
      <c r="AQ184" s="2"/>
      <c r="AR184" s="2"/>
      <c r="AS184" s="2"/>
      <c r="AT184" s="2"/>
    </row>
    <row r="185" spans="1:46" s="8" customFormat="1" ht="13" customHeight="1">
      <c r="A185" s="8" t="s">
        <v>19660</v>
      </c>
      <c r="B185" s="16">
        <v>20</v>
      </c>
      <c r="C185" s="8" t="s">
        <v>20</v>
      </c>
      <c r="D185" s="8" t="s">
        <v>37</v>
      </c>
      <c r="E185" s="8" t="s">
        <v>19694</v>
      </c>
      <c r="F185" s="17">
        <v>42309</v>
      </c>
      <c r="G185" s="8" t="s">
        <v>19661</v>
      </c>
      <c r="H185" s="8" t="s">
        <v>7228</v>
      </c>
      <c r="I185" s="8" t="s">
        <v>45</v>
      </c>
      <c r="J185" s="16"/>
      <c r="K185" s="2"/>
      <c r="L185" s="8" t="s">
        <v>960</v>
      </c>
      <c r="M185" s="8" t="s">
        <v>27</v>
      </c>
      <c r="N185" s="2" t="s">
        <v>21622</v>
      </c>
      <c r="P185" s="8" t="s">
        <v>401</v>
      </c>
      <c r="Q185" s="12" t="s">
        <v>19662</v>
      </c>
      <c r="S185" s="2" t="s">
        <v>28</v>
      </c>
      <c r="V185" s="2"/>
      <c r="W185" s="2"/>
      <c r="X185" s="2"/>
      <c r="Y185" s="2"/>
      <c r="Z185" s="2"/>
      <c r="AA185" s="2"/>
      <c r="AB185" s="2"/>
      <c r="AC185" s="2"/>
      <c r="AD185" s="2"/>
      <c r="AE185" s="2"/>
      <c r="AF185" s="2"/>
      <c r="AG185" s="2"/>
      <c r="AH185" s="2"/>
      <c r="AI185" s="2"/>
      <c r="AJ185" s="2"/>
      <c r="AK185" s="2"/>
      <c r="AL185" s="2"/>
      <c r="AM185" s="2"/>
    </row>
    <row r="186" spans="1:46" s="8" customFormat="1" ht="13" customHeight="1">
      <c r="A186" s="8" t="s">
        <v>19663</v>
      </c>
      <c r="B186" s="16">
        <v>62</v>
      </c>
      <c r="C186" s="8" t="s">
        <v>20</v>
      </c>
      <c r="D186" s="8" t="s">
        <v>37</v>
      </c>
      <c r="E186" s="8" t="s">
        <v>19693</v>
      </c>
      <c r="F186" s="17">
        <v>42309</v>
      </c>
      <c r="G186" s="8" t="s">
        <v>19664</v>
      </c>
      <c r="H186" s="8" t="s">
        <v>19665</v>
      </c>
      <c r="I186" s="8" t="s">
        <v>793</v>
      </c>
      <c r="J186" s="16"/>
      <c r="K186" s="2"/>
      <c r="L186" s="8" t="s">
        <v>10280</v>
      </c>
      <c r="M186" s="8" t="s">
        <v>27</v>
      </c>
      <c r="N186" s="2" t="s">
        <v>21623</v>
      </c>
      <c r="P186" s="8" t="s">
        <v>401</v>
      </c>
      <c r="Q186" s="12" t="s">
        <v>19666</v>
      </c>
      <c r="S186" s="2" t="s">
        <v>28</v>
      </c>
      <c r="V186" s="2"/>
      <c r="W186" s="2"/>
      <c r="X186" s="2"/>
      <c r="Y186" s="2"/>
      <c r="Z186" s="2"/>
      <c r="AA186" s="2"/>
      <c r="AB186" s="2"/>
      <c r="AC186" s="2"/>
      <c r="AD186" s="2"/>
      <c r="AE186" s="2"/>
      <c r="AF186" s="2"/>
      <c r="AG186" s="2"/>
      <c r="AH186" s="2"/>
      <c r="AI186" s="2"/>
      <c r="AJ186" s="2"/>
      <c r="AK186" s="2"/>
      <c r="AL186" s="2"/>
      <c r="AM186" s="2"/>
    </row>
    <row r="187" spans="1:46" s="8" customFormat="1" ht="13" customHeight="1">
      <c r="A187" s="8" t="s">
        <v>19667</v>
      </c>
      <c r="B187" s="16">
        <v>49</v>
      </c>
      <c r="C187" s="8" t="s">
        <v>20</v>
      </c>
      <c r="D187" s="8" t="s">
        <v>37</v>
      </c>
      <c r="E187" s="8" t="s">
        <v>19673</v>
      </c>
      <c r="F187" s="17">
        <v>42309</v>
      </c>
      <c r="G187" s="8" t="s">
        <v>19668</v>
      </c>
      <c r="H187" s="8" t="s">
        <v>1613</v>
      </c>
      <c r="I187" s="8" t="s">
        <v>133</v>
      </c>
      <c r="J187" s="16"/>
      <c r="K187" s="2"/>
      <c r="L187" s="8" t="s">
        <v>19669</v>
      </c>
      <c r="M187" s="8" t="s">
        <v>27</v>
      </c>
      <c r="N187" s="2" t="s">
        <v>21521</v>
      </c>
      <c r="P187" s="8" t="s">
        <v>401</v>
      </c>
      <c r="Q187" s="12" t="s">
        <v>19670</v>
      </c>
      <c r="S187" s="8" t="s">
        <v>35</v>
      </c>
      <c r="V187" s="2"/>
      <c r="W187" s="2"/>
      <c r="X187" s="2"/>
      <c r="Y187" s="2"/>
      <c r="Z187" s="2"/>
      <c r="AA187" s="2"/>
      <c r="AB187" s="2"/>
      <c r="AC187" s="2"/>
      <c r="AD187" s="2"/>
      <c r="AE187" s="2"/>
      <c r="AF187" s="2"/>
      <c r="AG187" s="2"/>
      <c r="AH187" s="2"/>
      <c r="AI187" s="2"/>
      <c r="AJ187" s="2"/>
      <c r="AK187" s="2"/>
      <c r="AL187" s="2"/>
      <c r="AM187" s="2"/>
    </row>
    <row r="188" spans="1:46" s="8" customFormat="1" ht="13" customHeight="1">
      <c r="A188" s="8" t="s">
        <v>19031</v>
      </c>
      <c r="B188" s="16">
        <v>33</v>
      </c>
      <c r="C188" s="8" t="s">
        <v>20</v>
      </c>
      <c r="D188" s="8" t="s">
        <v>85</v>
      </c>
      <c r="E188" s="8" t="s">
        <v>21230</v>
      </c>
      <c r="F188" s="17">
        <v>42308</v>
      </c>
      <c r="H188" s="8" t="s">
        <v>21364</v>
      </c>
      <c r="I188" s="8" t="s">
        <v>62</v>
      </c>
      <c r="J188" s="16">
        <v>34141</v>
      </c>
      <c r="K188" s="2" t="s">
        <v>19300</v>
      </c>
      <c r="L188" s="8" t="s">
        <v>21363</v>
      </c>
      <c r="M188" s="8" t="s">
        <v>379</v>
      </c>
      <c r="N188" s="2" t="s">
        <v>19316</v>
      </c>
      <c r="O188" s="8" t="s">
        <v>400</v>
      </c>
      <c r="P188" s="8" t="s">
        <v>401</v>
      </c>
      <c r="Q188" s="12" t="s">
        <v>19032</v>
      </c>
      <c r="S188" s="8" t="s">
        <v>18</v>
      </c>
      <c r="V188" s="2"/>
      <c r="W188" s="2"/>
      <c r="X188" s="2"/>
      <c r="Y188" s="2"/>
      <c r="Z188" s="2"/>
      <c r="AA188" s="2"/>
      <c r="AB188" s="2"/>
      <c r="AC188" s="2"/>
      <c r="AD188" s="2"/>
      <c r="AE188" s="2"/>
      <c r="AF188" s="2"/>
      <c r="AG188" s="2"/>
      <c r="AH188" s="2"/>
      <c r="AN188" s="2"/>
      <c r="AO188" s="2"/>
      <c r="AP188" s="2"/>
      <c r="AQ188" s="2"/>
      <c r="AR188" s="2"/>
      <c r="AS188" s="2"/>
      <c r="AT188" s="2"/>
    </row>
    <row r="189" spans="1:46" s="8" customFormat="1" ht="13" customHeight="1">
      <c r="A189" s="8" t="s">
        <v>19156</v>
      </c>
      <c r="B189" s="16">
        <v>33</v>
      </c>
      <c r="C189" s="8" t="s">
        <v>20</v>
      </c>
      <c r="D189" s="8" t="s">
        <v>37</v>
      </c>
      <c r="E189" s="8" t="s">
        <v>19236</v>
      </c>
      <c r="F189" s="17">
        <v>42308</v>
      </c>
      <c r="G189" s="8" t="s">
        <v>20431</v>
      </c>
      <c r="H189" s="8" t="s">
        <v>20432</v>
      </c>
      <c r="I189" s="8" t="s">
        <v>209</v>
      </c>
      <c r="J189" s="16" t="s">
        <v>20433</v>
      </c>
      <c r="K189" s="2" t="s">
        <v>860</v>
      </c>
      <c r="L189" s="8" t="s">
        <v>20434</v>
      </c>
      <c r="M189" s="8" t="s">
        <v>27</v>
      </c>
      <c r="N189" s="2" t="s">
        <v>20435</v>
      </c>
      <c r="O189" s="8" t="s">
        <v>400</v>
      </c>
      <c r="P189" s="8" t="s">
        <v>401</v>
      </c>
      <c r="Q189" s="12" t="s">
        <v>20436</v>
      </c>
      <c r="R189" s="8" t="s">
        <v>100</v>
      </c>
      <c r="S189" s="8" t="s">
        <v>28</v>
      </c>
      <c r="T189" s="13"/>
      <c r="U189" s="13"/>
      <c r="V189" s="2"/>
      <c r="W189" s="2"/>
      <c r="X189" s="2"/>
      <c r="Y189" s="2"/>
      <c r="Z189" s="2"/>
      <c r="AA189" s="2"/>
      <c r="AB189" s="2"/>
      <c r="AC189" s="2"/>
      <c r="AD189" s="2"/>
      <c r="AE189" s="2"/>
      <c r="AF189" s="2"/>
      <c r="AG189" s="2"/>
      <c r="AH189" s="2"/>
      <c r="AI189" s="2"/>
      <c r="AJ189" s="2"/>
      <c r="AK189" s="2"/>
      <c r="AL189" s="2"/>
      <c r="AM189" s="2"/>
    </row>
    <row r="190" spans="1:46" s="8" customFormat="1" ht="13" customHeight="1">
      <c r="A190" s="8" t="s">
        <v>20816</v>
      </c>
      <c r="B190" s="16">
        <v>20</v>
      </c>
      <c r="C190" s="8" t="s">
        <v>20</v>
      </c>
      <c r="D190" s="8" t="s">
        <v>85</v>
      </c>
      <c r="F190" s="17">
        <v>42307</v>
      </c>
      <c r="G190" s="8" t="s">
        <v>20818</v>
      </c>
      <c r="H190" s="8" t="s">
        <v>726</v>
      </c>
      <c r="I190" s="8" t="s">
        <v>73</v>
      </c>
      <c r="J190" s="16"/>
      <c r="K190" s="2" t="s">
        <v>558</v>
      </c>
      <c r="L190" s="8" t="s">
        <v>727</v>
      </c>
      <c r="M190" s="8" t="s">
        <v>27</v>
      </c>
      <c r="N190" s="2" t="s">
        <v>20817</v>
      </c>
      <c r="P190" s="8" t="s">
        <v>401</v>
      </c>
      <c r="Q190" s="12" t="s">
        <v>19131</v>
      </c>
      <c r="R190" s="8" t="s">
        <v>100</v>
      </c>
      <c r="S190" s="8" t="s">
        <v>28</v>
      </c>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spans="1:46" s="8" customFormat="1" ht="13" customHeight="1">
      <c r="A191" s="8" t="s">
        <v>20819</v>
      </c>
      <c r="B191" s="16">
        <v>20</v>
      </c>
      <c r="C191" s="8" t="s">
        <v>20</v>
      </c>
      <c r="D191" s="8" t="s">
        <v>85</v>
      </c>
      <c r="F191" s="17">
        <v>42307</v>
      </c>
      <c r="G191" s="8" t="s">
        <v>20818</v>
      </c>
      <c r="H191" s="8" t="s">
        <v>726</v>
      </c>
      <c r="I191" s="8" t="s">
        <v>73</v>
      </c>
      <c r="J191" s="16"/>
      <c r="K191" s="2" t="s">
        <v>558</v>
      </c>
      <c r="L191" s="8" t="s">
        <v>727</v>
      </c>
      <c r="M191" s="8" t="s">
        <v>27</v>
      </c>
      <c r="N191" s="2" t="s">
        <v>20817</v>
      </c>
      <c r="P191" s="8" t="s">
        <v>401</v>
      </c>
      <c r="Q191" s="12" t="s">
        <v>19131</v>
      </c>
      <c r="R191" s="8" t="s">
        <v>100</v>
      </c>
      <c r="S191" s="8" t="s">
        <v>28</v>
      </c>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row>
    <row r="192" spans="1:46" s="8" customFormat="1" ht="13" customHeight="1">
      <c r="A192" s="8" t="s">
        <v>19091</v>
      </c>
      <c r="B192" s="16">
        <v>29</v>
      </c>
      <c r="C192" s="8" t="s">
        <v>20</v>
      </c>
      <c r="D192" s="8" t="s">
        <v>48</v>
      </c>
      <c r="F192" s="17">
        <v>42307</v>
      </c>
      <c r="G192" s="8" t="s">
        <v>19093</v>
      </c>
      <c r="H192" s="8" t="s">
        <v>5823</v>
      </c>
      <c r="I192" s="8" t="s">
        <v>73</v>
      </c>
      <c r="J192" s="16" t="s">
        <v>20440</v>
      </c>
      <c r="K192" s="2" t="s">
        <v>285</v>
      </c>
      <c r="L192" s="8" t="s">
        <v>20441</v>
      </c>
      <c r="M192" s="8" t="s">
        <v>27</v>
      </c>
      <c r="N192" s="2" t="s">
        <v>20442</v>
      </c>
      <c r="O192" s="8" t="s">
        <v>400</v>
      </c>
      <c r="P192" s="8" t="s">
        <v>401</v>
      </c>
      <c r="Q192" s="12" t="s">
        <v>19092</v>
      </c>
      <c r="R192" s="8" t="s">
        <v>100</v>
      </c>
      <c r="S192" s="8" t="s">
        <v>28</v>
      </c>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row>
    <row r="193" spans="1:46" s="8" customFormat="1" ht="13" customHeight="1">
      <c r="A193" s="8" t="s">
        <v>20821</v>
      </c>
      <c r="B193" s="16">
        <v>30</v>
      </c>
      <c r="C193" s="8" t="s">
        <v>20</v>
      </c>
      <c r="D193" s="8" t="s">
        <v>37</v>
      </c>
      <c r="E193" s="8" t="s">
        <v>20820</v>
      </c>
      <c r="F193" s="17">
        <v>42307</v>
      </c>
      <c r="G193" s="39" t="s">
        <v>21366</v>
      </c>
      <c r="H193" s="39" t="s">
        <v>21367</v>
      </c>
      <c r="I193" s="39" t="s">
        <v>395</v>
      </c>
      <c r="J193" s="16"/>
      <c r="K193" s="2" t="s">
        <v>1579</v>
      </c>
      <c r="L193" s="8" t="s">
        <v>21365</v>
      </c>
      <c r="M193" s="8" t="s">
        <v>27</v>
      </c>
      <c r="N193" s="2" t="s">
        <v>21562</v>
      </c>
      <c r="P193" s="8" t="s">
        <v>401</v>
      </c>
      <c r="Q193" s="12" t="s">
        <v>19130</v>
      </c>
      <c r="S193" s="8" t="s">
        <v>28</v>
      </c>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row>
    <row r="194" spans="1:46" s="8" customFormat="1" ht="13" customHeight="1">
      <c r="A194" s="8" t="s">
        <v>19157</v>
      </c>
      <c r="B194" s="16">
        <v>62</v>
      </c>
      <c r="C194" s="8" t="s">
        <v>20</v>
      </c>
      <c r="D194" s="8" t="s">
        <v>37</v>
      </c>
      <c r="E194" s="8" t="s">
        <v>19237</v>
      </c>
      <c r="F194" s="17">
        <v>42307</v>
      </c>
      <c r="G194" s="8" t="s">
        <v>19158</v>
      </c>
      <c r="H194" s="8" t="s">
        <v>19159</v>
      </c>
      <c r="I194" s="8" t="s">
        <v>315</v>
      </c>
      <c r="J194" s="16" t="s">
        <v>20437</v>
      </c>
      <c r="K194" s="2" t="s">
        <v>3167</v>
      </c>
      <c r="L194" s="8" t="s">
        <v>19160</v>
      </c>
      <c r="M194" s="8" t="s">
        <v>27</v>
      </c>
      <c r="N194" s="2" t="s">
        <v>20438</v>
      </c>
      <c r="O194" s="8" t="s">
        <v>400</v>
      </c>
      <c r="P194" s="8" t="s">
        <v>401</v>
      </c>
      <c r="Q194" s="12" t="s">
        <v>20439</v>
      </c>
      <c r="R194" s="8" t="s">
        <v>100</v>
      </c>
      <c r="S194" s="8" t="s">
        <v>28</v>
      </c>
      <c r="V194" s="2"/>
      <c r="W194" s="2"/>
      <c r="X194" s="2"/>
      <c r="Y194" s="2"/>
      <c r="Z194" s="2"/>
      <c r="AA194" s="2"/>
      <c r="AB194" s="2"/>
      <c r="AC194" s="2"/>
      <c r="AD194" s="2"/>
      <c r="AE194" s="2"/>
      <c r="AF194" s="2"/>
      <c r="AG194" s="2"/>
      <c r="AH194" s="2"/>
      <c r="AI194" s="2"/>
      <c r="AJ194" s="2"/>
      <c r="AK194" s="2"/>
      <c r="AL194" s="2"/>
      <c r="AM194" s="2"/>
    </row>
    <row r="195" spans="1:46" s="8" customFormat="1" ht="13" customHeight="1">
      <c r="A195" s="8" t="s">
        <v>19033</v>
      </c>
      <c r="B195" s="16">
        <v>25</v>
      </c>
      <c r="C195" s="8" t="s">
        <v>20</v>
      </c>
      <c r="D195" s="8" t="s">
        <v>85</v>
      </c>
      <c r="E195" s="8" t="s">
        <v>19271</v>
      </c>
      <c r="F195" s="17">
        <v>42306</v>
      </c>
      <c r="G195" s="8" t="s">
        <v>20449</v>
      </c>
      <c r="H195" s="8" t="s">
        <v>1290</v>
      </c>
      <c r="I195" s="8" t="s">
        <v>69</v>
      </c>
      <c r="J195" s="16" t="s">
        <v>19294</v>
      </c>
      <c r="K195" s="2" t="s">
        <v>1291</v>
      </c>
      <c r="L195" s="8" t="s">
        <v>12628</v>
      </c>
      <c r="M195" s="8" t="s">
        <v>27</v>
      </c>
      <c r="N195" s="2" t="s">
        <v>19315</v>
      </c>
      <c r="O195" s="8" t="s">
        <v>1013</v>
      </c>
      <c r="P195" s="8" t="s">
        <v>401</v>
      </c>
      <c r="Q195" s="12" t="s">
        <v>19034</v>
      </c>
      <c r="R195" s="8" t="s">
        <v>100</v>
      </c>
      <c r="S195" s="8" t="s">
        <v>28</v>
      </c>
      <c r="V195" s="2"/>
      <c r="W195" s="2"/>
      <c r="X195" s="2"/>
      <c r="Y195" s="2"/>
      <c r="Z195" s="2"/>
      <c r="AA195" s="2"/>
      <c r="AB195" s="2"/>
      <c r="AC195" s="2"/>
      <c r="AD195" s="2"/>
      <c r="AE195" s="2"/>
      <c r="AF195" s="2"/>
      <c r="AG195" s="2"/>
      <c r="AH195" s="2"/>
      <c r="AN195" s="2"/>
      <c r="AO195" s="2"/>
      <c r="AP195" s="2"/>
      <c r="AQ195" s="2"/>
      <c r="AR195" s="2"/>
      <c r="AS195" s="2"/>
      <c r="AT195" s="2"/>
    </row>
    <row r="196" spans="1:46" s="8" customFormat="1" ht="13" customHeight="1">
      <c r="A196" s="8" t="s">
        <v>19132</v>
      </c>
      <c r="B196" s="16">
        <v>52</v>
      </c>
      <c r="C196" s="8" t="s">
        <v>20</v>
      </c>
      <c r="D196" s="8" t="s">
        <v>37</v>
      </c>
      <c r="F196" s="17">
        <v>42306</v>
      </c>
      <c r="G196" s="8" t="s">
        <v>20450</v>
      </c>
      <c r="H196" s="8" t="s">
        <v>13890</v>
      </c>
      <c r="I196" s="8" t="s">
        <v>62</v>
      </c>
      <c r="J196" s="16" t="s">
        <v>20451</v>
      </c>
      <c r="K196" s="2" t="s">
        <v>8451</v>
      </c>
      <c r="L196" s="8" t="s">
        <v>8452</v>
      </c>
      <c r="M196" s="8" t="s">
        <v>27</v>
      </c>
      <c r="N196" s="2" t="s">
        <v>20452</v>
      </c>
      <c r="O196" s="8" t="s">
        <v>400</v>
      </c>
      <c r="P196" s="8" t="s">
        <v>401</v>
      </c>
      <c r="Q196" s="12" t="s">
        <v>20453</v>
      </c>
      <c r="R196" s="8" t="s">
        <v>100</v>
      </c>
      <c r="S196" s="8" t="s">
        <v>28</v>
      </c>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spans="1:46" s="8" customFormat="1" ht="13" customHeight="1">
      <c r="A197" s="8" t="s">
        <v>19165</v>
      </c>
      <c r="B197" s="16">
        <v>18</v>
      </c>
      <c r="C197" s="8" t="s">
        <v>20</v>
      </c>
      <c r="D197" s="8" t="s">
        <v>37</v>
      </c>
      <c r="F197" s="17">
        <v>42306</v>
      </c>
      <c r="G197" s="8" t="s">
        <v>20443</v>
      </c>
      <c r="H197" s="8" t="s">
        <v>20444</v>
      </c>
      <c r="I197" s="8" t="s">
        <v>319</v>
      </c>
      <c r="J197" s="16" t="s">
        <v>20445</v>
      </c>
      <c r="K197" s="2" t="s">
        <v>1547</v>
      </c>
      <c r="L197" s="8" t="s">
        <v>20446</v>
      </c>
      <c r="M197" s="8" t="s">
        <v>27</v>
      </c>
      <c r="N197" s="2" t="s">
        <v>20447</v>
      </c>
      <c r="O197" s="8" t="s">
        <v>4714</v>
      </c>
      <c r="P197" s="8" t="s">
        <v>401</v>
      </c>
      <c r="Q197" s="12" t="s">
        <v>20448</v>
      </c>
      <c r="R197" s="8" t="s">
        <v>29</v>
      </c>
      <c r="S197" s="8" t="s">
        <v>28</v>
      </c>
      <c r="V197" s="2"/>
      <c r="W197" s="2"/>
      <c r="X197" s="2"/>
      <c r="Y197" s="2"/>
      <c r="Z197" s="2"/>
      <c r="AA197" s="2"/>
      <c r="AB197" s="2"/>
      <c r="AC197" s="2"/>
      <c r="AD197" s="2"/>
      <c r="AE197" s="2"/>
      <c r="AF197" s="2"/>
      <c r="AG197" s="2"/>
      <c r="AH197" s="2"/>
      <c r="AI197" s="2"/>
      <c r="AJ197" s="2"/>
      <c r="AK197" s="2"/>
      <c r="AL197" s="2"/>
      <c r="AM197" s="2"/>
    </row>
    <row r="198" spans="1:46" s="8" customFormat="1" ht="13" customHeight="1">
      <c r="A198" s="8" t="s">
        <v>19161</v>
      </c>
      <c r="B198" s="16">
        <v>36</v>
      </c>
      <c r="C198" s="8" t="s">
        <v>20</v>
      </c>
      <c r="D198" s="8" t="s">
        <v>37</v>
      </c>
      <c r="E198" s="8" t="s">
        <v>19238</v>
      </c>
      <c r="F198" s="17">
        <v>42306</v>
      </c>
      <c r="G198" s="8" t="s">
        <v>19163</v>
      </c>
      <c r="H198" s="8" t="s">
        <v>19164</v>
      </c>
      <c r="I198" s="8" t="s">
        <v>117</v>
      </c>
      <c r="J198" s="16"/>
      <c r="K198" s="2"/>
      <c r="L198" s="8" t="s">
        <v>29</v>
      </c>
      <c r="M198" s="8" t="s">
        <v>27</v>
      </c>
      <c r="N198" s="2" t="s">
        <v>21561</v>
      </c>
      <c r="P198" s="8" t="s">
        <v>401</v>
      </c>
      <c r="Q198" s="12" t="s">
        <v>19162</v>
      </c>
      <c r="S198" s="8" t="s">
        <v>28</v>
      </c>
      <c r="V198" s="2"/>
      <c r="W198" s="2"/>
      <c r="X198" s="2"/>
      <c r="Y198" s="2"/>
      <c r="Z198" s="2"/>
      <c r="AA198" s="2"/>
      <c r="AB198" s="2"/>
      <c r="AC198" s="2"/>
      <c r="AD198" s="2"/>
      <c r="AE198" s="2"/>
      <c r="AF198" s="2"/>
      <c r="AG198" s="2"/>
      <c r="AH198" s="2"/>
      <c r="AI198" s="2"/>
      <c r="AJ198" s="2"/>
      <c r="AK198" s="2"/>
      <c r="AL198" s="2"/>
      <c r="AM198" s="2"/>
    </row>
    <row r="199" spans="1:46" s="8" customFormat="1" ht="13" customHeight="1">
      <c r="A199" s="8" t="s">
        <v>19038</v>
      </c>
      <c r="B199" s="16">
        <v>25</v>
      </c>
      <c r="C199" s="8" t="s">
        <v>20</v>
      </c>
      <c r="D199" s="8" t="s">
        <v>85</v>
      </c>
      <c r="E199" s="8" t="s">
        <v>19273</v>
      </c>
      <c r="F199" s="17">
        <v>42305</v>
      </c>
      <c r="G199" s="8" t="s">
        <v>19040</v>
      </c>
      <c r="H199" s="8" t="s">
        <v>5194</v>
      </c>
      <c r="I199" s="8" t="s">
        <v>173</v>
      </c>
      <c r="J199" s="16" t="s">
        <v>7207</v>
      </c>
      <c r="K199" s="2" t="s">
        <v>3758</v>
      </c>
      <c r="L199" s="8" t="s">
        <v>7208</v>
      </c>
      <c r="M199" s="8" t="s">
        <v>27</v>
      </c>
      <c r="N199" s="2" t="s">
        <v>19314</v>
      </c>
      <c r="O199" s="8" t="s">
        <v>400</v>
      </c>
      <c r="P199" s="8" t="s">
        <v>401</v>
      </c>
      <c r="Q199" s="12" t="s">
        <v>19039</v>
      </c>
      <c r="R199" s="8" t="s">
        <v>100</v>
      </c>
      <c r="S199" s="8" t="s">
        <v>28</v>
      </c>
      <c r="Y199" s="2"/>
      <c r="Z199" s="2"/>
      <c r="AA199" s="2"/>
      <c r="AB199" s="2"/>
      <c r="AC199" s="2"/>
      <c r="AD199" s="2"/>
      <c r="AE199" s="2"/>
      <c r="AF199" s="2"/>
      <c r="AG199" s="2"/>
      <c r="AH199" s="2"/>
      <c r="AN199" s="2"/>
      <c r="AO199" s="2"/>
      <c r="AP199" s="2"/>
      <c r="AQ199" s="2"/>
      <c r="AR199" s="2"/>
      <c r="AS199" s="2"/>
      <c r="AT199" s="2"/>
    </row>
    <row r="200" spans="1:46" s="8" customFormat="1" ht="13" customHeight="1">
      <c r="A200" s="8" t="s">
        <v>19035</v>
      </c>
      <c r="B200" s="16">
        <v>34</v>
      </c>
      <c r="C200" s="8" t="s">
        <v>20</v>
      </c>
      <c r="D200" s="8" t="s">
        <v>85</v>
      </c>
      <c r="E200" s="8" t="s">
        <v>19272</v>
      </c>
      <c r="F200" s="17">
        <v>42305</v>
      </c>
      <c r="G200" s="8" t="s">
        <v>19037</v>
      </c>
      <c r="H200" s="8" t="s">
        <v>653</v>
      </c>
      <c r="I200" s="8" t="s">
        <v>62</v>
      </c>
      <c r="J200" s="16">
        <v>32211</v>
      </c>
      <c r="K200" s="2"/>
      <c r="L200" s="8" t="s">
        <v>655</v>
      </c>
      <c r="M200" s="8" t="s">
        <v>27</v>
      </c>
      <c r="N200" s="2" t="s">
        <v>21560</v>
      </c>
      <c r="O200" s="8" t="s">
        <v>400</v>
      </c>
      <c r="P200" s="8" t="s">
        <v>401</v>
      </c>
      <c r="Q200" s="12" t="s">
        <v>19036</v>
      </c>
      <c r="S200" s="8" t="s">
        <v>28</v>
      </c>
      <c r="V200" s="2"/>
      <c r="W200" s="2"/>
      <c r="X200" s="2"/>
      <c r="Y200" s="2"/>
      <c r="Z200" s="2"/>
      <c r="AA200" s="2"/>
      <c r="AB200" s="2"/>
      <c r="AC200" s="2"/>
      <c r="AD200" s="2"/>
      <c r="AE200" s="2"/>
      <c r="AF200" s="2"/>
      <c r="AG200" s="2"/>
      <c r="AH200" s="2"/>
      <c r="AN200" s="2"/>
      <c r="AO200" s="2"/>
      <c r="AP200" s="2"/>
      <c r="AQ200" s="2"/>
      <c r="AR200" s="2"/>
      <c r="AS200" s="2"/>
      <c r="AT200" s="2"/>
    </row>
    <row r="201" spans="1:46" s="8" customFormat="1" ht="13" customHeight="1">
      <c r="A201" s="8" t="s">
        <v>19170</v>
      </c>
      <c r="B201" s="16">
        <v>36</v>
      </c>
      <c r="C201" s="8" t="s">
        <v>20</v>
      </c>
      <c r="D201" s="8" t="s">
        <v>37</v>
      </c>
      <c r="E201" s="8" t="s">
        <v>19240</v>
      </c>
      <c r="F201" s="17">
        <v>42305</v>
      </c>
      <c r="G201" s="39" t="s">
        <v>21368</v>
      </c>
      <c r="H201" s="39" t="s">
        <v>2662</v>
      </c>
      <c r="I201" s="39" t="s">
        <v>117</v>
      </c>
      <c r="J201" s="39"/>
      <c r="K201" s="2"/>
      <c r="L201" s="39" t="s">
        <v>2055</v>
      </c>
      <c r="M201" s="8" t="s">
        <v>27</v>
      </c>
      <c r="N201" s="2" t="s">
        <v>21559</v>
      </c>
      <c r="P201" s="8" t="s">
        <v>401</v>
      </c>
      <c r="Q201" s="12" t="s">
        <v>19171</v>
      </c>
      <c r="S201" s="8" t="s">
        <v>28</v>
      </c>
      <c r="V201" s="2"/>
      <c r="W201" s="2"/>
      <c r="X201" s="2"/>
      <c r="Y201" s="2"/>
      <c r="Z201" s="2"/>
      <c r="AA201" s="2"/>
      <c r="AB201" s="2"/>
      <c r="AC201" s="2"/>
      <c r="AD201" s="2"/>
      <c r="AE201" s="2"/>
      <c r="AF201" s="2"/>
      <c r="AG201" s="2"/>
      <c r="AH201" s="2"/>
      <c r="AI201" s="2"/>
      <c r="AJ201" s="2"/>
      <c r="AK201" s="2"/>
      <c r="AL201" s="2"/>
      <c r="AM201" s="2"/>
    </row>
    <row r="202" spans="1:46" s="8" customFormat="1" ht="13" customHeight="1">
      <c r="A202" s="8" t="s">
        <v>19166</v>
      </c>
      <c r="B202" s="16">
        <v>57</v>
      </c>
      <c r="C202" s="8" t="s">
        <v>20</v>
      </c>
      <c r="D202" s="8" t="s">
        <v>37</v>
      </c>
      <c r="E202" s="8" t="s">
        <v>19239</v>
      </c>
      <c r="F202" s="17">
        <v>42305</v>
      </c>
      <c r="G202" s="8" t="s">
        <v>19168</v>
      </c>
      <c r="H202" s="8" t="s">
        <v>19169</v>
      </c>
      <c r="I202" s="8" t="s">
        <v>671</v>
      </c>
      <c r="J202" s="16" t="s">
        <v>20454</v>
      </c>
      <c r="K202" s="2" t="s">
        <v>1108</v>
      </c>
      <c r="L202" s="8" t="s">
        <v>5203</v>
      </c>
      <c r="M202" s="8" t="s">
        <v>27</v>
      </c>
      <c r="N202" s="2" t="s">
        <v>20455</v>
      </c>
      <c r="O202" s="8" t="s">
        <v>400</v>
      </c>
      <c r="P202" s="8" t="s">
        <v>401</v>
      </c>
      <c r="Q202" s="12" t="s">
        <v>19167</v>
      </c>
      <c r="R202" s="8" t="s">
        <v>100</v>
      </c>
      <c r="S202" s="8" t="s">
        <v>28</v>
      </c>
      <c r="V202" s="2"/>
      <c r="W202" s="2"/>
      <c r="X202" s="2"/>
      <c r="Y202" s="2"/>
      <c r="Z202" s="2"/>
      <c r="AA202" s="2"/>
      <c r="AB202" s="2"/>
      <c r="AC202" s="2"/>
      <c r="AD202" s="2"/>
      <c r="AE202" s="2"/>
      <c r="AF202" s="2"/>
      <c r="AG202" s="2"/>
      <c r="AH202" s="2"/>
      <c r="AI202" s="2"/>
      <c r="AJ202" s="2"/>
      <c r="AK202" s="2"/>
      <c r="AL202" s="2"/>
      <c r="AM202" s="2"/>
    </row>
    <row r="203" spans="1:46" s="8" customFormat="1" ht="13" customHeight="1">
      <c r="A203" s="8" t="s">
        <v>19041</v>
      </c>
      <c r="B203" s="16">
        <v>29</v>
      </c>
      <c r="C203" s="8" t="s">
        <v>20</v>
      </c>
      <c r="D203" s="8" t="s">
        <v>85</v>
      </c>
      <c r="E203" s="8" t="s">
        <v>19274</v>
      </c>
      <c r="F203" s="17">
        <v>42304</v>
      </c>
      <c r="G203" s="8" t="s">
        <v>19043</v>
      </c>
      <c r="H203" s="8" t="s">
        <v>156</v>
      </c>
      <c r="I203" s="8" t="s">
        <v>45</v>
      </c>
      <c r="J203" s="16"/>
      <c r="K203" s="2"/>
      <c r="L203" s="8" t="s">
        <v>19044</v>
      </c>
      <c r="M203" s="8" t="s">
        <v>27</v>
      </c>
      <c r="N203" s="2"/>
      <c r="O203" s="8" t="s">
        <v>400</v>
      </c>
      <c r="P203" s="8" t="s">
        <v>401</v>
      </c>
      <c r="Q203" s="12" t="s">
        <v>19042</v>
      </c>
      <c r="S203" s="8" t="s">
        <v>18</v>
      </c>
      <c r="V203" s="2"/>
      <c r="W203" s="2"/>
      <c r="X203" s="2"/>
      <c r="Y203" s="2"/>
      <c r="Z203" s="2"/>
      <c r="AA203" s="2"/>
      <c r="AB203" s="2"/>
      <c r="AC203" s="2"/>
      <c r="AD203" s="2"/>
      <c r="AE203" s="2"/>
      <c r="AF203" s="2"/>
      <c r="AG203" s="2"/>
      <c r="AH203" s="2"/>
      <c r="AN203" s="2"/>
      <c r="AO203" s="2"/>
      <c r="AP203" s="2"/>
      <c r="AQ203" s="2"/>
      <c r="AR203" s="2"/>
      <c r="AS203" s="2"/>
      <c r="AT203" s="2"/>
    </row>
    <row r="204" spans="1:46" s="8" customFormat="1" ht="13" customHeight="1">
      <c r="A204" s="8" t="s">
        <v>19049</v>
      </c>
      <c r="B204" s="16">
        <v>18</v>
      </c>
      <c r="C204" s="8" t="s">
        <v>20</v>
      </c>
      <c r="D204" s="8" t="s">
        <v>21</v>
      </c>
      <c r="E204" s="8" t="s">
        <v>19276</v>
      </c>
      <c r="F204" s="17">
        <v>42303</v>
      </c>
      <c r="G204" s="8" t="s">
        <v>20457</v>
      </c>
      <c r="H204" s="8" t="s">
        <v>1571</v>
      </c>
      <c r="I204" s="8" t="s">
        <v>62</v>
      </c>
      <c r="J204" s="16" t="s">
        <v>20458</v>
      </c>
      <c r="K204" s="2" t="s">
        <v>640</v>
      </c>
      <c r="L204" s="8" t="s">
        <v>1573</v>
      </c>
      <c r="M204" s="8" t="s">
        <v>27</v>
      </c>
      <c r="N204" s="2" t="s">
        <v>20459</v>
      </c>
      <c r="O204" s="8" t="s">
        <v>400</v>
      </c>
      <c r="P204" s="8" t="s">
        <v>401</v>
      </c>
      <c r="Q204" s="12" t="s">
        <v>19050</v>
      </c>
      <c r="R204" s="8" t="s">
        <v>100</v>
      </c>
      <c r="S204" s="8" t="s">
        <v>18</v>
      </c>
      <c r="V204" s="2"/>
      <c r="W204" s="2"/>
      <c r="X204" s="2"/>
      <c r="Y204" s="2"/>
      <c r="Z204" s="2"/>
      <c r="AA204" s="2"/>
      <c r="AB204" s="2"/>
      <c r="AC204" s="2"/>
      <c r="AD204" s="2"/>
      <c r="AE204" s="2"/>
      <c r="AF204" s="2"/>
      <c r="AG204" s="2"/>
      <c r="AH204" s="2"/>
      <c r="AN204" s="2"/>
      <c r="AO204" s="2"/>
      <c r="AP204" s="2"/>
      <c r="AQ204" s="2"/>
      <c r="AR204" s="2"/>
      <c r="AS204" s="2"/>
      <c r="AT204" s="2"/>
    </row>
    <row r="205" spans="1:46" s="8" customFormat="1" ht="13" customHeight="1">
      <c r="A205" s="8" t="s">
        <v>19045</v>
      </c>
      <c r="B205" s="16">
        <v>21</v>
      </c>
      <c r="C205" s="8" t="s">
        <v>114</v>
      </c>
      <c r="D205" s="8" t="s">
        <v>85</v>
      </c>
      <c r="E205" s="8" t="s">
        <v>19275</v>
      </c>
      <c r="F205" s="17">
        <v>42303</v>
      </c>
      <c r="G205" s="8" t="s">
        <v>19047</v>
      </c>
      <c r="H205" s="8" t="s">
        <v>118</v>
      </c>
      <c r="I205" s="8" t="s">
        <v>3685</v>
      </c>
      <c r="J205" s="16"/>
      <c r="K205" s="2"/>
      <c r="L205" s="8" t="s">
        <v>19048</v>
      </c>
      <c r="M205" s="8" t="s">
        <v>27</v>
      </c>
      <c r="N205" s="2" t="s">
        <v>21558</v>
      </c>
      <c r="O205" s="8" t="s">
        <v>400</v>
      </c>
      <c r="P205" s="8" t="s">
        <v>401</v>
      </c>
      <c r="Q205" s="12" t="s">
        <v>19046</v>
      </c>
      <c r="S205" s="8" t="s">
        <v>28</v>
      </c>
      <c r="V205" s="2"/>
      <c r="W205" s="2"/>
      <c r="X205" s="2"/>
      <c r="Y205" s="2"/>
      <c r="Z205" s="2"/>
      <c r="AA205" s="2"/>
      <c r="AB205" s="2"/>
      <c r="AC205" s="2"/>
      <c r="AD205" s="2"/>
      <c r="AE205" s="2"/>
      <c r="AF205" s="2"/>
      <c r="AG205" s="2"/>
      <c r="AH205" s="2"/>
      <c r="AN205" s="2"/>
      <c r="AO205" s="2"/>
      <c r="AP205" s="2"/>
      <c r="AQ205" s="2"/>
      <c r="AR205" s="2"/>
      <c r="AS205" s="2"/>
      <c r="AT205" s="2"/>
    </row>
    <row r="206" spans="1:46" s="8" customFormat="1" ht="13" customHeight="1">
      <c r="A206" s="8" t="s">
        <v>19051</v>
      </c>
      <c r="B206" s="16">
        <v>45</v>
      </c>
      <c r="C206" s="8" t="s">
        <v>20</v>
      </c>
      <c r="D206" s="8" t="s">
        <v>85</v>
      </c>
      <c r="F206" s="17">
        <v>42303</v>
      </c>
      <c r="G206" s="8" t="s">
        <v>19053</v>
      </c>
      <c r="H206" s="8" t="s">
        <v>3116</v>
      </c>
      <c r="I206" s="8" t="s">
        <v>52</v>
      </c>
      <c r="J206" s="16" t="s">
        <v>18782</v>
      </c>
      <c r="K206" s="2" t="s">
        <v>3116</v>
      </c>
      <c r="L206" s="8" t="s">
        <v>698</v>
      </c>
      <c r="M206" s="8" t="s">
        <v>27</v>
      </c>
      <c r="N206" s="2" t="s">
        <v>20456</v>
      </c>
      <c r="O206" s="8" t="s">
        <v>400</v>
      </c>
      <c r="P206" s="8" t="s">
        <v>401</v>
      </c>
      <c r="Q206" s="12" t="s">
        <v>19052</v>
      </c>
      <c r="R206" s="8" t="s">
        <v>100</v>
      </c>
      <c r="S206" s="8" t="s">
        <v>28</v>
      </c>
      <c r="V206" s="2"/>
      <c r="W206" s="2"/>
      <c r="X206" s="2"/>
      <c r="Y206" s="2"/>
      <c r="Z206" s="2"/>
      <c r="AA206" s="2"/>
      <c r="AB206" s="2"/>
      <c r="AC206" s="2"/>
      <c r="AD206" s="2"/>
      <c r="AE206" s="2"/>
      <c r="AF206" s="2"/>
      <c r="AG206" s="2"/>
      <c r="AH206" s="2"/>
      <c r="AN206" s="2"/>
      <c r="AO206" s="2"/>
      <c r="AP206" s="2"/>
      <c r="AQ206" s="2"/>
      <c r="AR206" s="2"/>
      <c r="AS206" s="2"/>
      <c r="AT206" s="2"/>
    </row>
    <row r="207" spans="1:46" s="8" customFormat="1" ht="13" customHeight="1">
      <c r="A207" s="8" t="s">
        <v>19094</v>
      </c>
      <c r="B207" s="16">
        <v>24</v>
      </c>
      <c r="C207" s="8" t="s">
        <v>20</v>
      </c>
      <c r="D207" s="8" t="s">
        <v>48</v>
      </c>
      <c r="E207" s="8" t="s">
        <v>19264</v>
      </c>
      <c r="F207" s="17">
        <v>42303</v>
      </c>
      <c r="G207" s="8" t="s">
        <v>19096</v>
      </c>
      <c r="H207" s="8" t="s">
        <v>1103</v>
      </c>
      <c r="I207" s="8" t="s">
        <v>404</v>
      </c>
      <c r="J207" s="16"/>
      <c r="K207" s="2"/>
      <c r="L207" s="8" t="s">
        <v>19097</v>
      </c>
      <c r="M207" s="8" t="s">
        <v>391</v>
      </c>
      <c r="N207" s="2"/>
      <c r="P207" s="8" t="s">
        <v>401</v>
      </c>
      <c r="Q207" s="12" t="s">
        <v>19095</v>
      </c>
      <c r="S207" s="8" t="s">
        <v>18</v>
      </c>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row>
    <row r="208" spans="1:46" s="8" customFormat="1" ht="13" customHeight="1">
      <c r="A208" s="8" t="s">
        <v>19172</v>
      </c>
      <c r="B208" s="16">
        <v>57</v>
      </c>
      <c r="C208" s="8" t="s">
        <v>114</v>
      </c>
      <c r="D208" s="8" t="s">
        <v>37</v>
      </c>
      <c r="E208" s="8" t="s">
        <v>19241</v>
      </c>
      <c r="F208" s="17">
        <v>42302</v>
      </c>
      <c r="G208" s="8" t="s">
        <v>20472</v>
      </c>
      <c r="H208" s="8" t="s">
        <v>15888</v>
      </c>
      <c r="I208" s="8" t="s">
        <v>404</v>
      </c>
      <c r="J208" s="16" t="s">
        <v>15889</v>
      </c>
      <c r="K208" s="2" t="s">
        <v>1520</v>
      </c>
      <c r="L208" s="8" t="s">
        <v>511</v>
      </c>
      <c r="M208" s="8" t="s">
        <v>379</v>
      </c>
      <c r="N208" s="2" t="s">
        <v>20473</v>
      </c>
      <c r="O208" s="8" t="s">
        <v>4714</v>
      </c>
      <c r="P208" s="8" t="s">
        <v>401</v>
      </c>
      <c r="Q208" s="12" t="s">
        <v>19173</v>
      </c>
      <c r="R208" s="8" t="s">
        <v>100</v>
      </c>
      <c r="S208" s="8" t="s">
        <v>379</v>
      </c>
      <c r="V208" s="2"/>
      <c r="W208" s="2"/>
      <c r="X208" s="2"/>
      <c r="Y208" s="2"/>
      <c r="Z208" s="2"/>
      <c r="AA208" s="2"/>
      <c r="AB208" s="2"/>
      <c r="AC208" s="2"/>
      <c r="AD208" s="2"/>
      <c r="AE208" s="2"/>
      <c r="AF208" s="2"/>
      <c r="AG208" s="2"/>
      <c r="AH208" s="2"/>
      <c r="AI208" s="2"/>
      <c r="AJ208" s="2"/>
      <c r="AK208" s="2"/>
      <c r="AL208" s="2"/>
      <c r="AM208" s="2"/>
    </row>
    <row r="209" spans="1:49" s="8" customFormat="1" ht="13" customHeight="1">
      <c r="A209" s="8" t="s">
        <v>19054</v>
      </c>
      <c r="B209" s="16">
        <v>34</v>
      </c>
      <c r="C209" s="8" t="s">
        <v>20</v>
      </c>
      <c r="D209" s="8" t="s">
        <v>85</v>
      </c>
      <c r="E209" s="8" t="s">
        <v>19277</v>
      </c>
      <c r="F209" s="17">
        <v>42301</v>
      </c>
      <c r="G209" s="8" t="s">
        <v>19055</v>
      </c>
      <c r="H209" s="8" t="s">
        <v>7767</v>
      </c>
      <c r="I209" s="8" t="s">
        <v>62</v>
      </c>
      <c r="J209" s="16" t="s">
        <v>7768</v>
      </c>
      <c r="K209" s="2" t="s">
        <v>5575</v>
      </c>
      <c r="L209" s="8" t="s">
        <v>15951</v>
      </c>
      <c r="M209" s="8" t="s">
        <v>27</v>
      </c>
      <c r="N209" s="2" t="s">
        <v>19313</v>
      </c>
      <c r="O209" s="8" t="s">
        <v>400</v>
      </c>
      <c r="P209" s="8" t="s">
        <v>401</v>
      </c>
      <c r="Q209" s="12" t="s">
        <v>20471</v>
      </c>
      <c r="R209" s="8" t="s">
        <v>100</v>
      </c>
      <c r="S209" s="8" t="s">
        <v>28</v>
      </c>
      <c r="V209" s="2"/>
      <c r="W209" s="2"/>
      <c r="X209" s="2"/>
      <c r="Y209" s="2"/>
      <c r="Z209" s="2"/>
      <c r="AA209" s="2"/>
      <c r="AB209" s="2"/>
      <c r="AC209" s="2"/>
      <c r="AD209" s="2"/>
      <c r="AE209" s="2"/>
      <c r="AF209" s="2"/>
      <c r="AG209" s="2"/>
      <c r="AH209" s="2"/>
      <c r="AN209" s="2"/>
      <c r="AO209" s="2"/>
      <c r="AP209" s="2"/>
      <c r="AQ209" s="2"/>
      <c r="AR209" s="2"/>
      <c r="AS209" s="2"/>
      <c r="AT209" s="2"/>
    </row>
    <row r="210" spans="1:49" s="8" customFormat="1" ht="13" customHeight="1">
      <c r="A210" s="8" t="s">
        <v>19056</v>
      </c>
      <c r="B210" s="16">
        <v>30</v>
      </c>
      <c r="C210" s="8" t="s">
        <v>20</v>
      </c>
      <c r="D210" s="8" t="s">
        <v>85</v>
      </c>
      <c r="E210" s="8" t="s">
        <v>19278</v>
      </c>
      <c r="F210" s="17">
        <v>42301</v>
      </c>
      <c r="G210" s="8" t="s">
        <v>19058</v>
      </c>
      <c r="H210" s="8" t="s">
        <v>19059</v>
      </c>
      <c r="I210" s="8" t="s">
        <v>45</v>
      </c>
      <c r="J210" s="16" t="s">
        <v>20464</v>
      </c>
      <c r="K210" s="2" t="s">
        <v>786</v>
      </c>
      <c r="L210" s="8" t="s">
        <v>19060</v>
      </c>
      <c r="M210" s="8" t="s">
        <v>27</v>
      </c>
      <c r="N210" s="2" t="s">
        <v>20465</v>
      </c>
      <c r="O210" s="8" t="s">
        <v>400</v>
      </c>
      <c r="P210" s="8" t="s">
        <v>401</v>
      </c>
      <c r="Q210" s="12" t="s">
        <v>19057</v>
      </c>
      <c r="R210" s="8" t="s">
        <v>29</v>
      </c>
      <c r="S210" s="8" t="s">
        <v>35</v>
      </c>
      <c r="T210" s="13"/>
      <c r="U210" s="13"/>
      <c r="V210" s="2"/>
      <c r="W210" s="2"/>
      <c r="X210" s="2"/>
      <c r="Y210" s="2"/>
      <c r="Z210" s="2"/>
      <c r="AA210" s="2"/>
      <c r="AB210" s="2"/>
      <c r="AC210" s="2"/>
      <c r="AD210" s="2"/>
      <c r="AE210" s="2"/>
      <c r="AF210" s="2"/>
      <c r="AG210" s="2"/>
      <c r="AH210" s="2"/>
      <c r="AN210" s="2"/>
      <c r="AO210" s="2"/>
      <c r="AP210" s="2"/>
      <c r="AQ210" s="2"/>
      <c r="AR210" s="2"/>
      <c r="AS210" s="2"/>
      <c r="AT210" s="2"/>
    </row>
    <row r="211" spans="1:49" s="8" customFormat="1" ht="13" customHeight="1">
      <c r="A211" s="8" t="s">
        <v>19098</v>
      </c>
      <c r="B211" s="16">
        <v>34</v>
      </c>
      <c r="C211" s="8" t="s">
        <v>20</v>
      </c>
      <c r="D211" s="8" t="s">
        <v>48</v>
      </c>
      <c r="F211" s="17">
        <v>42301</v>
      </c>
      <c r="G211" s="8" t="s">
        <v>19100</v>
      </c>
      <c r="H211" s="8" t="s">
        <v>786</v>
      </c>
      <c r="I211" s="8" t="s">
        <v>45</v>
      </c>
      <c r="J211" s="16"/>
      <c r="K211" s="2"/>
      <c r="L211" s="8" t="s">
        <v>960</v>
      </c>
      <c r="M211" s="8" t="s">
        <v>27</v>
      </c>
      <c r="N211" s="2" t="s">
        <v>21557</v>
      </c>
      <c r="P211" s="8" t="s">
        <v>401</v>
      </c>
      <c r="Q211" s="12" t="s">
        <v>19099</v>
      </c>
      <c r="S211" s="8" t="s">
        <v>28</v>
      </c>
      <c r="T211" s="13"/>
      <c r="U211" s="13"/>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row>
    <row r="212" spans="1:49" s="8" customFormat="1" ht="13" customHeight="1">
      <c r="A212" s="8" t="s">
        <v>19178</v>
      </c>
      <c r="B212" s="16">
        <v>28</v>
      </c>
      <c r="C212" s="8" t="s">
        <v>20</v>
      </c>
      <c r="D212" s="8" t="s">
        <v>37</v>
      </c>
      <c r="E212" s="8" t="s">
        <v>19243</v>
      </c>
      <c r="F212" s="17">
        <v>42301</v>
      </c>
      <c r="G212" s="8" t="s">
        <v>19180</v>
      </c>
      <c r="H212" s="8" t="s">
        <v>19181</v>
      </c>
      <c r="I212" s="8" t="s">
        <v>69</v>
      </c>
      <c r="J212" s="16"/>
      <c r="K212" s="2"/>
      <c r="L212" s="8" t="s">
        <v>19182</v>
      </c>
      <c r="M212" s="8" t="s">
        <v>27</v>
      </c>
      <c r="N212" s="2" t="s">
        <v>21556</v>
      </c>
      <c r="P212" s="8" t="s">
        <v>401</v>
      </c>
      <c r="Q212" s="12" t="s">
        <v>19179</v>
      </c>
      <c r="S212" s="8" t="s">
        <v>28</v>
      </c>
      <c r="V212" s="2"/>
      <c r="W212" s="2"/>
      <c r="X212" s="2"/>
      <c r="Y212" s="2"/>
      <c r="Z212" s="2"/>
      <c r="AA212" s="2"/>
      <c r="AB212" s="2"/>
      <c r="AC212" s="2"/>
      <c r="AD212" s="2"/>
      <c r="AE212" s="2"/>
      <c r="AF212" s="2"/>
      <c r="AG212" s="2"/>
      <c r="AH212" s="2"/>
      <c r="AI212" s="2"/>
      <c r="AJ212" s="2"/>
      <c r="AK212" s="2"/>
      <c r="AL212" s="2"/>
      <c r="AM212" s="2"/>
    </row>
    <row r="213" spans="1:49" s="8" customFormat="1" ht="13" customHeight="1">
      <c r="A213" s="8" t="s">
        <v>19174</v>
      </c>
      <c r="B213" s="16">
        <v>36</v>
      </c>
      <c r="C213" s="8" t="s">
        <v>20</v>
      </c>
      <c r="D213" s="8" t="s">
        <v>37</v>
      </c>
      <c r="E213" s="8" t="s">
        <v>19242</v>
      </c>
      <c r="F213" s="17">
        <v>42301</v>
      </c>
      <c r="G213" s="8" t="s">
        <v>19176</v>
      </c>
      <c r="H213" s="8" t="s">
        <v>19177</v>
      </c>
      <c r="I213" s="8" t="s">
        <v>173</v>
      </c>
      <c r="J213" s="16"/>
      <c r="K213" s="2"/>
      <c r="L213" s="8" t="s">
        <v>5137</v>
      </c>
      <c r="M213" s="8" t="s">
        <v>27</v>
      </c>
      <c r="N213" s="2" t="s">
        <v>21555</v>
      </c>
      <c r="P213" s="8" t="s">
        <v>401</v>
      </c>
      <c r="Q213" s="12" t="s">
        <v>19175</v>
      </c>
      <c r="S213" s="8" t="s">
        <v>28</v>
      </c>
      <c r="V213" s="2"/>
      <c r="W213" s="2"/>
      <c r="X213" s="2"/>
      <c r="Y213" s="2"/>
      <c r="Z213" s="2"/>
      <c r="AA213" s="2"/>
      <c r="AB213" s="2"/>
      <c r="AC213" s="2"/>
      <c r="AD213" s="2"/>
      <c r="AE213" s="2"/>
      <c r="AF213" s="2"/>
      <c r="AG213" s="2"/>
      <c r="AH213" s="2"/>
      <c r="AI213" s="2"/>
      <c r="AJ213" s="2"/>
      <c r="AK213" s="2"/>
      <c r="AL213" s="2"/>
      <c r="AM213" s="2"/>
      <c r="AU213" s="13"/>
      <c r="AV213" s="13"/>
      <c r="AW213" s="13"/>
    </row>
    <row r="214" spans="1:49" s="8" customFormat="1" ht="13" customHeight="1">
      <c r="A214" s="8" t="s">
        <v>19183</v>
      </c>
      <c r="B214" s="16">
        <v>47</v>
      </c>
      <c r="C214" s="8" t="s">
        <v>20</v>
      </c>
      <c r="D214" s="8" t="s">
        <v>37</v>
      </c>
      <c r="F214" s="17">
        <v>42301</v>
      </c>
      <c r="G214" s="8" t="s">
        <v>19184</v>
      </c>
      <c r="H214" s="8" t="s">
        <v>2662</v>
      </c>
      <c r="I214" s="8" t="s">
        <v>438</v>
      </c>
      <c r="J214" s="16" t="s">
        <v>20460</v>
      </c>
      <c r="K214" s="2" t="s">
        <v>3642</v>
      </c>
      <c r="L214" s="8" t="s">
        <v>20461</v>
      </c>
      <c r="M214" s="8" t="s">
        <v>27</v>
      </c>
      <c r="N214" s="2" t="s">
        <v>20462</v>
      </c>
      <c r="O214" s="8" t="s">
        <v>400</v>
      </c>
      <c r="P214" s="8" t="s">
        <v>401</v>
      </c>
      <c r="Q214" s="12" t="s">
        <v>20463</v>
      </c>
      <c r="R214" s="8" t="s">
        <v>100</v>
      </c>
      <c r="S214" s="8" t="s">
        <v>28</v>
      </c>
      <c r="V214" s="2"/>
      <c r="W214" s="2"/>
      <c r="X214" s="2"/>
      <c r="Y214" s="2"/>
      <c r="Z214" s="2"/>
      <c r="AA214" s="2"/>
      <c r="AB214" s="2"/>
      <c r="AC214" s="2"/>
      <c r="AD214" s="2"/>
      <c r="AE214" s="2"/>
      <c r="AF214" s="2"/>
      <c r="AG214" s="2"/>
      <c r="AH214" s="2"/>
      <c r="AI214" s="2"/>
      <c r="AJ214" s="2"/>
      <c r="AK214" s="2"/>
      <c r="AL214" s="2"/>
      <c r="AM214" s="2"/>
    </row>
    <row r="215" spans="1:49" s="8" customFormat="1" ht="13" customHeight="1">
      <c r="A215" s="8" t="s">
        <v>19133</v>
      </c>
      <c r="B215" s="16">
        <v>49</v>
      </c>
      <c r="C215" s="8" t="s">
        <v>20</v>
      </c>
      <c r="D215" s="8" t="s">
        <v>37</v>
      </c>
      <c r="F215" s="17">
        <v>42301</v>
      </c>
      <c r="G215" s="8" t="s">
        <v>20466</v>
      </c>
      <c r="H215" s="8" t="s">
        <v>16583</v>
      </c>
      <c r="I215" s="8" t="s">
        <v>330</v>
      </c>
      <c r="J215" s="16" t="s">
        <v>20467</v>
      </c>
      <c r="K215" s="2" t="s">
        <v>20468</v>
      </c>
      <c r="L215" s="8" t="s">
        <v>11263</v>
      </c>
      <c r="M215" s="8" t="s">
        <v>27</v>
      </c>
      <c r="N215" s="2" t="s">
        <v>20469</v>
      </c>
      <c r="O215" s="8" t="s">
        <v>400</v>
      </c>
      <c r="P215" s="8" t="s">
        <v>401</v>
      </c>
      <c r="Q215" s="12" t="s">
        <v>20470</v>
      </c>
      <c r="R215" s="8" t="s">
        <v>100</v>
      </c>
      <c r="S215" s="8" t="s">
        <v>35</v>
      </c>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13"/>
      <c r="AV215" s="13"/>
      <c r="AW215" s="13"/>
    </row>
    <row r="216" spans="1:49" s="8" customFormat="1" ht="13" customHeight="1">
      <c r="A216" s="8" t="s">
        <v>19061</v>
      </c>
      <c r="B216" s="16">
        <v>18</v>
      </c>
      <c r="C216" s="8" t="s">
        <v>20</v>
      </c>
      <c r="D216" s="8" t="s">
        <v>85</v>
      </c>
      <c r="E216" s="8" t="s">
        <v>19279</v>
      </c>
      <c r="F216" s="17">
        <v>42300</v>
      </c>
      <c r="G216" s="8" t="s">
        <v>19063</v>
      </c>
      <c r="H216" s="8" t="s">
        <v>16131</v>
      </c>
      <c r="I216" s="8" t="s">
        <v>395</v>
      </c>
      <c r="J216" s="16"/>
      <c r="K216" s="2"/>
      <c r="L216" s="8" t="s">
        <v>1149</v>
      </c>
      <c r="M216" s="8" t="s">
        <v>27</v>
      </c>
      <c r="N216" s="2" t="s">
        <v>21553</v>
      </c>
      <c r="O216" s="8" t="s">
        <v>400</v>
      </c>
      <c r="P216" s="8" t="s">
        <v>401</v>
      </c>
      <c r="Q216" s="12" t="s">
        <v>19062</v>
      </c>
      <c r="S216" s="8" t="s">
        <v>28</v>
      </c>
      <c r="V216" s="2"/>
      <c r="W216" s="2"/>
      <c r="X216" s="2"/>
      <c r="Y216" s="2"/>
      <c r="Z216" s="2"/>
      <c r="AA216" s="2"/>
      <c r="AB216" s="2"/>
      <c r="AC216" s="2"/>
      <c r="AD216" s="2"/>
      <c r="AE216" s="2"/>
      <c r="AF216" s="2"/>
      <c r="AG216" s="2"/>
      <c r="AH216" s="2"/>
      <c r="AN216" s="2"/>
      <c r="AO216" s="2"/>
      <c r="AP216" s="2"/>
      <c r="AQ216" s="2"/>
      <c r="AR216" s="2"/>
      <c r="AS216" s="2"/>
      <c r="AT216" s="2"/>
    </row>
    <row r="217" spans="1:49" s="8" customFormat="1" ht="13" customHeight="1">
      <c r="A217" s="8" t="s">
        <v>19101</v>
      </c>
      <c r="B217" s="16">
        <v>22</v>
      </c>
      <c r="C217" s="8" t="s">
        <v>20</v>
      </c>
      <c r="D217" s="8" t="s">
        <v>48</v>
      </c>
      <c r="E217" s="8" t="s">
        <v>19263</v>
      </c>
      <c r="F217" s="17">
        <v>42300</v>
      </c>
      <c r="H217" s="8" t="s">
        <v>21373</v>
      </c>
      <c r="I217" s="8" t="s">
        <v>62</v>
      </c>
      <c r="J217" s="16"/>
      <c r="K217" s="2"/>
      <c r="L217" s="8" t="s">
        <v>21377</v>
      </c>
      <c r="M217" s="8" t="s">
        <v>379</v>
      </c>
      <c r="N217" s="2" t="s">
        <v>21376</v>
      </c>
      <c r="P217" s="8" t="s">
        <v>401</v>
      </c>
      <c r="Q217" s="12" t="s">
        <v>19102</v>
      </c>
      <c r="S217" s="8" t="s">
        <v>18</v>
      </c>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row>
    <row r="218" spans="1:49" s="13" customFormat="1" ht="13" customHeight="1">
      <c r="A218" s="8" t="s">
        <v>19064</v>
      </c>
      <c r="B218" s="16">
        <v>36</v>
      </c>
      <c r="C218" s="8" t="s">
        <v>20</v>
      </c>
      <c r="D218" s="8" t="s">
        <v>85</v>
      </c>
      <c r="E218" s="8" t="s">
        <v>19280</v>
      </c>
      <c r="F218" s="17">
        <v>42299</v>
      </c>
      <c r="G218" s="8" t="s">
        <v>20474</v>
      </c>
      <c r="H218" s="8" t="s">
        <v>19065</v>
      </c>
      <c r="I218" s="8" t="s">
        <v>45</v>
      </c>
      <c r="J218" s="16" t="s">
        <v>19299</v>
      </c>
      <c r="K218" s="2" t="s">
        <v>1646</v>
      </c>
      <c r="L218" s="8" t="s">
        <v>11433</v>
      </c>
      <c r="M218" s="8" t="s">
        <v>27</v>
      </c>
      <c r="N218" s="2" t="s">
        <v>19311</v>
      </c>
      <c r="O218" s="8" t="s">
        <v>400</v>
      </c>
      <c r="P218" s="8" t="s">
        <v>401</v>
      </c>
      <c r="Q218" s="12" t="s">
        <v>20475</v>
      </c>
      <c r="R218" s="8" t="s">
        <v>100</v>
      </c>
      <c r="S218" s="8" t="s">
        <v>28</v>
      </c>
      <c r="T218" s="8"/>
      <c r="U218" s="8"/>
      <c r="V218" s="2"/>
      <c r="W218" s="2"/>
      <c r="X218" s="2"/>
      <c r="Y218" s="2"/>
      <c r="Z218" s="2"/>
      <c r="AA218" s="2"/>
      <c r="AB218" s="2"/>
      <c r="AC218" s="2"/>
      <c r="AD218" s="2"/>
      <c r="AE218" s="2"/>
      <c r="AF218" s="2"/>
      <c r="AG218" s="2"/>
      <c r="AH218" s="2"/>
      <c r="AI218" s="8"/>
      <c r="AJ218" s="8"/>
      <c r="AK218" s="8"/>
      <c r="AL218" s="8"/>
      <c r="AM218" s="8"/>
      <c r="AN218" s="2"/>
      <c r="AO218" s="2"/>
      <c r="AP218" s="2"/>
      <c r="AQ218" s="2"/>
      <c r="AR218" s="2"/>
      <c r="AS218" s="2"/>
      <c r="AT218" s="2"/>
      <c r="AU218" s="8"/>
      <c r="AV218" s="8"/>
      <c r="AW218" s="8"/>
    </row>
    <row r="219" spans="1:49" s="8" customFormat="1" ht="13" customHeight="1">
      <c r="A219" s="8" t="s">
        <v>19066</v>
      </c>
      <c r="B219" s="16">
        <v>38</v>
      </c>
      <c r="C219" s="8" t="s">
        <v>20</v>
      </c>
      <c r="D219" s="8" t="s">
        <v>85</v>
      </c>
      <c r="E219" s="8" t="s">
        <v>19281</v>
      </c>
      <c r="F219" s="17">
        <v>42299</v>
      </c>
      <c r="G219" s="8" t="s">
        <v>19067</v>
      </c>
      <c r="H219" s="8" t="s">
        <v>459</v>
      </c>
      <c r="I219" s="8" t="s">
        <v>25</v>
      </c>
      <c r="J219" s="16" t="s">
        <v>10157</v>
      </c>
      <c r="K219" s="2" t="s">
        <v>5944</v>
      </c>
      <c r="L219" s="8" t="s">
        <v>460</v>
      </c>
      <c r="M219" s="8" t="s">
        <v>27</v>
      </c>
      <c r="N219" s="2" t="s">
        <v>19312</v>
      </c>
      <c r="O219" s="8" t="s">
        <v>400</v>
      </c>
      <c r="P219" s="8" t="s">
        <v>401</v>
      </c>
      <c r="Q219" s="12" t="s">
        <v>20476</v>
      </c>
      <c r="R219" s="8" t="s">
        <v>100</v>
      </c>
      <c r="S219" s="8" t="s">
        <v>28</v>
      </c>
      <c r="V219" s="2"/>
      <c r="W219" s="2"/>
      <c r="X219" s="2"/>
      <c r="Y219" s="2"/>
      <c r="Z219" s="2"/>
      <c r="AA219" s="2"/>
      <c r="AB219" s="2"/>
      <c r="AC219" s="2"/>
      <c r="AD219" s="2"/>
      <c r="AE219" s="2"/>
      <c r="AF219" s="2"/>
      <c r="AG219" s="2"/>
      <c r="AH219" s="2"/>
      <c r="AN219" s="2"/>
      <c r="AO219" s="2"/>
      <c r="AP219" s="2"/>
      <c r="AQ219" s="2"/>
      <c r="AR219" s="2"/>
      <c r="AS219" s="2"/>
      <c r="AT219" s="2"/>
    </row>
    <row r="220" spans="1:49" s="8" customFormat="1" ht="13" customHeight="1">
      <c r="A220" s="8" t="s">
        <v>19134</v>
      </c>
      <c r="B220" s="16">
        <v>53</v>
      </c>
      <c r="C220" s="8" t="s">
        <v>20</v>
      </c>
      <c r="D220" s="8" t="s">
        <v>37</v>
      </c>
      <c r="E220" s="8" t="s">
        <v>21197</v>
      </c>
      <c r="F220" s="17">
        <v>42299</v>
      </c>
      <c r="G220" s="8" t="s">
        <v>19135</v>
      </c>
      <c r="H220" s="8" t="s">
        <v>19136</v>
      </c>
      <c r="I220" s="8" t="s">
        <v>315</v>
      </c>
      <c r="J220" s="16" t="s">
        <v>20477</v>
      </c>
      <c r="K220" s="2" t="s">
        <v>20478</v>
      </c>
      <c r="L220" s="8" t="s">
        <v>20479</v>
      </c>
      <c r="M220" s="8" t="s">
        <v>27</v>
      </c>
      <c r="N220" s="2" t="s">
        <v>20480</v>
      </c>
      <c r="O220" s="8" t="s">
        <v>400</v>
      </c>
      <c r="P220" s="8" t="s">
        <v>401</v>
      </c>
      <c r="Q220" s="12" t="s">
        <v>20481</v>
      </c>
      <c r="R220" s="8" t="s">
        <v>100</v>
      </c>
      <c r="S220" s="8" t="s">
        <v>35</v>
      </c>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row>
    <row r="221" spans="1:49" s="13" customFormat="1" ht="13" customHeight="1">
      <c r="A221" s="8" t="s">
        <v>19103</v>
      </c>
      <c r="B221" s="16">
        <v>35</v>
      </c>
      <c r="C221" s="8" t="s">
        <v>20</v>
      </c>
      <c r="D221" s="8" t="s">
        <v>48</v>
      </c>
      <c r="E221" s="8" t="s">
        <v>19262</v>
      </c>
      <c r="F221" s="17">
        <v>42298</v>
      </c>
      <c r="G221" s="8" t="s">
        <v>19104</v>
      </c>
      <c r="H221" s="8" t="s">
        <v>19105</v>
      </c>
      <c r="I221" s="8" t="s">
        <v>45</v>
      </c>
      <c r="J221" s="16" t="s">
        <v>20482</v>
      </c>
      <c r="K221" s="2" t="s">
        <v>9959</v>
      </c>
      <c r="L221" s="8" t="s">
        <v>20483</v>
      </c>
      <c r="M221" s="8" t="s">
        <v>27</v>
      </c>
      <c r="N221" s="2" t="s">
        <v>20484</v>
      </c>
      <c r="O221" s="8" t="s">
        <v>400</v>
      </c>
      <c r="P221" s="8" t="s">
        <v>401</v>
      </c>
      <c r="Q221" s="12" t="s">
        <v>20485</v>
      </c>
      <c r="R221" s="8" t="s">
        <v>100</v>
      </c>
      <c r="S221" s="8" t="s">
        <v>28</v>
      </c>
      <c r="T221" s="8"/>
      <c r="U221" s="8"/>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8"/>
      <c r="AV221" s="8"/>
      <c r="AW221" s="8"/>
    </row>
    <row r="222" spans="1:49" s="8" customFormat="1" ht="13" customHeight="1">
      <c r="A222" s="8" t="s">
        <v>19106</v>
      </c>
      <c r="B222" s="16">
        <v>21</v>
      </c>
      <c r="C222" s="8" t="s">
        <v>20</v>
      </c>
      <c r="D222" s="8" t="s">
        <v>48</v>
      </c>
      <c r="E222" s="8" t="s">
        <v>19261</v>
      </c>
      <c r="F222" s="17">
        <v>42298</v>
      </c>
      <c r="G222" s="8" t="s">
        <v>20486</v>
      </c>
      <c r="H222" s="8" t="s">
        <v>1750</v>
      </c>
      <c r="I222" s="8" t="s">
        <v>45</v>
      </c>
      <c r="J222" s="16" t="s">
        <v>20487</v>
      </c>
      <c r="K222" s="2" t="s">
        <v>1166</v>
      </c>
      <c r="L222" s="8" t="s">
        <v>20488</v>
      </c>
      <c r="M222" s="8" t="s">
        <v>27</v>
      </c>
      <c r="N222" s="2" t="s">
        <v>20489</v>
      </c>
      <c r="O222" s="8" t="s">
        <v>400</v>
      </c>
      <c r="P222" s="8" t="s">
        <v>401</v>
      </c>
      <c r="Q222" s="12" t="s">
        <v>20490</v>
      </c>
      <c r="R222" s="8" t="s">
        <v>100</v>
      </c>
      <c r="S222" s="8" t="s">
        <v>18</v>
      </c>
      <c r="V222" s="2"/>
      <c r="W222" s="2"/>
      <c r="X222" s="2"/>
      <c r="AI222" s="2"/>
      <c r="AJ222" s="2"/>
      <c r="AK222" s="2"/>
      <c r="AL222" s="2"/>
      <c r="AM222" s="2"/>
      <c r="AN222" s="2"/>
      <c r="AO222" s="2"/>
      <c r="AP222" s="2"/>
      <c r="AQ222" s="2"/>
      <c r="AR222" s="2"/>
      <c r="AS222" s="2"/>
      <c r="AT222" s="2"/>
    </row>
    <row r="223" spans="1:49" s="8" customFormat="1" ht="13" customHeight="1">
      <c r="A223" s="8" t="s">
        <v>19137</v>
      </c>
      <c r="B223" s="16">
        <v>36</v>
      </c>
      <c r="C223" s="8" t="s">
        <v>20</v>
      </c>
      <c r="D223" s="8" t="s">
        <v>48</v>
      </c>
      <c r="E223" s="8" t="s">
        <v>21198</v>
      </c>
      <c r="F223" s="17">
        <v>42298</v>
      </c>
      <c r="G223" s="8" t="s">
        <v>19139</v>
      </c>
      <c r="H223" s="8" t="s">
        <v>12472</v>
      </c>
      <c r="I223" s="8" t="s">
        <v>73</v>
      </c>
      <c r="J223" s="16"/>
      <c r="K223" s="2"/>
      <c r="L223" s="8" t="s">
        <v>12475</v>
      </c>
      <c r="M223" s="8" t="s">
        <v>391</v>
      </c>
      <c r="N223" s="2"/>
      <c r="P223" s="8" t="s">
        <v>401</v>
      </c>
      <c r="Q223" s="12" t="s">
        <v>19138</v>
      </c>
      <c r="S223" s="8" t="s">
        <v>18</v>
      </c>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row>
    <row r="224" spans="1:49" s="8" customFormat="1" ht="13" customHeight="1">
      <c r="A224" s="8" t="s">
        <v>19185</v>
      </c>
      <c r="B224" s="16">
        <v>47</v>
      </c>
      <c r="C224" s="8" t="s">
        <v>20</v>
      </c>
      <c r="D224" s="8" t="s">
        <v>37</v>
      </c>
      <c r="E224" s="8" t="s">
        <v>19244</v>
      </c>
      <c r="F224" s="17">
        <v>42298</v>
      </c>
      <c r="G224" s="8" t="s">
        <v>19186</v>
      </c>
      <c r="H224" s="8" t="s">
        <v>19187</v>
      </c>
      <c r="I224" s="8" t="s">
        <v>57</v>
      </c>
      <c r="J224" s="16" t="s">
        <v>20491</v>
      </c>
      <c r="K224" s="2" t="s">
        <v>2544</v>
      </c>
      <c r="L224" s="8" t="s">
        <v>19188</v>
      </c>
      <c r="M224" s="8" t="s">
        <v>27</v>
      </c>
      <c r="N224" s="2" t="s">
        <v>20492</v>
      </c>
      <c r="O224" s="8" t="s">
        <v>400</v>
      </c>
      <c r="P224" s="8" t="s">
        <v>401</v>
      </c>
      <c r="Q224" s="12" t="s">
        <v>20493</v>
      </c>
      <c r="R224" s="8" t="s">
        <v>555</v>
      </c>
      <c r="S224" s="8" t="s">
        <v>28</v>
      </c>
      <c r="V224" s="2"/>
      <c r="W224" s="2"/>
      <c r="X224" s="2"/>
      <c r="Y224" s="2"/>
      <c r="Z224" s="2"/>
      <c r="AA224" s="2"/>
      <c r="AB224" s="2"/>
      <c r="AC224" s="2"/>
      <c r="AD224" s="2"/>
      <c r="AE224" s="2"/>
      <c r="AF224" s="2"/>
      <c r="AG224" s="2"/>
      <c r="AH224" s="2"/>
      <c r="AI224" s="2"/>
      <c r="AJ224" s="2"/>
      <c r="AK224" s="2"/>
      <c r="AL224" s="2"/>
      <c r="AM224" s="2"/>
    </row>
    <row r="225" spans="1:46" s="8" customFormat="1" ht="13" customHeight="1">
      <c r="A225" s="8" t="s">
        <v>19068</v>
      </c>
      <c r="B225" s="16">
        <v>39</v>
      </c>
      <c r="C225" s="8" t="s">
        <v>20</v>
      </c>
      <c r="D225" s="8" t="s">
        <v>85</v>
      </c>
      <c r="E225" s="8" t="s">
        <v>19282</v>
      </c>
      <c r="F225" s="17">
        <v>42297</v>
      </c>
      <c r="G225" s="8" t="s">
        <v>19069</v>
      </c>
      <c r="H225" s="8" t="s">
        <v>156</v>
      </c>
      <c r="I225" s="8" t="s">
        <v>45</v>
      </c>
      <c r="J225" s="16" t="s">
        <v>11489</v>
      </c>
      <c r="K225" s="2" t="s">
        <v>156</v>
      </c>
      <c r="L225" s="8" t="s">
        <v>157</v>
      </c>
      <c r="M225" s="8" t="s">
        <v>27</v>
      </c>
      <c r="N225" s="2" t="s">
        <v>19310</v>
      </c>
      <c r="O225" s="8" t="s">
        <v>1013</v>
      </c>
      <c r="P225" s="8" t="s">
        <v>401</v>
      </c>
      <c r="Q225" s="12" t="s">
        <v>20502</v>
      </c>
      <c r="R225" s="8" t="s">
        <v>100</v>
      </c>
      <c r="S225" s="8" t="s">
        <v>18</v>
      </c>
      <c r="V225" s="2"/>
      <c r="W225" s="2"/>
      <c r="X225" s="2"/>
      <c r="Y225" s="2"/>
      <c r="Z225" s="2"/>
      <c r="AA225" s="2"/>
      <c r="AB225" s="2"/>
      <c r="AC225" s="2"/>
      <c r="AD225" s="2"/>
      <c r="AE225" s="2"/>
      <c r="AF225" s="2"/>
      <c r="AG225" s="2"/>
      <c r="AH225" s="2"/>
      <c r="AN225" s="2"/>
      <c r="AO225" s="2"/>
      <c r="AP225" s="2"/>
      <c r="AQ225" s="2"/>
      <c r="AR225" s="2"/>
      <c r="AS225" s="2"/>
      <c r="AT225" s="2"/>
    </row>
    <row r="226" spans="1:46" s="8" customFormat="1" ht="13" customHeight="1">
      <c r="A226" s="8" t="s">
        <v>20429</v>
      </c>
      <c r="B226" s="16" t="s">
        <v>29</v>
      </c>
      <c r="C226" s="8" t="s">
        <v>20</v>
      </c>
      <c r="D226" s="8" t="s">
        <v>85</v>
      </c>
      <c r="F226" s="17">
        <v>42297</v>
      </c>
      <c r="G226" s="8" t="s">
        <v>19140</v>
      </c>
      <c r="H226" s="8" t="s">
        <v>98</v>
      </c>
      <c r="I226" s="8" t="s">
        <v>45</v>
      </c>
      <c r="J226" s="16" t="s">
        <v>20507</v>
      </c>
      <c r="K226" s="2" t="s">
        <v>98</v>
      </c>
      <c r="L226" s="8" t="s">
        <v>20325</v>
      </c>
      <c r="M226" s="8" t="s">
        <v>27</v>
      </c>
      <c r="N226" s="2" t="s">
        <v>20508</v>
      </c>
      <c r="O226" s="8" t="s">
        <v>400</v>
      </c>
      <c r="P226" s="8" t="s">
        <v>401</v>
      </c>
      <c r="Q226" s="12" t="s">
        <v>20509</v>
      </c>
      <c r="R226" s="8" t="s">
        <v>29</v>
      </c>
      <c r="S226" s="8" t="s">
        <v>379</v>
      </c>
      <c r="V226" s="2"/>
      <c r="W226" s="2"/>
      <c r="X226" s="2"/>
      <c r="Y226" s="2"/>
      <c r="Z226" s="2"/>
      <c r="AA226" s="2"/>
      <c r="AB226" s="2"/>
      <c r="AC226" s="2"/>
      <c r="AD226" s="2"/>
      <c r="AE226" s="2"/>
      <c r="AF226" s="2"/>
      <c r="AG226" s="2"/>
      <c r="AH226" s="2"/>
      <c r="AN226" s="2"/>
      <c r="AO226" s="2"/>
      <c r="AP226" s="2"/>
      <c r="AQ226" s="2"/>
      <c r="AR226" s="2"/>
      <c r="AS226" s="2"/>
      <c r="AT226" s="2"/>
    </row>
    <row r="227" spans="1:46" s="8" customFormat="1" ht="13" customHeight="1">
      <c r="A227" s="8" t="s">
        <v>19107</v>
      </c>
      <c r="B227" s="16">
        <v>40</v>
      </c>
      <c r="C227" s="8" t="s">
        <v>20</v>
      </c>
      <c r="D227" s="8" t="s">
        <v>48</v>
      </c>
      <c r="E227" s="8" t="s">
        <v>19260</v>
      </c>
      <c r="F227" s="17">
        <v>42297</v>
      </c>
      <c r="H227" s="8" t="s">
        <v>19109</v>
      </c>
      <c r="I227" s="8" t="s">
        <v>195</v>
      </c>
      <c r="J227" s="16"/>
      <c r="K227" s="2"/>
      <c r="L227" s="8" t="s">
        <v>19110</v>
      </c>
      <c r="M227" s="8" t="s">
        <v>27</v>
      </c>
      <c r="N227" s="2" t="s">
        <v>21552</v>
      </c>
      <c r="P227" s="8" t="s">
        <v>401</v>
      </c>
      <c r="Q227" s="12" t="s">
        <v>19108</v>
      </c>
      <c r="S227" s="8" t="s">
        <v>28</v>
      </c>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row>
    <row r="228" spans="1:46" s="8" customFormat="1" ht="13" customHeight="1">
      <c r="A228" s="8" t="s">
        <v>19189</v>
      </c>
      <c r="B228" s="16">
        <v>21</v>
      </c>
      <c r="C228" s="8" t="s">
        <v>20</v>
      </c>
      <c r="D228" s="8" t="s">
        <v>37</v>
      </c>
      <c r="E228" s="8" t="s">
        <v>19245</v>
      </c>
      <c r="F228" s="17">
        <v>42297</v>
      </c>
      <c r="G228" s="8" t="s">
        <v>19190</v>
      </c>
      <c r="H228" s="8" t="s">
        <v>19191</v>
      </c>
      <c r="I228" s="8" t="s">
        <v>370</v>
      </c>
      <c r="J228" s="16" t="s">
        <v>20498</v>
      </c>
      <c r="K228" s="2" t="s">
        <v>20499</v>
      </c>
      <c r="L228" s="8" t="s">
        <v>19192</v>
      </c>
      <c r="M228" s="8" t="s">
        <v>27</v>
      </c>
      <c r="N228" s="2" t="s">
        <v>20500</v>
      </c>
      <c r="O228" s="8" t="s">
        <v>400</v>
      </c>
      <c r="P228" s="8" t="s">
        <v>401</v>
      </c>
      <c r="Q228" s="12" t="s">
        <v>20501</v>
      </c>
      <c r="R228" s="8" t="s">
        <v>100</v>
      </c>
      <c r="S228" s="8" t="s">
        <v>28</v>
      </c>
      <c r="V228" s="2"/>
      <c r="W228" s="2"/>
      <c r="X228" s="2"/>
      <c r="Y228" s="2"/>
      <c r="Z228" s="2"/>
      <c r="AA228" s="2"/>
      <c r="AB228" s="2"/>
      <c r="AC228" s="2"/>
      <c r="AD228" s="2"/>
      <c r="AE228" s="2"/>
      <c r="AF228" s="2"/>
      <c r="AG228" s="2"/>
      <c r="AH228" s="2"/>
      <c r="AI228" s="2"/>
      <c r="AJ228" s="2"/>
      <c r="AK228" s="2"/>
      <c r="AL228" s="2"/>
      <c r="AM228" s="2"/>
    </row>
    <row r="229" spans="1:46" s="8" customFormat="1" ht="13" customHeight="1">
      <c r="A229" s="8" t="s">
        <v>19193</v>
      </c>
      <c r="B229" s="16">
        <v>30</v>
      </c>
      <c r="C229" s="8" t="s">
        <v>20</v>
      </c>
      <c r="D229" s="8" t="s">
        <v>37</v>
      </c>
      <c r="E229" s="8" t="s">
        <v>19246</v>
      </c>
      <c r="F229" s="17">
        <v>42297</v>
      </c>
      <c r="G229" s="8" t="s">
        <v>20494</v>
      </c>
      <c r="H229" s="8" t="s">
        <v>19194</v>
      </c>
      <c r="I229" s="8" t="s">
        <v>25</v>
      </c>
      <c r="J229" s="16" t="s">
        <v>20495</v>
      </c>
      <c r="K229" s="2" t="s">
        <v>17954</v>
      </c>
      <c r="L229" s="8" t="s">
        <v>17955</v>
      </c>
      <c r="M229" s="8" t="s">
        <v>27</v>
      </c>
      <c r="N229" s="2" t="s">
        <v>20496</v>
      </c>
      <c r="O229" s="8" t="s">
        <v>400</v>
      </c>
      <c r="P229" s="8" t="s">
        <v>401</v>
      </c>
      <c r="Q229" s="12" t="s">
        <v>20497</v>
      </c>
      <c r="R229" s="8" t="s">
        <v>100</v>
      </c>
      <c r="S229" s="8" t="s">
        <v>28</v>
      </c>
      <c r="V229" s="2"/>
      <c r="W229" s="2"/>
      <c r="X229" s="2"/>
      <c r="Y229" s="2"/>
      <c r="Z229" s="2"/>
      <c r="AA229" s="2"/>
      <c r="AB229" s="2"/>
      <c r="AC229" s="2"/>
      <c r="AD229" s="2"/>
      <c r="AE229" s="2"/>
      <c r="AF229" s="2"/>
      <c r="AG229" s="2"/>
      <c r="AH229" s="2"/>
      <c r="AI229" s="2"/>
      <c r="AJ229" s="2"/>
      <c r="AK229" s="2"/>
      <c r="AL229" s="2"/>
      <c r="AM229" s="2"/>
    </row>
    <row r="230" spans="1:46" s="8" customFormat="1" ht="13" customHeight="1">
      <c r="A230" s="8" t="s">
        <v>19199</v>
      </c>
      <c r="B230" s="16">
        <v>30</v>
      </c>
      <c r="C230" s="8" t="s">
        <v>20</v>
      </c>
      <c r="D230" s="8" t="s">
        <v>37</v>
      </c>
      <c r="E230" s="8" t="s">
        <v>19248</v>
      </c>
      <c r="F230" s="17">
        <v>42297</v>
      </c>
      <c r="G230" s="8" t="s">
        <v>20503</v>
      </c>
      <c r="H230" s="8" t="s">
        <v>893</v>
      </c>
      <c r="I230" s="8" t="s">
        <v>315</v>
      </c>
      <c r="J230" s="16" t="s">
        <v>20504</v>
      </c>
      <c r="K230" s="2" t="s">
        <v>1781</v>
      </c>
      <c r="L230" s="8" t="s">
        <v>19200</v>
      </c>
      <c r="M230" s="8" t="s">
        <v>27</v>
      </c>
      <c r="N230" s="2" t="s">
        <v>20505</v>
      </c>
      <c r="O230" s="8" t="s">
        <v>400</v>
      </c>
      <c r="P230" s="8" t="s">
        <v>401</v>
      </c>
      <c r="Q230" s="12" t="s">
        <v>20506</v>
      </c>
      <c r="R230" s="8" t="s">
        <v>100</v>
      </c>
      <c r="S230" s="8" t="s">
        <v>18</v>
      </c>
      <c r="V230" s="2"/>
      <c r="W230" s="2"/>
      <c r="X230" s="2"/>
      <c r="Y230" s="2"/>
      <c r="Z230" s="2"/>
      <c r="AA230" s="2"/>
      <c r="AB230" s="2"/>
      <c r="AC230" s="2"/>
      <c r="AD230" s="2"/>
      <c r="AE230" s="2"/>
      <c r="AF230" s="2"/>
      <c r="AG230" s="2"/>
      <c r="AH230" s="2"/>
      <c r="AI230" s="2"/>
      <c r="AJ230" s="2"/>
      <c r="AK230" s="2"/>
      <c r="AL230" s="2"/>
      <c r="AM230" s="2"/>
    </row>
    <row r="231" spans="1:46" s="8" customFormat="1" ht="13" customHeight="1">
      <c r="A231" s="8" t="s">
        <v>19195</v>
      </c>
      <c r="B231" s="16">
        <v>47</v>
      </c>
      <c r="C231" s="8" t="s">
        <v>20</v>
      </c>
      <c r="D231" s="8" t="s">
        <v>37</v>
      </c>
      <c r="E231" s="8" t="s">
        <v>19247</v>
      </c>
      <c r="F231" s="17">
        <v>42297</v>
      </c>
      <c r="G231" s="8" t="s">
        <v>19197</v>
      </c>
      <c r="H231" s="8" t="s">
        <v>19198</v>
      </c>
      <c r="I231" s="8" t="s">
        <v>363</v>
      </c>
      <c r="J231" s="16"/>
      <c r="K231" s="2"/>
      <c r="L231" s="8" t="s">
        <v>4181</v>
      </c>
      <c r="M231" s="8" t="s">
        <v>391</v>
      </c>
      <c r="N231" s="2"/>
      <c r="P231" s="8" t="s">
        <v>401</v>
      </c>
      <c r="Q231" s="12" t="s">
        <v>19196</v>
      </c>
      <c r="S231" s="8" t="s">
        <v>18</v>
      </c>
      <c r="V231" s="2"/>
      <c r="W231" s="2"/>
      <c r="X231" s="2"/>
      <c r="Y231" s="2"/>
      <c r="Z231" s="2"/>
      <c r="AA231" s="2"/>
      <c r="AB231" s="2"/>
      <c r="AC231" s="2"/>
      <c r="AD231" s="2"/>
      <c r="AE231" s="2"/>
      <c r="AF231" s="2"/>
      <c r="AG231" s="2"/>
      <c r="AH231" s="2"/>
      <c r="AI231" s="2"/>
      <c r="AJ231" s="2"/>
      <c r="AK231" s="2"/>
      <c r="AL231" s="2"/>
      <c r="AM231" s="2"/>
    </row>
    <row r="232" spans="1:46" s="8" customFormat="1" ht="13" customHeight="1">
      <c r="A232" s="8" t="s">
        <v>19070</v>
      </c>
      <c r="B232" s="16">
        <v>31</v>
      </c>
      <c r="C232" s="8" t="s">
        <v>20</v>
      </c>
      <c r="D232" s="8" t="s">
        <v>85</v>
      </c>
      <c r="E232" s="8" t="s">
        <v>19283</v>
      </c>
      <c r="F232" s="17">
        <v>42295</v>
      </c>
      <c r="G232" s="8" t="s">
        <v>20510</v>
      </c>
      <c r="H232" s="8" t="s">
        <v>5354</v>
      </c>
      <c r="I232" s="8" t="s">
        <v>62</v>
      </c>
      <c r="J232" s="16" t="s">
        <v>5566</v>
      </c>
      <c r="K232" s="2" t="s">
        <v>5354</v>
      </c>
      <c r="L232" s="8" t="s">
        <v>5567</v>
      </c>
      <c r="M232" s="8" t="s">
        <v>27</v>
      </c>
      <c r="N232" s="2" t="s">
        <v>19309</v>
      </c>
      <c r="O232" s="8" t="s">
        <v>400</v>
      </c>
      <c r="P232" s="8" t="s">
        <v>401</v>
      </c>
      <c r="Q232" s="12" t="s">
        <v>20511</v>
      </c>
      <c r="R232" s="8" t="s">
        <v>100</v>
      </c>
      <c r="S232" s="8" t="s">
        <v>28</v>
      </c>
      <c r="V232" s="2"/>
      <c r="W232" s="2"/>
      <c r="X232" s="2"/>
      <c r="Y232" s="2"/>
      <c r="Z232" s="2"/>
      <c r="AA232" s="2"/>
      <c r="AB232" s="2"/>
      <c r="AC232" s="2"/>
      <c r="AD232" s="2"/>
      <c r="AE232" s="2"/>
      <c r="AF232" s="2"/>
      <c r="AG232" s="2"/>
      <c r="AH232" s="2"/>
      <c r="AN232" s="2"/>
      <c r="AO232" s="2"/>
      <c r="AP232" s="2"/>
      <c r="AQ232" s="2"/>
      <c r="AR232" s="2"/>
      <c r="AS232" s="2"/>
      <c r="AT232" s="2"/>
    </row>
    <row r="233" spans="1:46" s="8" customFormat="1" ht="13" customHeight="1">
      <c r="A233" s="8" t="s">
        <v>19111</v>
      </c>
      <c r="B233" s="16">
        <v>37</v>
      </c>
      <c r="C233" s="8" t="s">
        <v>20</v>
      </c>
      <c r="D233" s="8" t="s">
        <v>48</v>
      </c>
      <c r="E233" s="8" t="s">
        <v>19234</v>
      </c>
      <c r="F233" s="17">
        <v>42295</v>
      </c>
      <c r="H233" s="8" t="s">
        <v>18393</v>
      </c>
      <c r="I233" s="8" t="s">
        <v>73</v>
      </c>
      <c r="J233" s="16"/>
      <c r="K233" s="2"/>
      <c r="L233" s="8" t="s">
        <v>18395</v>
      </c>
      <c r="M233" s="8" t="s">
        <v>391</v>
      </c>
      <c r="N233" s="2"/>
      <c r="P233" s="8" t="s">
        <v>401</v>
      </c>
      <c r="Q233" s="12" t="s">
        <v>21374</v>
      </c>
      <c r="S233" s="8" t="s">
        <v>18</v>
      </c>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spans="1:46" s="8" customFormat="1" ht="13" customHeight="1">
      <c r="A234" s="8" t="s">
        <v>19201</v>
      </c>
      <c r="B234" s="16">
        <v>50</v>
      </c>
      <c r="C234" s="8" t="s">
        <v>20</v>
      </c>
      <c r="D234" s="8" t="s">
        <v>37</v>
      </c>
      <c r="E234" s="8" t="s">
        <v>19249</v>
      </c>
      <c r="F234" s="17">
        <v>42295</v>
      </c>
      <c r="H234" s="8" t="s">
        <v>15572</v>
      </c>
      <c r="I234" s="8" t="s">
        <v>133</v>
      </c>
      <c r="J234" s="16"/>
      <c r="K234" s="2" t="s">
        <v>21378</v>
      </c>
      <c r="L234" s="8" t="s">
        <v>21375</v>
      </c>
      <c r="M234" s="8" t="s">
        <v>27</v>
      </c>
      <c r="N234" s="2"/>
      <c r="P234" s="8" t="s">
        <v>401</v>
      </c>
      <c r="Q234" s="12" t="s">
        <v>19202</v>
      </c>
      <c r="S234" s="8" t="s">
        <v>28</v>
      </c>
      <c r="V234" s="2"/>
      <c r="W234" s="2"/>
      <c r="X234" s="2"/>
      <c r="Y234" s="2"/>
      <c r="Z234" s="2"/>
      <c r="AA234" s="2"/>
      <c r="AB234" s="2"/>
      <c r="AC234" s="2"/>
      <c r="AD234" s="2"/>
      <c r="AE234" s="2"/>
      <c r="AF234" s="2"/>
      <c r="AG234" s="2"/>
      <c r="AH234" s="2"/>
      <c r="AI234" s="2"/>
      <c r="AJ234" s="2"/>
      <c r="AK234" s="2"/>
      <c r="AL234" s="2"/>
      <c r="AM234" s="2"/>
    </row>
    <row r="235" spans="1:46" s="8" customFormat="1" ht="13" customHeight="1">
      <c r="A235" s="8" t="s">
        <v>19203</v>
      </c>
      <c r="B235" s="16">
        <v>28</v>
      </c>
      <c r="C235" s="8" t="s">
        <v>20</v>
      </c>
      <c r="D235" s="8" t="s">
        <v>37</v>
      </c>
      <c r="E235" s="8" t="s">
        <v>19250</v>
      </c>
      <c r="F235" s="17">
        <v>42295</v>
      </c>
      <c r="G235" s="8" t="s">
        <v>20512</v>
      </c>
      <c r="H235" s="8" t="s">
        <v>200</v>
      </c>
      <c r="I235" s="8" t="s">
        <v>45</v>
      </c>
      <c r="J235" s="16" t="s">
        <v>20513</v>
      </c>
      <c r="K235" s="2" t="s">
        <v>200</v>
      </c>
      <c r="L235" s="8" t="s">
        <v>201</v>
      </c>
      <c r="M235" s="8" t="s">
        <v>27</v>
      </c>
      <c r="N235" s="2" t="s">
        <v>20514</v>
      </c>
      <c r="O235" s="8" t="s">
        <v>400</v>
      </c>
      <c r="P235" s="8" t="s">
        <v>401</v>
      </c>
      <c r="Q235" s="12" t="s">
        <v>20515</v>
      </c>
      <c r="R235" s="8" t="s">
        <v>100</v>
      </c>
      <c r="S235" s="8" t="s">
        <v>35</v>
      </c>
      <c r="V235" s="2"/>
      <c r="W235" s="2"/>
      <c r="X235" s="2"/>
      <c r="Y235" s="2"/>
      <c r="Z235" s="2"/>
      <c r="AA235" s="2"/>
      <c r="AB235" s="2"/>
      <c r="AC235" s="2"/>
      <c r="AD235" s="2"/>
      <c r="AE235" s="2"/>
      <c r="AF235" s="2"/>
      <c r="AG235" s="2"/>
      <c r="AH235" s="2"/>
      <c r="AI235" s="2"/>
      <c r="AJ235" s="2"/>
      <c r="AK235" s="2"/>
      <c r="AL235" s="2"/>
      <c r="AM235" s="2"/>
    </row>
    <row r="236" spans="1:46" s="8" customFormat="1" ht="13" customHeight="1">
      <c r="A236" s="8" t="s">
        <v>19071</v>
      </c>
      <c r="B236" s="16">
        <v>28</v>
      </c>
      <c r="C236" s="8" t="s">
        <v>20</v>
      </c>
      <c r="D236" s="8" t="s">
        <v>85</v>
      </c>
      <c r="E236" s="8" t="s">
        <v>19284</v>
      </c>
      <c r="F236" s="17">
        <v>42294</v>
      </c>
      <c r="G236" s="8" t="s">
        <v>20516</v>
      </c>
      <c r="H236" s="8" t="s">
        <v>1608</v>
      </c>
      <c r="I236" s="8" t="s">
        <v>404</v>
      </c>
      <c r="J236" s="16" t="s">
        <v>19298</v>
      </c>
      <c r="K236" s="2" t="s">
        <v>1608</v>
      </c>
      <c r="L236" s="8" t="s">
        <v>19072</v>
      </c>
      <c r="M236" s="8" t="s">
        <v>27</v>
      </c>
      <c r="N236" s="2" t="s">
        <v>19308</v>
      </c>
      <c r="O236" s="8" t="s">
        <v>400</v>
      </c>
      <c r="P236" s="8" t="s">
        <v>401</v>
      </c>
      <c r="Q236" s="12" t="s">
        <v>20517</v>
      </c>
      <c r="R236" s="8" t="s">
        <v>100</v>
      </c>
      <c r="S236" s="8" t="s">
        <v>28</v>
      </c>
      <c r="V236" s="2"/>
      <c r="W236" s="2"/>
      <c r="X236" s="2"/>
      <c r="Y236" s="2"/>
      <c r="Z236" s="2"/>
      <c r="AA236" s="2"/>
      <c r="AB236" s="2"/>
      <c r="AC236" s="2"/>
      <c r="AD236" s="2"/>
      <c r="AE236" s="2"/>
      <c r="AF236" s="2"/>
      <c r="AG236" s="2"/>
      <c r="AH236" s="2"/>
      <c r="AN236" s="2"/>
      <c r="AO236" s="2"/>
      <c r="AP236" s="2"/>
      <c r="AQ236" s="2"/>
      <c r="AR236" s="2"/>
      <c r="AS236" s="2"/>
      <c r="AT236" s="2"/>
    </row>
    <row r="237" spans="1:46" s="8" customFormat="1" ht="13" customHeight="1">
      <c r="A237" s="8" t="s">
        <v>19076</v>
      </c>
      <c r="B237" s="16">
        <v>18</v>
      </c>
      <c r="C237" s="8" t="s">
        <v>20</v>
      </c>
      <c r="D237" s="8" t="s">
        <v>85</v>
      </c>
      <c r="E237" s="8" t="s">
        <v>19270</v>
      </c>
      <c r="F237" s="17">
        <v>42294</v>
      </c>
      <c r="G237" s="8" t="s">
        <v>19078</v>
      </c>
      <c r="H237" s="8" t="s">
        <v>877</v>
      </c>
      <c r="I237" s="8" t="s">
        <v>244</v>
      </c>
      <c r="J237" s="16" t="s">
        <v>19296</v>
      </c>
      <c r="K237" s="2" t="s">
        <v>19297</v>
      </c>
      <c r="L237" s="8" t="s">
        <v>878</v>
      </c>
      <c r="M237" s="8" t="s">
        <v>27</v>
      </c>
      <c r="N237" s="2" t="s">
        <v>19307</v>
      </c>
      <c r="O237" s="8" t="s">
        <v>400</v>
      </c>
      <c r="P237" s="8" t="s">
        <v>401</v>
      </c>
      <c r="Q237" s="12" t="s">
        <v>19077</v>
      </c>
      <c r="R237" s="8" t="s">
        <v>100</v>
      </c>
      <c r="S237" s="8" t="s">
        <v>18</v>
      </c>
      <c r="Y237" s="2"/>
      <c r="Z237" s="2"/>
      <c r="AA237" s="2"/>
      <c r="AB237" s="2"/>
      <c r="AC237" s="2"/>
      <c r="AD237" s="2"/>
      <c r="AE237" s="2"/>
      <c r="AF237" s="2"/>
      <c r="AG237" s="2"/>
      <c r="AH237" s="2"/>
      <c r="AN237" s="2"/>
      <c r="AO237" s="2"/>
      <c r="AP237" s="2"/>
      <c r="AQ237" s="2"/>
      <c r="AR237" s="2"/>
      <c r="AS237" s="2"/>
      <c r="AT237" s="2"/>
    </row>
    <row r="238" spans="1:46" s="8" customFormat="1" ht="13" customHeight="1">
      <c r="A238" s="8" t="s">
        <v>19073</v>
      </c>
      <c r="B238" s="16">
        <v>30</v>
      </c>
      <c r="C238" s="8" t="s">
        <v>20</v>
      </c>
      <c r="D238" s="8" t="s">
        <v>85</v>
      </c>
      <c r="E238" s="8" t="s">
        <v>19285</v>
      </c>
      <c r="F238" s="17">
        <v>42294</v>
      </c>
      <c r="G238" s="8" t="s">
        <v>19075</v>
      </c>
      <c r="H238" s="8" t="s">
        <v>6069</v>
      </c>
      <c r="I238" s="8" t="s">
        <v>45</v>
      </c>
      <c r="J238" s="16"/>
      <c r="K238" s="2"/>
      <c r="L238" s="8" t="s">
        <v>19732</v>
      </c>
      <c r="M238" s="8" t="s">
        <v>27</v>
      </c>
      <c r="N238" s="2" t="s">
        <v>21231</v>
      </c>
      <c r="O238" s="8" t="s">
        <v>17015</v>
      </c>
      <c r="P238" s="8" t="s">
        <v>401</v>
      </c>
      <c r="Q238" s="12" t="s">
        <v>19074</v>
      </c>
      <c r="S238" s="8" t="s">
        <v>18</v>
      </c>
      <c r="V238" s="2"/>
      <c r="W238" s="2"/>
      <c r="X238" s="2"/>
      <c r="Y238" s="2"/>
      <c r="Z238" s="2"/>
      <c r="AA238" s="2"/>
      <c r="AB238" s="2"/>
      <c r="AC238" s="2"/>
      <c r="AD238" s="2"/>
      <c r="AE238" s="2"/>
      <c r="AF238" s="2"/>
      <c r="AG238" s="2"/>
      <c r="AH238" s="2"/>
      <c r="AN238" s="2"/>
      <c r="AO238" s="2"/>
      <c r="AP238" s="2"/>
      <c r="AQ238" s="2"/>
      <c r="AR238" s="2"/>
      <c r="AS238" s="2"/>
      <c r="AT238" s="2"/>
    </row>
    <row r="239" spans="1:46" s="8" customFormat="1" ht="13" customHeight="1">
      <c r="A239" s="8" t="s">
        <v>19079</v>
      </c>
      <c r="B239" s="16">
        <v>33</v>
      </c>
      <c r="C239" s="8" t="s">
        <v>20</v>
      </c>
      <c r="D239" s="8" t="s">
        <v>85</v>
      </c>
      <c r="E239" s="8" t="s">
        <v>19269</v>
      </c>
      <c r="F239" s="17">
        <v>42294</v>
      </c>
      <c r="G239" s="8" t="s">
        <v>19080</v>
      </c>
      <c r="H239" s="8" t="s">
        <v>1290</v>
      </c>
      <c r="I239" s="8" t="s">
        <v>671</v>
      </c>
      <c r="J239" s="16" t="s">
        <v>19295</v>
      </c>
      <c r="K239" s="2" t="s">
        <v>3012</v>
      </c>
      <c r="L239" s="8" t="s">
        <v>3421</v>
      </c>
      <c r="M239" s="8" t="s">
        <v>27</v>
      </c>
      <c r="N239" s="2" t="s">
        <v>19306</v>
      </c>
      <c r="O239" s="8" t="s">
        <v>400</v>
      </c>
      <c r="P239" s="8" t="s">
        <v>401</v>
      </c>
      <c r="Q239" s="12" t="s">
        <v>20523</v>
      </c>
      <c r="R239" s="8" t="s">
        <v>100</v>
      </c>
      <c r="S239" s="8" t="s">
        <v>35</v>
      </c>
      <c r="V239" s="2"/>
      <c r="W239" s="2"/>
      <c r="X239" s="2"/>
      <c r="Y239" s="2"/>
      <c r="Z239" s="2"/>
      <c r="AA239" s="2"/>
      <c r="AB239" s="2"/>
      <c r="AC239" s="2"/>
      <c r="AD239" s="2"/>
      <c r="AE239" s="2"/>
      <c r="AF239" s="2"/>
      <c r="AG239" s="2"/>
      <c r="AH239" s="2"/>
      <c r="AN239" s="2"/>
      <c r="AO239" s="2"/>
      <c r="AP239" s="2"/>
      <c r="AQ239" s="2"/>
      <c r="AR239" s="2"/>
      <c r="AS239" s="2"/>
      <c r="AT239" s="2"/>
    </row>
    <row r="240" spans="1:46" s="8" customFormat="1" ht="13" customHeight="1">
      <c r="A240" s="8" t="s">
        <v>19112</v>
      </c>
      <c r="B240" s="16">
        <v>22</v>
      </c>
      <c r="C240" s="8" t="s">
        <v>20</v>
      </c>
      <c r="D240" s="8" t="s">
        <v>48</v>
      </c>
      <c r="E240" s="8" t="s">
        <v>19233</v>
      </c>
      <c r="F240" s="17">
        <v>42294</v>
      </c>
      <c r="G240" s="8" t="s">
        <v>19113</v>
      </c>
      <c r="H240" s="8" t="s">
        <v>10298</v>
      </c>
      <c r="I240" s="8" t="s">
        <v>45</v>
      </c>
      <c r="J240" s="16" t="s">
        <v>3218</v>
      </c>
      <c r="K240" s="2" t="s">
        <v>3219</v>
      </c>
      <c r="L240" s="8" t="s">
        <v>10300</v>
      </c>
      <c r="M240" s="8" t="s">
        <v>27</v>
      </c>
      <c r="N240" s="2" t="s">
        <v>20518</v>
      </c>
      <c r="O240" s="8" t="s">
        <v>400</v>
      </c>
      <c r="P240" s="8" t="s">
        <v>401</v>
      </c>
      <c r="Q240" s="12" t="s">
        <v>20519</v>
      </c>
      <c r="R240" s="8" t="s">
        <v>100</v>
      </c>
      <c r="S240" s="8" t="s">
        <v>18</v>
      </c>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spans="1:49" s="8" customFormat="1" ht="13" customHeight="1">
      <c r="A241" s="8" t="s">
        <v>19114</v>
      </c>
      <c r="B241" s="16">
        <v>25</v>
      </c>
      <c r="C241" s="8" t="s">
        <v>20</v>
      </c>
      <c r="D241" s="8" t="s">
        <v>48</v>
      </c>
      <c r="F241" s="17">
        <v>42293</v>
      </c>
      <c r="G241" s="8" t="s">
        <v>20520</v>
      </c>
      <c r="H241" s="8" t="s">
        <v>15986</v>
      </c>
      <c r="I241" s="8" t="s">
        <v>45</v>
      </c>
      <c r="J241" s="16" t="s">
        <v>15987</v>
      </c>
      <c r="K241" s="2" t="s">
        <v>98</v>
      </c>
      <c r="L241" s="8" t="s">
        <v>20325</v>
      </c>
      <c r="M241" s="8" t="s">
        <v>27</v>
      </c>
      <c r="N241" s="2" t="s">
        <v>20521</v>
      </c>
      <c r="O241" s="8" t="s">
        <v>400</v>
      </c>
      <c r="P241" s="8" t="s">
        <v>401</v>
      </c>
      <c r="Q241" s="12" t="s">
        <v>20522</v>
      </c>
      <c r="R241" s="8" t="s">
        <v>100</v>
      </c>
      <c r="S241" s="8" t="s">
        <v>18</v>
      </c>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spans="1:49" s="8" customFormat="1" ht="13" customHeight="1">
      <c r="A242" s="8" t="s">
        <v>19141</v>
      </c>
      <c r="B242" s="16">
        <v>45</v>
      </c>
      <c r="C242" s="8" t="s">
        <v>20</v>
      </c>
      <c r="D242" s="8" t="s">
        <v>30</v>
      </c>
      <c r="F242" s="17">
        <v>42293</v>
      </c>
      <c r="G242" s="39" t="s">
        <v>21369</v>
      </c>
      <c r="H242" s="39" t="s">
        <v>21370</v>
      </c>
      <c r="I242" s="39" t="s">
        <v>173</v>
      </c>
      <c r="J242" s="39"/>
      <c r="K242" s="2" t="s">
        <v>21372</v>
      </c>
      <c r="L242" s="39" t="s">
        <v>21371</v>
      </c>
      <c r="M242" s="8" t="s">
        <v>27</v>
      </c>
      <c r="N242" s="2" t="s">
        <v>21554</v>
      </c>
      <c r="P242" s="8" t="s">
        <v>401</v>
      </c>
      <c r="Q242" s="12" t="s">
        <v>19142</v>
      </c>
      <c r="S242" s="8" t="s">
        <v>28</v>
      </c>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row>
    <row r="243" spans="1:49" s="8" customFormat="1" ht="13" customHeight="1">
      <c r="A243" s="8" t="s">
        <v>19143</v>
      </c>
      <c r="B243" s="16">
        <v>27</v>
      </c>
      <c r="C243" s="8" t="s">
        <v>20</v>
      </c>
      <c r="D243" s="8" t="s">
        <v>37</v>
      </c>
      <c r="F243" s="17">
        <v>42293</v>
      </c>
      <c r="G243" s="8" t="s">
        <v>21380</v>
      </c>
      <c r="H243" s="8" t="s">
        <v>21379</v>
      </c>
      <c r="I243" s="8" t="s">
        <v>269</v>
      </c>
      <c r="J243" s="16"/>
      <c r="K243" s="2" t="s">
        <v>941</v>
      </c>
      <c r="L243" s="8" t="s">
        <v>1633</v>
      </c>
      <c r="M243" s="8" t="s">
        <v>27</v>
      </c>
      <c r="N243" s="2"/>
      <c r="P243" s="8" t="s">
        <v>401</v>
      </c>
      <c r="Q243" s="12" t="s">
        <v>19144</v>
      </c>
      <c r="S243" s="8" t="s">
        <v>28</v>
      </c>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spans="1:49" s="8" customFormat="1" ht="13" customHeight="1">
      <c r="A244" s="8" t="s">
        <v>21199</v>
      </c>
      <c r="B244" s="16">
        <v>27</v>
      </c>
      <c r="C244" s="8" t="s">
        <v>20</v>
      </c>
      <c r="D244" s="8" t="s">
        <v>37</v>
      </c>
      <c r="F244" s="17">
        <v>42293</v>
      </c>
      <c r="G244" s="8" t="s">
        <v>19146</v>
      </c>
      <c r="H244" s="8" t="s">
        <v>726</v>
      </c>
      <c r="I244" s="8" t="s">
        <v>73</v>
      </c>
      <c r="J244" s="16"/>
      <c r="K244" s="2"/>
      <c r="L244" s="8" t="s">
        <v>727</v>
      </c>
      <c r="M244" s="8" t="s">
        <v>27</v>
      </c>
      <c r="N244" s="2" t="s">
        <v>21551</v>
      </c>
      <c r="P244" s="8" t="s">
        <v>401</v>
      </c>
      <c r="Q244" s="12" t="s">
        <v>19145</v>
      </c>
      <c r="S244" s="8" t="s">
        <v>28</v>
      </c>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row>
    <row r="245" spans="1:49" s="8" customFormat="1" ht="13" customHeight="1">
      <c r="A245" s="8" t="s">
        <v>19083</v>
      </c>
      <c r="B245" s="16">
        <v>20</v>
      </c>
      <c r="C245" s="8" t="s">
        <v>20</v>
      </c>
      <c r="D245" s="8" t="s">
        <v>85</v>
      </c>
      <c r="E245" s="8" t="s">
        <v>19267</v>
      </c>
      <c r="F245" s="17">
        <v>42292</v>
      </c>
      <c r="G245" s="8" t="s">
        <v>19085</v>
      </c>
      <c r="H245" s="8" t="s">
        <v>726</v>
      </c>
      <c r="I245" s="8" t="s">
        <v>73</v>
      </c>
      <c r="J245" s="16"/>
      <c r="K245" s="2"/>
      <c r="L245" s="8" t="s">
        <v>727</v>
      </c>
      <c r="M245" s="8" t="s">
        <v>27</v>
      </c>
      <c r="N245" s="2" t="s">
        <v>21550</v>
      </c>
      <c r="O245" s="8" t="s">
        <v>400</v>
      </c>
      <c r="P245" s="8" t="s">
        <v>401</v>
      </c>
      <c r="Q245" s="12" t="s">
        <v>19084</v>
      </c>
      <c r="S245" s="8" t="s">
        <v>28</v>
      </c>
      <c r="V245" s="2"/>
      <c r="W245" s="2"/>
      <c r="X245" s="2"/>
      <c r="Y245" s="2"/>
      <c r="Z245" s="2"/>
      <c r="AA245" s="2"/>
      <c r="AB245" s="2"/>
      <c r="AC245" s="2"/>
      <c r="AD245" s="2"/>
      <c r="AE245" s="2"/>
      <c r="AF245" s="2"/>
      <c r="AG245" s="2"/>
      <c r="AH245" s="2"/>
      <c r="AI245" s="13"/>
      <c r="AJ245" s="13"/>
      <c r="AK245" s="13"/>
      <c r="AL245" s="13"/>
      <c r="AM245" s="13"/>
      <c r="AN245" s="2"/>
      <c r="AO245" s="2"/>
      <c r="AP245" s="2"/>
      <c r="AQ245" s="2"/>
      <c r="AR245" s="2"/>
      <c r="AS245" s="2"/>
      <c r="AT245" s="2"/>
      <c r="AU245" s="2"/>
      <c r="AV245" s="2"/>
      <c r="AW245" s="2"/>
    </row>
    <row r="246" spans="1:49" s="8" customFormat="1" ht="13" customHeight="1">
      <c r="A246" s="8" t="s">
        <v>19081</v>
      </c>
      <c r="B246" s="16">
        <v>25</v>
      </c>
      <c r="C246" s="8" t="s">
        <v>20</v>
      </c>
      <c r="D246" s="8" t="s">
        <v>85</v>
      </c>
      <c r="E246" s="8" t="s">
        <v>19268</v>
      </c>
      <c r="F246" s="17">
        <v>42292</v>
      </c>
      <c r="G246" s="8" t="s">
        <v>19082</v>
      </c>
      <c r="H246" s="8" t="s">
        <v>1290</v>
      </c>
      <c r="I246" s="8" t="s">
        <v>69</v>
      </c>
      <c r="J246" s="16" t="s">
        <v>19294</v>
      </c>
      <c r="K246" s="2" t="s">
        <v>1291</v>
      </c>
      <c r="L246" s="8" t="s">
        <v>3421</v>
      </c>
      <c r="M246" s="8" t="s">
        <v>27</v>
      </c>
      <c r="N246" s="2" t="s">
        <v>19305</v>
      </c>
      <c r="O246" s="8" t="s">
        <v>1013</v>
      </c>
      <c r="P246" s="8" t="s">
        <v>401</v>
      </c>
      <c r="Q246" s="12" t="s">
        <v>20527</v>
      </c>
      <c r="R246" s="8" t="s">
        <v>100</v>
      </c>
      <c r="S246" s="8" t="s">
        <v>28</v>
      </c>
      <c r="V246" s="2"/>
      <c r="W246" s="2"/>
      <c r="X246" s="2"/>
      <c r="Y246" s="2"/>
      <c r="Z246" s="2"/>
      <c r="AA246" s="2"/>
      <c r="AB246" s="2"/>
      <c r="AC246" s="2"/>
      <c r="AD246" s="2"/>
      <c r="AE246" s="2"/>
      <c r="AF246" s="2"/>
      <c r="AG246" s="2"/>
      <c r="AH246" s="2"/>
      <c r="AN246" s="2"/>
      <c r="AO246" s="2"/>
      <c r="AP246" s="2"/>
      <c r="AQ246" s="2"/>
      <c r="AR246" s="2"/>
      <c r="AS246" s="2"/>
      <c r="AT246" s="2"/>
      <c r="AU246" s="2"/>
      <c r="AV246" s="2"/>
      <c r="AW246" s="2"/>
    </row>
    <row r="247" spans="1:49" s="8" customFormat="1" ht="13" customHeight="1">
      <c r="A247" s="8" t="s">
        <v>19117</v>
      </c>
      <c r="B247" s="16">
        <v>15</v>
      </c>
      <c r="C247" s="8" t="s">
        <v>20</v>
      </c>
      <c r="D247" s="8" t="s">
        <v>48</v>
      </c>
      <c r="E247" s="8" t="s">
        <v>19232</v>
      </c>
      <c r="F247" s="17">
        <v>42292</v>
      </c>
      <c r="G247" s="8" t="s">
        <v>19119</v>
      </c>
      <c r="H247" s="8" t="s">
        <v>1227</v>
      </c>
      <c r="I247" s="8" t="s">
        <v>62</v>
      </c>
      <c r="J247" s="16" t="s">
        <v>7022</v>
      </c>
      <c r="K247" s="2" t="s">
        <v>161</v>
      </c>
      <c r="L247" s="8" t="s">
        <v>162</v>
      </c>
      <c r="M247" s="8" t="s">
        <v>27</v>
      </c>
      <c r="N247" s="2" t="s">
        <v>20326</v>
      </c>
      <c r="O247" s="8" t="s">
        <v>400</v>
      </c>
      <c r="P247" s="8" t="s">
        <v>401</v>
      </c>
      <c r="Q247" s="12" t="s">
        <v>19118</v>
      </c>
      <c r="R247" s="8" t="s">
        <v>100</v>
      </c>
      <c r="S247" s="8" t="s">
        <v>28</v>
      </c>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row>
    <row r="248" spans="1:49" ht="13" customHeight="1">
      <c r="A248" s="8" t="s">
        <v>19115</v>
      </c>
      <c r="B248" s="16">
        <v>27</v>
      </c>
      <c r="C248" s="8" t="s">
        <v>20</v>
      </c>
      <c r="D248" s="8" t="s">
        <v>48</v>
      </c>
      <c r="F248" s="17">
        <v>42292</v>
      </c>
      <c r="G248" s="8" t="s">
        <v>19116</v>
      </c>
      <c r="H248" s="8" t="s">
        <v>948</v>
      </c>
      <c r="I248" s="8" t="s">
        <v>45</v>
      </c>
      <c r="J248" s="16" t="s">
        <v>20524</v>
      </c>
      <c r="K248" s="2" t="s">
        <v>948</v>
      </c>
      <c r="L248" s="8" t="s">
        <v>949</v>
      </c>
      <c r="M248" s="8" t="s">
        <v>27</v>
      </c>
      <c r="N248" s="2" t="s">
        <v>20525</v>
      </c>
      <c r="O248" s="8" t="s">
        <v>400</v>
      </c>
      <c r="P248" s="8" t="s">
        <v>401</v>
      </c>
      <c r="Q248" s="12" t="s">
        <v>20526</v>
      </c>
      <c r="R248" s="8" t="s">
        <v>100</v>
      </c>
      <c r="S248" s="8" t="s">
        <v>28</v>
      </c>
      <c r="T248" s="8"/>
      <c r="U248" s="8"/>
    </row>
    <row r="249" spans="1:49" ht="13" customHeight="1">
      <c r="A249" s="8" t="s">
        <v>19120</v>
      </c>
      <c r="B249" s="16">
        <v>27</v>
      </c>
      <c r="C249" s="8" t="s">
        <v>20</v>
      </c>
      <c r="D249" s="8" t="s">
        <v>48</v>
      </c>
      <c r="E249" s="8" t="s">
        <v>19231</v>
      </c>
      <c r="F249" s="17">
        <v>42292</v>
      </c>
      <c r="G249" s="8" t="s">
        <v>19122</v>
      </c>
      <c r="H249" s="8" t="s">
        <v>10639</v>
      </c>
      <c r="I249" s="8" t="s">
        <v>45</v>
      </c>
      <c r="L249" s="8" t="s">
        <v>414</v>
      </c>
      <c r="M249" s="8" t="s">
        <v>379</v>
      </c>
      <c r="P249" s="8" t="s">
        <v>401</v>
      </c>
      <c r="Q249" s="12" t="s">
        <v>19121</v>
      </c>
      <c r="S249" s="8" t="s">
        <v>18</v>
      </c>
      <c r="T249" s="8"/>
      <c r="U249" s="8"/>
    </row>
    <row r="250" spans="1:49" ht="13" customHeight="1">
      <c r="A250" s="8" t="s">
        <v>19205</v>
      </c>
      <c r="B250" s="16">
        <v>31</v>
      </c>
      <c r="C250" s="8" t="s">
        <v>20</v>
      </c>
      <c r="D250" s="8" t="s">
        <v>37</v>
      </c>
      <c r="E250" s="8" t="s">
        <v>19252</v>
      </c>
      <c r="F250" s="17">
        <v>42292</v>
      </c>
      <c r="G250" s="8" t="s">
        <v>20532</v>
      </c>
      <c r="H250" s="8" t="s">
        <v>987</v>
      </c>
      <c r="I250" s="8" t="s">
        <v>69</v>
      </c>
      <c r="J250" s="16" t="s">
        <v>20533</v>
      </c>
      <c r="K250" s="2" t="s">
        <v>105</v>
      </c>
      <c r="L250" s="8" t="s">
        <v>20534</v>
      </c>
      <c r="M250" s="8" t="s">
        <v>27</v>
      </c>
      <c r="N250" s="2" t="s">
        <v>20535</v>
      </c>
      <c r="O250" s="8" t="s">
        <v>400</v>
      </c>
      <c r="P250" s="8" t="s">
        <v>401</v>
      </c>
      <c r="Q250" s="12" t="s">
        <v>20536</v>
      </c>
      <c r="R250" s="8" t="s">
        <v>100</v>
      </c>
      <c r="S250" s="8" t="s">
        <v>28</v>
      </c>
      <c r="T250" s="8"/>
      <c r="U250" s="8"/>
      <c r="AN250" s="8"/>
      <c r="AO250" s="8"/>
      <c r="AP250" s="8"/>
      <c r="AQ250" s="8"/>
      <c r="AR250" s="8"/>
      <c r="AS250" s="8"/>
      <c r="AT250" s="8"/>
    </row>
    <row r="251" spans="1:49" ht="13" customHeight="1">
      <c r="A251" s="8" t="s">
        <v>19206</v>
      </c>
      <c r="B251" s="16">
        <v>35</v>
      </c>
      <c r="C251" s="8" t="s">
        <v>20</v>
      </c>
      <c r="D251" s="8" t="s">
        <v>37</v>
      </c>
      <c r="E251" s="8" t="s">
        <v>19253</v>
      </c>
      <c r="F251" s="17">
        <v>42292</v>
      </c>
      <c r="G251" s="8" t="s">
        <v>19207</v>
      </c>
      <c r="H251" s="8" t="s">
        <v>19208</v>
      </c>
      <c r="I251" s="8" t="s">
        <v>303</v>
      </c>
      <c r="J251" s="16" t="s">
        <v>20537</v>
      </c>
      <c r="K251" s="2" t="s">
        <v>1212</v>
      </c>
      <c r="L251" s="8" t="s">
        <v>19209</v>
      </c>
      <c r="M251" s="8" t="s">
        <v>27</v>
      </c>
      <c r="N251" s="2" t="s">
        <v>20538</v>
      </c>
      <c r="O251" s="8" t="s">
        <v>400</v>
      </c>
      <c r="P251" s="8" t="s">
        <v>401</v>
      </c>
      <c r="Q251" s="12" t="s">
        <v>20539</v>
      </c>
      <c r="R251" s="8" t="s">
        <v>29</v>
      </c>
      <c r="S251" s="8" t="s">
        <v>28</v>
      </c>
      <c r="T251" s="8"/>
      <c r="U251" s="8"/>
      <c r="AN251" s="8"/>
      <c r="AO251" s="8"/>
      <c r="AP251" s="8"/>
      <c r="AQ251" s="8"/>
      <c r="AR251" s="8"/>
      <c r="AS251" s="8"/>
      <c r="AT251" s="8"/>
    </row>
    <row r="252" spans="1:49" ht="13" customHeight="1">
      <c r="A252" s="8" t="s">
        <v>19204</v>
      </c>
      <c r="B252" s="16">
        <v>50</v>
      </c>
      <c r="C252" s="8" t="s">
        <v>114</v>
      </c>
      <c r="D252" s="8" t="s">
        <v>37</v>
      </c>
      <c r="E252" s="8" t="s">
        <v>19251</v>
      </c>
      <c r="F252" s="17">
        <v>42292</v>
      </c>
      <c r="G252" s="8" t="s">
        <v>20528</v>
      </c>
      <c r="H252" s="8" t="s">
        <v>657</v>
      </c>
      <c r="I252" s="8" t="s">
        <v>269</v>
      </c>
      <c r="J252" s="16" t="s">
        <v>20529</v>
      </c>
      <c r="K252" s="2" t="s">
        <v>570</v>
      </c>
      <c r="L252" s="8" t="s">
        <v>571</v>
      </c>
      <c r="M252" s="8" t="s">
        <v>27</v>
      </c>
      <c r="N252" s="2" t="s">
        <v>20530</v>
      </c>
      <c r="O252" s="8" t="s">
        <v>1013</v>
      </c>
      <c r="P252" s="8" t="s">
        <v>401</v>
      </c>
      <c r="Q252" s="12" t="s">
        <v>20531</v>
      </c>
      <c r="R252" s="8" t="s">
        <v>100</v>
      </c>
      <c r="S252" s="8" t="s">
        <v>28</v>
      </c>
      <c r="T252" s="8"/>
      <c r="U252" s="8"/>
      <c r="AN252" s="8"/>
      <c r="AO252" s="8"/>
      <c r="AP252" s="8"/>
      <c r="AQ252" s="8"/>
      <c r="AR252" s="8"/>
      <c r="AS252" s="8"/>
      <c r="AT252" s="8"/>
    </row>
    <row r="253" spans="1:49" ht="13" customHeight="1">
      <c r="A253" s="8" t="s">
        <v>19210</v>
      </c>
      <c r="B253" s="16">
        <v>54</v>
      </c>
      <c r="C253" s="8" t="s">
        <v>20</v>
      </c>
      <c r="D253" s="8" t="s">
        <v>37</v>
      </c>
      <c r="E253" s="8" t="s">
        <v>19254</v>
      </c>
      <c r="F253" s="17">
        <v>42292</v>
      </c>
      <c r="H253" s="8" t="s">
        <v>5037</v>
      </c>
      <c r="I253" s="8" t="s">
        <v>45</v>
      </c>
      <c r="K253" s="2" t="s">
        <v>7853</v>
      </c>
      <c r="L253" s="8" t="s">
        <v>21381</v>
      </c>
      <c r="M253" s="8" t="s">
        <v>2297</v>
      </c>
      <c r="N253" s="2" t="s">
        <v>21382</v>
      </c>
      <c r="P253" s="8" t="s">
        <v>401</v>
      </c>
      <c r="Q253" s="12" t="s">
        <v>19211</v>
      </c>
      <c r="S253" s="8" t="s">
        <v>18</v>
      </c>
      <c r="T253" s="8"/>
      <c r="U253" s="8"/>
      <c r="AN253" s="8"/>
      <c r="AO253" s="8"/>
      <c r="AP253" s="8"/>
      <c r="AQ253" s="8"/>
      <c r="AR253" s="8"/>
      <c r="AS253" s="8"/>
      <c r="AT253" s="8"/>
    </row>
    <row r="254" spans="1:49" ht="13" customHeight="1">
      <c r="A254" s="8" t="s">
        <v>19086</v>
      </c>
      <c r="B254" s="16">
        <v>57</v>
      </c>
      <c r="C254" s="8" t="s">
        <v>20</v>
      </c>
      <c r="D254" s="8" t="s">
        <v>85</v>
      </c>
      <c r="F254" s="17">
        <v>42291</v>
      </c>
      <c r="G254" s="8" t="s">
        <v>20545</v>
      </c>
      <c r="H254" s="8" t="s">
        <v>19087</v>
      </c>
      <c r="I254" s="8" t="s">
        <v>94</v>
      </c>
      <c r="J254" s="16" t="s">
        <v>19292</v>
      </c>
      <c r="K254" s="2" t="s">
        <v>19293</v>
      </c>
      <c r="L254" s="8" t="s">
        <v>19088</v>
      </c>
      <c r="M254" s="8" t="s">
        <v>27</v>
      </c>
      <c r="N254" s="2" t="s">
        <v>19304</v>
      </c>
      <c r="O254" s="8" t="s">
        <v>400</v>
      </c>
      <c r="P254" s="8" t="s">
        <v>401</v>
      </c>
      <c r="Q254" s="12" t="s">
        <v>20546</v>
      </c>
      <c r="R254" s="8" t="s">
        <v>100</v>
      </c>
      <c r="S254" s="8" t="s">
        <v>28</v>
      </c>
      <c r="T254" s="8"/>
      <c r="U254" s="8"/>
      <c r="AI254" s="8"/>
      <c r="AJ254" s="8"/>
      <c r="AK254" s="8"/>
      <c r="AL254" s="8"/>
      <c r="AM254" s="8"/>
    </row>
    <row r="255" spans="1:49" ht="13" customHeight="1">
      <c r="A255" s="8" t="s">
        <v>19123</v>
      </c>
      <c r="B255" s="16">
        <v>18</v>
      </c>
      <c r="C255" s="8" t="s">
        <v>20</v>
      </c>
      <c r="D255" s="8" t="s">
        <v>48</v>
      </c>
      <c r="F255" s="17">
        <v>42291</v>
      </c>
      <c r="G255" s="8" t="s">
        <v>20549</v>
      </c>
      <c r="H255" s="8" t="s">
        <v>6343</v>
      </c>
      <c r="I255" s="8" t="s">
        <v>45</v>
      </c>
      <c r="J255" s="16" t="s">
        <v>6344</v>
      </c>
      <c r="K255" s="2" t="s">
        <v>786</v>
      </c>
      <c r="L255" s="8" t="s">
        <v>6345</v>
      </c>
      <c r="M255" s="8" t="s">
        <v>27</v>
      </c>
      <c r="N255" s="2" t="s">
        <v>20550</v>
      </c>
      <c r="O255" s="8" t="s">
        <v>400</v>
      </c>
      <c r="P255" s="8" t="s">
        <v>401</v>
      </c>
      <c r="Q255" s="12" t="s">
        <v>20551</v>
      </c>
      <c r="R255" s="8" t="s">
        <v>100</v>
      </c>
      <c r="S255" s="8" t="s">
        <v>379</v>
      </c>
      <c r="T255" s="8"/>
      <c r="U255" s="8"/>
    </row>
    <row r="256" spans="1:49" ht="13" customHeight="1">
      <c r="A256" s="8" t="s">
        <v>19147</v>
      </c>
      <c r="B256" s="16">
        <v>59</v>
      </c>
      <c r="C256" s="8" t="s">
        <v>20</v>
      </c>
      <c r="D256" s="8" t="s">
        <v>30</v>
      </c>
      <c r="F256" s="17">
        <v>42291</v>
      </c>
      <c r="G256" s="8" t="s">
        <v>19148</v>
      </c>
      <c r="H256" s="8" t="s">
        <v>5886</v>
      </c>
      <c r="I256" s="8" t="s">
        <v>45</v>
      </c>
      <c r="J256" s="16" t="s">
        <v>5887</v>
      </c>
      <c r="K256" s="2" t="s">
        <v>65</v>
      </c>
      <c r="L256" s="8" t="s">
        <v>5888</v>
      </c>
      <c r="M256" s="8" t="s">
        <v>27</v>
      </c>
      <c r="N256" s="2" t="s">
        <v>20547</v>
      </c>
      <c r="O256" s="8" t="s">
        <v>400</v>
      </c>
      <c r="P256" s="8" t="s">
        <v>401</v>
      </c>
      <c r="Q256" s="12" t="s">
        <v>20548</v>
      </c>
      <c r="R256" s="8" t="s">
        <v>100</v>
      </c>
      <c r="S256" s="8" t="s">
        <v>28</v>
      </c>
      <c r="T256" s="8"/>
      <c r="U256" s="8"/>
    </row>
    <row r="257" spans="1:46" ht="13" customHeight="1">
      <c r="A257" s="8" t="s">
        <v>19212</v>
      </c>
      <c r="B257" s="16">
        <v>27</v>
      </c>
      <c r="C257" s="8" t="s">
        <v>20</v>
      </c>
      <c r="D257" s="8" t="s">
        <v>37</v>
      </c>
      <c r="E257" s="8" t="s">
        <v>19255</v>
      </c>
      <c r="F257" s="17">
        <v>42291</v>
      </c>
      <c r="G257" s="8" t="s">
        <v>20540</v>
      </c>
      <c r="H257" s="8" t="s">
        <v>20541</v>
      </c>
      <c r="I257" s="8" t="s">
        <v>173</v>
      </c>
      <c r="J257" s="16" t="s">
        <v>20542</v>
      </c>
      <c r="K257" s="2" t="s">
        <v>1121</v>
      </c>
      <c r="L257" s="8" t="s">
        <v>19213</v>
      </c>
      <c r="M257" s="8" t="s">
        <v>27</v>
      </c>
      <c r="N257" s="2" t="s">
        <v>20543</v>
      </c>
      <c r="O257" s="8" t="s">
        <v>400</v>
      </c>
      <c r="P257" s="8" t="s">
        <v>401</v>
      </c>
      <c r="Q257" s="12" t="s">
        <v>20544</v>
      </c>
      <c r="R257" s="8" t="s">
        <v>100</v>
      </c>
      <c r="S257" s="8" t="s">
        <v>28</v>
      </c>
      <c r="T257" s="8"/>
      <c r="U257" s="8"/>
      <c r="AN257" s="8"/>
      <c r="AO257" s="8"/>
      <c r="AP257" s="8"/>
      <c r="AQ257" s="8"/>
      <c r="AR257" s="8"/>
      <c r="AS257" s="8"/>
      <c r="AT257" s="8"/>
    </row>
    <row r="258" spans="1:46" ht="13" customHeight="1">
      <c r="A258" s="8" t="s">
        <v>19214</v>
      </c>
      <c r="B258" s="16">
        <v>46</v>
      </c>
      <c r="C258" s="8" t="s">
        <v>114</v>
      </c>
      <c r="D258" s="8" t="s">
        <v>37</v>
      </c>
      <c r="E258" s="8" t="s">
        <v>19256</v>
      </c>
      <c r="F258" s="17">
        <v>42291</v>
      </c>
      <c r="G258" s="8" t="s">
        <v>19216</v>
      </c>
      <c r="H258" s="8" t="s">
        <v>19217</v>
      </c>
      <c r="I258" s="8" t="s">
        <v>62</v>
      </c>
      <c r="K258" s="8"/>
      <c r="L258" s="8" t="s">
        <v>19218</v>
      </c>
      <c r="M258" s="8" t="s">
        <v>27</v>
      </c>
      <c r="N258" s="2" t="s">
        <v>21522</v>
      </c>
      <c r="P258" s="8" t="s">
        <v>401</v>
      </c>
      <c r="Q258" s="12" t="s">
        <v>19215</v>
      </c>
      <c r="S258" s="8" t="s">
        <v>28</v>
      </c>
      <c r="T258" s="8"/>
      <c r="U258" s="8"/>
      <c r="AN258" s="8"/>
      <c r="AO258" s="8"/>
      <c r="AP258" s="8"/>
      <c r="AQ258" s="8"/>
      <c r="AR258" s="8"/>
      <c r="AS258" s="8"/>
      <c r="AT258" s="8"/>
    </row>
    <row r="259" spans="1:46" ht="13" customHeight="1">
      <c r="A259" s="8" t="s">
        <v>19219</v>
      </c>
      <c r="B259" s="16">
        <v>31</v>
      </c>
      <c r="C259" s="8" t="s">
        <v>20</v>
      </c>
      <c r="D259" s="8" t="s">
        <v>37</v>
      </c>
      <c r="E259" s="8" t="s">
        <v>19257</v>
      </c>
      <c r="F259" s="17">
        <v>42289</v>
      </c>
      <c r="G259" s="8" t="s">
        <v>20554</v>
      </c>
      <c r="H259" s="8" t="s">
        <v>19220</v>
      </c>
      <c r="I259" s="8" t="s">
        <v>57</v>
      </c>
      <c r="J259" s="16" t="s">
        <v>20555</v>
      </c>
      <c r="K259" s="2" t="s">
        <v>2324</v>
      </c>
      <c r="L259" s="8" t="s">
        <v>19221</v>
      </c>
      <c r="M259" s="8" t="s">
        <v>27</v>
      </c>
      <c r="N259" s="2" t="s">
        <v>20556</v>
      </c>
      <c r="O259" s="8" t="s">
        <v>400</v>
      </c>
      <c r="P259" s="8" t="s">
        <v>401</v>
      </c>
      <c r="Q259" s="12" t="s">
        <v>20557</v>
      </c>
      <c r="R259" s="8" t="s">
        <v>100</v>
      </c>
      <c r="S259" s="8" t="s">
        <v>28</v>
      </c>
      <c r="T259" s="8"/>
      <c r="U259" s="8"/>
      <c r="AN259" s="8"/>
      <c r="AO259" s="8"/>
      <c r="AP259" s="8"/>
      <c r="AQ259" s="8"/>
      <c r="AR259" s="8"/>
      <c r="AS259" s="8"/>
      <c r="AT259" s="8"/>
    </row>
    <row r="260" spans="1:46" ht="13" customHeight="1">
      <c r="A260" s="8" t="s">
        <v>19</v>
      </c>
      <c r="B260" s="16">
        <v>44</v>
      </c>
      <c r="C260" s="8" t="s">
        <v>20</v>
      </c>
      <c r="D260" s="8" t="s">
        <v>21</v>
      </c>
      <c r="E260" s="8" t="s">
        <v>22</v>
      </c>
      <c r="F260" s="17">
        <v>42288</v>
      </c>
      <c r="G260" s="8" t="s">
        <v>23</v>
      </c>
      <c r="H260" s="8" t="s">
        <v>24</v>
      </c>
      <c r="I260" s="8" t="s">
        <v>25</v>
      </c>
      <c r="J260" s="16" t="s">
        <v>20563</v>
      </c>
      <c r="K260" s="2" t="s">
        <v>20564</v>
      </c>
      <c r="L260" s="8" t="s">
        <v>26</v>
      </c>
      <c r="M260" s="8" t="s">
        <v>27</v>
      </c>
      <c r="N260" s="2" t="s">
        <v>20565</v>
      </c>
      <c r="O260" s="8" t="s">
        <v>400</v>
      </c>
      <c r="P260" s="8" t="s">
        <v>401</v>
      </c>
      <c r="Q260" s="12" t="s">
        <v>20566</v>
      </c>
      <c r="R260" s="8" t="s">
        <v>100</v>
      </c>
      <c r="S260" s="8" t="s">
        <v>28</v>
      </c>
      <c r="T260" s="8"/>
      <c r="U260" s="8"/>
    </row>
    <row r="261" spans="1:46" ht="13" customHeight="1">
      <c r="A261" s="8" t="s">
        <v>19089</v>
      </c>
      <c r="B261" s="16">
        <v>23</v>
      </c>
      <c r="C261" s="8" t="s">
        <v>20</v>
      </c>
      <c r="D261" s="8" t="s">
        <v>85</v>
      </c>
      <c r="E261" s="8" t="s">
        <v>19266</v>
      </c>
      <c r="F261" s="17">
        <v>42288</v>
      </c>
      <c r="G261" s="8" t="s">
        <v>31</v>
      </c>
      <c r="H261" s="8" t="s">
        <v>20558</v>
      </c>
      <c r="I261" s="8" t="s">
        <v>32</v>
      </c>
      <c r="J261" s="16" t="s">
        <v>20559</v>
      </c>
      <c r="K261" s="2" t="s">
        <v>33</v>
      </c>
      <c r="L261" s="8" t="s">
        <v>34</v>
      </c>
      <c r="M261" s="8" t="s">
        <v>27</v>
      </c>
      <c r="N261" s="2" t="s">
        <v>19302</v>
      </c>
      <c r="O261" s="8" t="s">
        <v>400</v>
      </c>
      <c r="P261" s="8" t="s">
        <v>401</v>
      </c>
      <c r="Q261" s="12" t="s">
        <v>20560</v>
      </c>
      <c r="R261" s="8" t="s">
        <v>100</v>
      </c>
      <c r="S261" s="8" t="s">
        <v>28</v>
      </c>
      <c r="T261" s="8"/>
      <c r="U261" s="8"/>
      <c r="V261" s="8"/>
      <c r="W261" s="8"/>
      <c r="X261" s="8"/>
      <c r="AI261" s="13"/>
      <c r="AJ261" s="13"/>
      <c r="AK261" s="13"/>
      <c r="AL261" s="13"/>
      <c r="AM261" s="13"/>
    </row>
    <row r="262" spans="1:46" ht="13" customHeight="1">
      <c r="A262" s="8" t="s">
        <v>19090</v>
      </c>
      <c r="B262" s="16">
        <v>40</v>
      </c>
      <c r="C262" s="8" t="s">
        <v>20</v>
      </c>
      <c r="D262" s="8" t="s">
        <v>85</v>
      </c>
      <c r="E262" s="8" t="s">
        <v>19265</v>
      </c>
      <c r="F262" s="17">
        <v>42288</v>
      </c>
      <c r="G262" s="8" t="s">
        <v>20552</v>
      </c>
      <c r="H262" s="8" t="s">
        <v>11112</v>
      </c>
      <c r="I262" s="8" t="s">
        <v>395</v>
      </c>
      <c r="J262" s="16" t="s">
        <v>11113</v>
      </c>
      <c r="K262" s="2" t="s">
        <v>19291</v>
      </c>
      <c r="L262" s="8" t="s">
        <v>11115</v>
      </c>
      <c r="M262" s="8" t="s">
        <v>27</v>
      </c>
      <c r="N262" s="2" t="s">
        <v>19303</v>
      </c>
      <c r="O262" s="8" t="s">
        <v>400</v>
      </c>
      <c r="P262" s="8" t="s">
        <v>401</v>
      </c>
      <c r="Q262" s="12" t="s">
        <v>20553</v>
      </c>
      <c r="R262" s="8" t="s">
        <v>100</v>
      </c>
      <c r="S262" s="8" t="s">
        <v>35</v>
      </c>
      <c r="T262" s="8"/>
      <c r="U262" s="8"/>
      <c r="AI262" s="8"/>
      <c r="AJ262" s="8"/>
      <c r="AK262" s="8"/>
      <c r="AL262" s="8"/>
      <c r="AM262" s="8"/>
    </row>
    <row r="263" spans="1:46" ht="13" customHeight="1">
      <c r="A263" s="8" t="s">
        <v>19124</v>
      </c>
      <c r="B263" s="16">
        <v>43</v>
      </c>
      <c r="C263" s="8" t="s">
        <v>20</v>
      </c>
      <c r="D263" s="8" t="s">
        <v>48</v>
      </c>
      <c r="E263" s="8" t="s">
        <v>19230</v>
      </c>
      <c r="F263" s="17">
        <v>42288</v>
      </c>
      <c r="G263" s="8" t="s">
        <v>20567</v>
      </c>
      <c r="H263" s="8" t="s">
        <v>798</v>
      </c>
      <c r="I263" s="8" t="s">
        <v>73</v>
      </c>
      <c r="J263" s="16" t="s">
        <v>20568</v>
      </c>
      <c r="K263" s="2" t="s">
        <v>799</v>
      </c>
      <c r="L263" s="8" t="s">
        <v>19126</v>
      </c>
      <c r="M263" s="8" t="s">
        <v>27</v>
      </c>
      <c r="N263" s="2" t="s">
        <v>20569</v>
      </c>
      <c r="O263" s="8" t="s">
        <v>400</v>
      </c>
      <c r="P263" s="8" t="s">
        <v>401</v>
      </c>
      <c r="Q263" s="12" t="s">
        <v>19125</v>
      </c>
      <c r="R263" s="8" t="s">
        <v>100</v>
      </c>
      <c r="S263" s="8" t="s">
        <v>28</v>
      </c>
      <c r="T263" s="8"/>
      <c r="U263" s="8"/>
    </row>
    <row r="264" spans="1:46" ht="13" customHeight="1">
      <c r="A264" s="8" t="s">
        <v>19127</v>
      </c>
      <c r="B264" s="16">
        <v>34</v>
      </c>
      <c r="C264" s="8" t="s">
        <v>20</v>
      </c>
      <c r="D264" s="8" t="s">
        <v>48</v>
      </c>
      <c r="F264" s="17">
        <v>42288</v>
      </c>
      <c r="G264" s="8" t="s">
        <v>20561</v>
      </c>
      <c r="H264" s="8" t="s">
        <v>309</v>
      </c>
      <c r="I264" s="8" t="s">
        <v>45</v>
      </c>
      <c r="J264" s="16" t="s">
        <v>6915</v>
      </c>
      <c r="K264" s="2" t="s">
        <v>309</v>
      </c>
      <c r="L264" s="8" t="s">
        <v>4348</v>
      </c>
      <c r="M264" s="8" t="s">
        <v>27</v>
      </c>
      <c r="N264" s="2" t="s">
        <v>20562</v>
      </c>
      <c r="O264" s="8" t="s">
        <v>400</v>
      </c>
      <c r="P264" s="8" t="s">
        <v>401</v>
      </c>
      <c r="Q264" s="12" t="s">
        <v>19128</v>
      </c>
      <c r="R264" s="8" t="s">
        <v>100</v>
      </c>
      <c r="S264" s="8" t="s">
        <v>35</v>
      </c>
      <c r="T264" s="8"/>
      <c r="U264" s="8"/>
      <c r="Y264" s="8"/>
      <c r="Z264" s="8"/>
      <c r="AA264" s="8"/>
      <c r="AB264" s="8"/>
      <c r="AC264" s="8"/>
      <c r="AD264" s="8"/>
      <c r="AE264" s="8"/>
      <c r="AF264" s="8"/>
      <c r="AG264" s="8"/>
      <c r="AH264" s="8"/>
    </row>
    <row r="265" spans="1:46" ht="13" customHeight="1">
      <c r="A265" s="8" t="s">
        <v>19129</v>
      </c>
      <c r="B265" s="16">
        <v>38</v>
      </c>
      <c r="C265" s="8" t="s">
        <v>20</v>
      </c>
      <c r="D265" s="8" t="s">
        <v>30</v>
      </c>
      <c r="F265" s="17">
        <v>42288</v>
      </c>
      <c r="G265" s="8" t="s">
        <v>21201</v>
      </c>
      <c r="H265" s="8" t="s">
        <v>21200</v>
      </c>
      <c r="I265" s="8" t="s">
        <v>46</v>
      </c>
      <c r="K265" s="2" t="s">
        <v>1703</v>
      </c>
      <c r="L265" s="2" t="s">
        <v>21202</v>
      </c>
      <c r="M265" s="2" t="s">
        <v>2297</v>
      </c>
      <c r="N265" s="2" t="s">
        <v>21203</v>
      </c>
      <c r="O265" s="8" t="s">
        <v>400</v>
      </c>
      <c r="P265" s="8" t="s">
        <v>401</v>
      </c>
      <c r="Q265" s="12" t="s">
        <v>19149</v>
      </c>
      <c r="R265" s="8" t="s">
        <v>555</v>
      </c>
      <c r="S265" s="8" t="s">
        <v>18</v>
      </c>
      <c r="T265" s="8"/>
      <c r="U265" s="8"/>
    </row>
    <row r="266" spans="1:46" ht="13" customHeight="1">
      <c r="A266" s="8" t="s">
        <v>19150</v>
      </c>
      <c r="B266" s="16">
        <v>35</v>
      </c>
      <c r="C266" s="8" t="s">
        <v>20</v>
      </c>
      <c r="D266" s="8" t="s">
        <v>48</v>
      </c>
      <c r="E266" s="8" t="s">
        <v>19235</v>
      </c>
      <c r="F266" s="17">
        <v>42287</v>
      </c>
      <c r="G266" s="8" t="s">
        <v>20570</v>
      </c>
      <c r="H266" s="8" t="s">
        <v>19151</v>
      </c>
      <c r="I266" s="8" t="s">
        <v>44</v>
      </c>
      <c r="J266" s="16" t="s">
        <v>20571</v>
      </c>
      <c r="K266" s="2" t="s">
        <v>20572</v>
      </c>
      <c r="L266" s="8" t="s">
        <v>19152</v>
      </c>
      <c r="M266" s="8" t="s">
        <v>27</v>
      </c>
      <c r="N266" s="2" t="s">
        <v>20573</v>
      </c>
      <c r="O266" s="8" t="s">
        <v>400</v>
      </c>
      <c r="P266" s="8" t="s">
        <v>401</v>
      </c>
      <c r="Q266" s="12" t="s">
        <v>20574</v>
      </c>
      <c r="R266" s="8" t="s">
        <v>100</v>
      </c>
      <c r="S266" s="8" t="s">
        <v>35</v>
      </c>
      <c r="T266" s="8"/>
      <c r="U266" s="8"/>
    </row>
    <row r="267" spans="1:46" ht="13" customHeight="1">
      <c r="A267" s="8" t="s">
        <v>36</v>
      </c>
      <c r="B267" s="16">
        <v>31</v>
      </c>
      <c r="C267" s="8" t="s">
        <v>20</v>
      </c>
      <c r="D267" s="8" t="s">
        <v>37</v>
      </c>
      <c r="E267" s="8" t="s">
        <v>38</v>
      </c>
      <c r="F267" s="17">
        <v>42287</v>
      </c>
      <c r="G267" s="8" t="s">
        <v>39</v>
      </c>
      <c r="H267" s="8" t="s">
        <v>40</v>
      </c>
      <c r="I267" s="8" t="s">
        <v>41</v>
      </c>
      <c r="J267" s="16" t="s">
        <v>20578</v>
      </c>
      <c r="K267" s="2" t="s">
        <v>42</v>
      </c>
      <c r="L267" s="8" t="s">
        <v>43</v>
      </c>
      <c r="M267" s="8" t="s">
        <v>27</v>
      </c>
      <c r="N267" s="2" t="s">
        <v>20579</v>
      </c>
      <c r="O267" s="8" t="s">
        <v>400</v>
      </c>
      <c r="P267" s="8" t="s">
        <v>401</v>
      </c>
      <c r="Q267" s="12" t="s">
        <v>20580</v>
      </c>
      <c r="R267" s="8" t="s">
        <v>100</v>
      </c>
      <c r="S267" s="8" t="s">
        <v>28</v>
      </c>
      <c r="T267" s="8"/>
      <c r="U267" s="8"/>
      <c r="AN267" s="8"/>
      <c r="AO267" s="8"/>
      <c r="AP267" s="8"/>
      <c r="AQ267" s="8"/>
      <c r="AR267" s="8"/>
      <c r="AS267" s="8"/>
      <c r="AT267" s="8"/>
    </row>
    <row r="268" spans="1:46" ht="13" customHeight="1">
      <c r="A268" s="8" t="s">
        <v>19222</v>
      </c>
      <c r="B268" s="16">
        <v>38</v>
      </c>
      <c r="C268" s="8" t="s">
        <v>20</v>
      </c>
      <c r="D268" s="8" t="s">
        <v>37</v>
      </c>
      <c r="E268" s="8" t="s">
        <v>19258</v>
      </c>
      <c r="F268" s="17">
        <v>42287</v>
      </c>
      <c r="G268" s="8" t="s">
        <v>20581</v>
      </c>
      <c r="H268" s="8" t="s">
        <v>19223</v>
      </c>
      <c r="I268" s="8" t="s">
        <v>45</v>
      </c>
      <c r="J268" s="16" t="s">
        <v>20582</v>
      </c>
      <c r="K268" s="2" t="s">
        <v>309</v>
      </c>
      <c r="L268" s="8" t="s">
        <v>20274</v>
      </c>
      <c r="M268" s="8" t="s">
        <v>27</v>
      </c>
      <c r="N268" s="2" t="s">
        <v>20583</v>
      </c>
      <c r="O268" s="8" t="s">
        <v>400</v>
      </c>
      <c r="P268" s="8" t="s">
        <v>401</v>
      </c>
      <c r="Q268" s="12" t="s">
        <v>20584</v>
      </c>
      <c r="R268" s="8" t="s">
        <v>100</v>
      </c>
      <c r="S268" s="8" t="s">
        <v>35</v>
      </c>
      <c r="T268" s="8"/>
      <c r="U268" s="8"/>
      <c r="AN268" s="8"/>
      <c r="AO268" s="8"/>
      <c r="AP268" s="8"/>
      <c r="AQ268" s="8"/>
      <c r="AR268" s="8"/>
      <c r="AS268" s="8"/>
      <c r="AT268" s="8"/>
    </row>
    <row r="269" spans="1:46" ht="13" customHeight="1">
      <c r="A269" s="8" t="s">
        <v>19224</v>
      </c>
      <c r="B269" s="16">
        <v>49</v>
      </c>
      <c r="C269" s="8" t="s">
        <v>20</v>
      </c>
      <c r="D269" s="8" t="s">
        <v>37</v>
      </c>
      <c r="E269" s="8" t="s">
        <v>19259</v>
      </c>
      <c r="F269" s="17">
        <v>42287</v>
      </c>
      <c r="G269" s="8" t="s">
        <v>19225</v>
      </c>
      <c r="H269" s="8" t="s">
        <v>706</v>
      </c>
      <c r="I269" s="8" t="s">
        <v>46</v>
      </c>
      <c r="J269" s="16" t="s">
        <v>20575</v>
      </c>
      <c r="K269" s="2" t="s">
        <v>528</v>
      </c>
      <c r="L269" s="8" t="s">
        <v>19226</v>
      </c>
      <c r="M269" s="8" t="s">
        <v>27</v>
      </c>
      <c r="N269" s="2" t="s">
        <v>20576</v>
      </c>
      <c r="O269" s="8" t="s">
        <v>400</v>
      </c>
      <c r="P269" s="8" t="s">
        <v>401</v>
      </c>
      <c r="Q269" s="12" t="s">
        <v>20577</v>
      </c>
      <c r="R269" s="8" t="s">
        <v>29</v>
      </c>
      <c r="S269" s="8" t="s">
        <v>379</v>
      </c>
      <c r="T269" s="8"/>
      <c r="U269" s="8"/>
      <c r="AN269" s="8"/>
      <c r="AO269" s="8"/>
      <c r="AP269" s="8"/>
      <c r="AQ269" s="8"/>
      <c r="AR269" s="8"/>
      <c r="AS269" s="8"/>
      <c r="AT269" s="8"/>
    </row>
    <row r="270" spans="1:46" ht="13" customHeight="1">
      <c r="A270" s="8" t="s">
        <v>47</v>
      </c>
      <c r="B270" s="16">
        <v>19</v>
      </c>
      <c r="C270" s="8" t="s">
        <v>20</v>
      </c>
      <c r="D270" s="8" t="s">
        <v>48</v>
      </c>
      <c r="E270" s="8" t="s">
        <v>49</v>
      </c>
      <c r="F270" s="17">
        <v>42286</v>
      </c>
      <c r="G270" s="8" t="s">
        <v>50</v>
      </c>
      <c r="H270" s="8" t="s">
        <v>51</v>
      </c>
      <c r="I270" s="8" t="s">
        <v>52</v>
      </c>
      <c r="J270" s="16" t="s">
        <v>20585</v>
      </c>
      <c r="K270" s="2" t="s">
        <v>53</v>
      </c>
      <c r="L270" s="8" t="s">
        <v>54</v>
      </c>
      <c r="M270" s="8" t="s">
        <v>27</v>
      </c>
      <c r="N270" s="2" t="s">
        <v>20586</v>
      </c>
      <c r="O270" s="8" t="s">
        <v>400</v>
      </c>
      <c r="P270" s="8" t="s">
        <v>401</v>
      </c>
      <c r="Q270" s="12" t="s">
        <v>20587</v>
      </c>
      <c r="R270" s="8" t="s">
        <v>100</v>
      </c>
      <c r="S270" s="8" t="s">
        <v>28</v>
      </c>
      <c r="T270" s="8"/>
      <c r="U270" s="8"/>
    </row>
    <row r="271" spans="1:46" ht="13" customHeight="1">
      <c r="A271" s="8" t="s">
        <v>19153</v>
      </c>
      <c r="B271" s="16">
        <v>53</v>
      </c>
      <c r="C271" s="8" t="s">
        <v>114</v>
      </c>
      <c r="D271" s="8" t="s">
        <v>37</v>
      </c>
      <c r="F271" s="17">
        <v>42286</v>
      </c>
      <c r="G271" s="8" t="s">
        <v>20588</v>
      </c>
      <c r="H271" s="8" t="s">
        <v>19155</v>
      </c>
      <c r="I271" s="8" t="s">
        <v>45</v>
      </c>
      <c r="J271" s="16" t="s">
        <v>20589</v>
      </c>
      <c r="K271" s="2" t="s">
        <v>786</v>
      </c>
      <c r="L271" s="8" t="s">
        <v>4481</v>
      </c>
      <c r="M271" s="8" t="s">
        <v>27</v>
      </c>
      <c r="N271" s="2" t="s">
        <v>20590</v>
      </c>
      <c r="O271" s="8" t="s">
        <v>1013</v>
      </c>
      <c r="P271" s="8" t="s">
        <v>401</v>
      </c>
      <c r="Q271" s="12" t="s">
        <v>19154</v>
      </c>
      <c r="S271" s="8" t="s">
        <v>28</v>
      </c>
      <c r="T271" s="8"/>
      <c r="U271" s="8"/>
    </row>
    <row r="272" spans="1:46" ht="13" customHeight="1">
      <c r="A272" s="8" t="s">
        <v>55</v>
      </c>
      <c r="B272" s="16">
        <v>40</v>
      </c>
      <c r="C272" s="8" t="s">
        <v>20</v>
      </c>
      <c r="D272" s="8" t="s">
        <v>37</v>
      </c>
      <c r="E272" s="8" t="s">
        <v>56</v>
      </c>
      <c r="F272" s="17">
        <v>42286</v>
      </c>
      <c r="G272" s="8" t="s">
        <v>20591</v>
      </c>
      <c r="H272" s="8" t="s">
        <v>11974</v>
      </c>
      <c r="I272" s="8" t="s">
        <v>57</v>
      </c>
      <c r="J272" s="16" t="s">
        <v>20592</v>
      </c>
      <c r="K272" s="2" t="s">
        <v>58</v>
      </c>
      <c r="L272" s="8" t="s">
        <v>20284</v>
      </c>
      <c r="M272" s="8" t="s">
        <v>27</v>
      </c>
      <c r="N272" s="2" t="s">
        <v>20593</v>
      </c>
      <c r="O272" s="8" t="s">
        <v>400</v>
      </c>
      <c r="P272" s="8" t="s">
        <v>401</v>
      </c>
      <c r="Q272" s="12" t="s">
        <v>59</v>
      </c>
      <c r="R272" s="8" t="s">
        <v>100</v>
      </c>
      <c r="S272" s="8" t="s">
        <v>28</v>
      </c>
      <c r="T272" s="8"/>
      <c r="U272" s="8"/>
      <c r="AN272" s="8"/>
      <c r="AO272" s="8"/>
      <c r="AP272" s="8"/>
      <c r="AQ272" s="8"/>
      <c r="AR272" s="8"/>
      <c r="AS272" s="8"/>
      <c r="AT272" s="8"/>
    </row>
    <row r="273" spans="1:49" ht="13" customHeight="1">
      <c r="A273" s="8" t="s">
        <v>60</v>
      </c>
      <c r="B273" s="16">
        <v>46</v>
      </c>
      <c r="C273" s="8" t="s">
        <v>20</v>
      </c>
      <c r="D273" s="8" t="s">
        <v>48</v>
      </c>
      <c r="F273" s="17">
        <v>42284</v>
      </c>
      <c r="G273" s="8" t="s">
        <v>20594</v>
      </c>
      <c r="H273" s="8" t="s">
        <v>61</v>
      </c>
      <c r="I273" s="8" t="s">
        <v>62</v>
      </c>
      <c r="J273" s="16" t="s">
        <v>17726</v>
      </c>
      <c r="K273" s="2" t="s">
        <v>5354</v>
      </c>
      <c r="L273" s="8" t="s">
        <v>63</v>
      </c>
      <c r="M273" s="8" t="s">
        <v>27</v>
      </c>
      <c r="N273" s="2" t="s">
        <v>20595</v>
      </c>
      <c r="O273" s="8" t="s">
        <v>1013</v>
      </c>
      <c r="P273" s="8" t="s">
        <v>401</v>
      </c>
      <c r="Q273" s="12" t="s">
        <v>20596</v>
      </c>
      <c r="R273" s="8" t="s">
        <v>100</v>
      </c>
      <c r="S273" s="8" t="s">
        <v>28</v>
      </c>
      <c r="T273" s="8"/>
      <c r="U273" s="8"/>
    </row>
    <row r="274" spans="1:49" ht="13" customHeight="1">
      <c r="A274" s="8" t="s">
        <v>64</v>
      </c>
      <c r="B274" s="16">
        <v>39</v>
      </c>
      <c r="C274" s="8" t="s">
        <v>20</v>
      </c>
      <c r="D274" s="8" t="s">
        <v>37</v>
      </c>
      <c r="F274" s="17">
        <v>42283</v>
      </c>
      <c r="G274" s="8" t="s">
        <v>20597</v>
      </c>
      <c r="H274" s="8" t="s">
        <v>65</v>
      </c>
      <c r="I274" s="8" t="s">
        <v>45</v>
      </c>
      <c r="J274" s="16" t="s">
        <v>20598</v>
      </c>
      <c r="K274" s="2" t="s">
        <v>65</v>
      </c>
      <c r="L274" s="8" t="s">
        <v>66</v>
      </c>
      <c r="M274" s="8" t="s">
        <v>27</v>
      </c>
      <c r="N274" s="2" t="s">
        <v>20599</v>
      </c>
      <c r="O274" s="8" t="s">
        <v>400</v>
      </c>
      <c r="P274" s="8" t="s">
        <v>401</v>
      </c>
      <c r="Q274" s="12" t="s">
        <v>20600</v>
      </c>
      <c r="R274" s="8" t="s">
        <v>555</v>
      </c>
      <c r="S274" s="8" t="s">
        <v>18</v>
      </c>
      <c r="T274" s="8"/>
      <c r="U274" s="8"/>
      <c r="V274" s="8"/>
      <c r="W274" s="8"/>
      <c r="X274" s="8"/>
      <c r="AN274" s="8"/>
      <c r="AO274" s="8"/>
      <c r="AP274" s="8"/>
      <c r="AQ274" s="8"/>
      <c r="AR274" s="8"/>
      <c r="AS274" s="8"/>
      <c r="AT274" s="8"/>
    </row>
    <row r="275" spans="1:49" ht="13" customHeight="1">
      <c r="A275" s="8" t="s">
        <v>77</v>
      </c>
      <c r="B275" s="16">
        <v>50</v>
      </c>
      <c r="C275" s="8" t="s">
        <v>20</v>
      </c>
      <c r="D275" s="8" t="s">
        <v>37</v>
      </c>
      <c r="E275" s="8" t="s">
        <v>78</v>
      </c>
      <c r="F275" s="17">
        <v>42282</v>
      </c>
      <c r="G275" s="8" t="s">
        <v>79</v>
      </c>
      <c r="H275" s="8" t="s">
        <v>80</v>
      </c>
      <c r="I275" s="8" t="s">
        <v>81</v>
      </c>
      <c r="J275" s="16" t="s">
        <v>20604</v>
      </c>
      <c r="K275" s="2" t="s">
        <v>42</v>
      </c>
      <c r="L275" s="8" t="s">
        <v>82</v>
      </c>
      <c r="M275" s="8" t="s">
        <v>27</v>
      </c>
      <c r="N275" s="2" t="s">
        <v>20605</v>
      </c>
      <c r="O275" s="8" t="s">
        <v>400</v>
      </c>
      <c r="P275" s="8" t="s">
        <v>401</v>
      </c>
      <c r="Q275" s="12" t="s">
        <v>83</v>
      </c>
      <c r="R275" s="8" t="s">
        <v>100</v>
      </c>
      <c r="S275" s="8" t="s">
        <v>28</v>
      </c>
      <c r="T275" s="8"/>
      <c r="U275" s="8"/>
      <c r="AN275" s="8"/>
      <c r="AO275" s="8"/>
      <c r="AP275" s="8"/>
      <c r="AQ275" s="8"/>
      <c r="AR275" s="8"/>
      <c r="AS275" s="8"/>
      <c r="AT275" s="8"/>
      <c r="AU275" s="8"/>
      <c r="AV275" s="8"/>
      <c r="AW275" s="8"/>
    </row>
    <row r="276" spans="1:49" ht="13" customHeight="1">
      <c r="A276" s="8" t="s">
        <v>71</v>
      </c>
      <c r="B276" s="16">
        <v>51</v>
      </c>
      <c r="C276" s="8" t="s">
        <v>20</v>
      </c>
      <c r="D276" s="8" t="s">
        <v>37</v>
      </c>
      <c r="E276" s="8" t="s">
        <v>19227</v>
      </c>
      <c r="F276" s="17">
        <v>42282</v>
      </c>
      <c r="G276" s="8" t="s">
        <v>20601</v>
      </c>
      <c r="H276" s="8" t="s">
        <v>72</v>
      </c>
      <c r="I276" s="8" t="s">
        <v>73</v>
      </c>
      <c r="J276" s="16" t="s">
        <v>20602</v>
      </c>
      <c r="K276" s="2" t="s">
        <v>74</v>
      </c>
      <c r="L276" s="8" t="s">
        <v>75</v>
      </c>
      <c r="M276" s="8" t="s">
        <v>27</v>
      </c>
      <c r="N276" s="2" t="s">
        <v>20603</v>
      </c>
      <c r="O276" s="8" t="s">
        <v>400</v>
      </c>
      <c r="P276" s="8" t="s">
        <v>401</v>
      </c>
      <c r="Q276" s="12" t="s">
        <v>76</v>
      </c>
      <c r="R276" s="8" t="s">
        <v>100</v>
      </c>
      <c r="S276" s="8" t="s">
        <v>28</v>
      </c>
      <c r="T276" s="8"/>
      <c r="U276" s="8"/>
      <c r="AN276" s="8"/>
      <c r="AO276" s="8"/>
      <c r="AP276" s="8"/>
      <c r="AQ276" s="8"/>
      <c r="AR276" s="8"/>
      <c r="AS276" s="8"/>
      <c r="AT276" s="8"/>
      <c r="AU276" s="8"/>
      <c r="AV276" s="8"/>
      <c r="AW276" s="8"/>
    </row>
    <row r="277" spans="1:49" ht="13" customHeight="1">
      <c r="A277" s="8" t="s">
        <v>84</v>
      </c>
      <c r="B277" s="16">
        <v>31</v>
      </c>
      <c r="C277" s="8" t="s">
        <v>20</v>
      </c>
      <c r="D277" s="8" t="s">
        <v>85</v>
      </c>
      <c r="E277" s="8" t="s">
        <v>86</v>
      </c>
      <c r="F277" s="17">
        <v>42281</v>
      </c>
      <c r="G277" s="8" t="s">
        <v>20608</v>
      </c>
      <c r="H277" s="8" t="s">
        <v>87</v>
      </c>
      <c r="I277" s="8" t="s">
        <v>44</v>
      </c>
      <c r="J277" s="16" t="s">
        <v>6634</v>
      </c>
      <c r="K277" s="2" t="s">
        <v>88</v>
      </c>
      <c r="L277" s="8" t="s">
        <v>89</v>
      </c>
      <c r="M277" s="8" t="s">
        <v>27</v>
      </c>
      <c r="N277" s="2" t="s">
        <v>20609</v>
      </c>
      <c r="O277" s="8" t="s">
        <v>400</v>
      </c>
      <c r="P277" s="8" t="s">
        <v>401</v>
      </c>
      <c r="Q277" s="12" t="s">
        <v>20610</v>
      </c>
      <c r="R277" s="8" t="s">
        <v>100</v>
      </c>
      <c r="S277" s="8" t="s">
        <v>28</v>
      </c>
      <c r="T277" s="8"/>
      <c r="U277" s="8"/>
      <c r="AI277" s="8"/>
      <c r="AJ277" s="8"/>
      <c r="AK277" s="8"/>
      <c r="AL277" s="8"/>
      <c r="AM277" s="8"/>
      <c r="AU277" s="8"/>
      <c r="AV277" s="8"/>
      <c r="AW277" s="8"/>
    </row>
    <row r="278" spans="1:49" ht="13" customHeight="1">
      <c r="A278" s="8" t="s">
        <v>90</v>
      </c>
      <c r="B278" s="16">
        <v>27</v>
      </c>
      <c r="C278" s="8" t="s">
        <v>20</v>
      </c>
      <c r="D278" s="8" t="s">
        <v>37</v>
      </c>
      <c r="E278" s="8" t="s">
        <v>91</v>
      </c>
      <c r="F278" s="17">
        <v>42281</v>
      </c>
      <c r="G278" s="8" t="s">
        <v>92</v>
      </c>
      <c r="H278" s="8" t="s">
        <v>93</v>
      </c>
      <c r="I278" s="8" t="s">
        <v>94</v>
      </c>
      <c r="J278" s="16" t="s">
        <v>7938</v>
      </c>
      <c r="K278" s="2" t="s">
        <v>95</v>
      </c>
      <c r="L278" s="8" t="s">
        <v>96</v>
      </c>
      <c r="M278" s="8" t="s">
        <v>27</v>
      </c>
      <c r="N278" s="2" t="s">
        <v>20606</v>
      </c>
      <c r="O278" s="8" t="s">
        <v>400</v>
      </c>
      <c r="P278" s="8" t="s">
        <v>401</v>
      </c>
      <c r="Q278" s="12" t="s">
        <v>20607</v>
      </c>
      <c r="R278" s="8" t="s">
        <v>555</v>
      </c>
      <c r="S278" s="8" t="s">
        <v>28</v>
      </c>
      <c r="T278" s="8"/>
      <c r="U278" s="8"/>
      <c r="AN278" s="8"/>
      <c r="AO278" s="8"/>
      <c r="AP278" s="8"/>
      <c r="AQ278" s="8"/>
      <c r="AR278" s="8"/>
      <c r="AS278" s="8"/>
      <c r="AT278" s="8"/>
      <c r="AU278" s="8"/>
      <c r="AV278" s="8"/>
      <c r="AW278" s="8"/>
    </row>
    <row r="279" spans="1:49" ht="13" customHeight="1">
      <c r="A279" s="8" t="s">
        <v>101</v>
      </c>
      <c r="B279" s="16">
        <v>22</v>
      </c>
      <c r="C279" s="8" t="s">
        <v>20</v>
      </c>
      <c r="D279" s="8" t="s">
        <v>85</v>
      </c>
      <c r="E279" s="8" t="s">
        <v>102</v>
      </c>
      <c r="F279" s="17">
        <v>42280</v>
      </c>
      <c r="G279" s="8" t="s">
        <v>103</v>
      </c>
      <c r="H279" s="8" t="s">
        <v>104</v>
      </c>
      <c r="I279" s="8" t="s">
        <v>69</v>
      </c>
      <c r="J279" s="16">
        <v>44112</v>
      </c>
      <c r="K279" s="2" t="s">
        <v>105</v>
      </c>
      <c r="L279" s="8" t="s">
        <v>106</v>
      </c>
      <c r="M279" s="8" t="s">
        <v>379</v>
      </c>
      <c r="O279" s="8" t="s">
        <v>400</v>
      </c>
      <c r="P279" s="8" t="s">
        <v>401</v>
      </c>
      <c r="Q279" s="12" t="s">
        <v>107</v>
      </c>
      <c r="S279" s="8" t="s">
        <v>18</v>
      </c>
      <c r="T279" s="8"/>
      <c r="U279" s="8"/>
      <c r="AI279" s="8"/>
      <c r="AJ279" s="8"/>
      <c r="AK279" s="8"/>
      <c r="AL279" s="8"/>
      <c r="AM279" s="8"/>
      <c r="AU279" s="8"/>
      <c r="AV279" s="8"/>
      <c r="AW279" s="8"/>
    </row>
    <row r="280" spans="1:49" s="8" customFormat="1" ht="13" customHeight="1">
      <c r="A280" s="8" t="s">
        <v>20430</v>
      </c>
      <c r="B280" s="16">
        <v>45</v>
      </c>
      <c r="C280" s="8" t="s">
        <v>20</v>
      </c>
      <c r="D280" s="8" t="s">
        <v>37</v>
      </c>
      <c r="F280" s="17">
        <v>42280</v>
      </c>
      <c r="G280" s="8" t="s">
        <v>97</v>
      </c>
      <c r="H280" s="8" t="s">
        <v>98</v>
      </c>
      <c r="I280" s="8" t="s">
        <v>45</v>
      </c>
      <c r="J280" s="16" t="s">
        <v>20611</v>
      </c>
      <c r="K280" s="2" t="s">
        <v>98</v>
      </c>
      <c r="L280" s="8" t="s">
        <v>99</v>
      </c>
      <c r="M280" s="8" t="s">
        <v>27</v>
      </c>
      <c r="N280" s="2" t="s">
        <v>20612</v>
      </c>
      <c r="O280" s="8" t="s">
        <v>400</v>
      </c>
      <c r="P280" s="8" t="s">
        <v>401</v>
      </c>
      <c r="Q280" s="12" t="s">
        <v>20613</v>
      </c>
      <c r="R280" s="8" t="s">
        <v>29</v>
      </c>
      <c r="S280" s="8" t="s">
        <v>18</v>
      </c>
      <c r="V280" s="2"/>
      <c r="W280" s="2"/>
      <c r="X280" s="2"/>
      <c r="Y280" s="2"/>
      <c r="Z280" s="2"/>
      <c r="AA280" s="2"/>
      <c r="AB280" s="2"/>
      <c r="AC280" s="2"/>
      <c r="AD280" s="2"/>
      <c r="AE280" s="2"/>
      <c r="AF280" s="2"/>
      <c r="AG280" s="2"/>
      <c r="AH280" s="2"/>
      <c r="AI280" s="2"/>
      <c r="AJ280" s="2"/>
      <c r="AK280" s="2"/>
      <c r="AL280" s="2"/>
      <c r="AM280" s="2"/>
    </row>
    <row r="281" spans="1:49" s="8" customFormat="1" ht="13" customHeight="1">
      <c r="A281" s="8" t="s">
        <v>120</v>
      </c>
      <c r="B281" s="16">
        <v>28</v>
      </c>
      <c r="C281" s="8" t="s">
        <v>20</v>
      </c>
      <c r="D281" s="8" t="s">
        <v>48</v>
      </c>
      <c r="E281" s="8" t="s">
        <v>121</v>
      </c>
      <c r="F281" s="17">
        <v>42279</v>
      </c>
      <c r="G281" s="8" t="s">
        <v>20614</v>
      </c>
      <c r="H281" s="8" t="s">
        <v>122</v>
      </c>
      <c r="I281" s="8" t="s">
        <v>123</v>
      </c>
      <c r="J281" s="16" t="s">
        <v>12251</v>
      </c>
      <c r="K281" s="2" t="s">
        <v>124</v>
      </c>
      <c r="M281" s="8" t="s">
        <v>27</v>
      </c>
      <c r="N281" s="2" t="s">
        <v>20615</v>
      </c>
      <c r="O281" s="8" t="s">
        <v>400</v>
      </c>
      <c r="P281" s="8" t="s">
        <v>401</v>
      </c>
      <c r="Q281" s="12" t="s">
        <v>20616</v>
      </c>
      <c r="R281" s="8" t="s">
        <v>100</v>
      </c>
      <c r="S281" s="8" t="s">
        <v>28</v>
      </c>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spans="1:49" s="8" customFormat="1" ht="13" customHeight="1">
      <c r="A282" s="8" t="s">
        <v>21569</v>
      </c>
      <c r="B282" s="16">
        <v>26</v>
      </c>
      <c r="C282" s="8" t="s">
        <v>20</v>
      </c>
      <c r="D282" s="8" t="s">
        <v>48</v>
      </c>
      <c r="F282" s="17">
        <v>42279</v>
      </c>
      <c r="G282" s="8" t="s">
        <v>108</v>
      </c>
      <c r="H282" s="8" t="s">
        <v>109</v>
      </c>
      <c r="I282" s="8" t="s">
        <v>45</v>
      </c>
      <c r="J282" s="16">
        <v>92376</v>
      </c>
      <c r="K282" s="2" t="s">
        <v>110</v>
      </c>
      <c r="L282" s="8" t="s">
        <v>111</v>
      </c>
      <c r="M282" s="8" t="s">
        <v>27</v>
      </c>
      <c r="N282" s="2"/>
      <c r="P282" s="8" t="s">
        <v>401</v>
      </c>
      <c r="Q282" s="12" t="s">
        <v>112</v>
      </c>
      <c r="S282" s="8" t="s">
        <v>28</v>
      </c>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spans="1:49" s="8" customFormat="1" ht="13" customHeight="1">
      <c r="A283" s="8" t="s">
        <v>113</v>
      </c>
      <c r="B283" s="16">
        <v>55</v>
      </c>
      <c r="C283" s="8" t="s">
        <v>114</v>
      </c>
      <c r="D283" s="8" t="s">
        <v>37</v>
      </c>
      <c r="E283" s="8" t="s">
        <v>19228</v>
      </c>
      <c r="F283" s="17">
        <v>42279</v>
      </c>
      <c r="G283" s="8" t="s">
        <v>115</v>
      </c>
      <c r="H283" s="8" t="s">
        <v>116</v>
      </c>
      <c r="I283" s="8" t="s">
        <v>117</v>
      </c>
      <c r="J283" s="16" t="s">
        <v>5189</v>
      </c>
      <c r="K283" s="2" t="s">
        <v>118</v>
      </c>
      <c r="L283" s="8" t="s">
        <v>119</v>
      </c>
      <c r="M283" s="8" t="s">
        <v>27</v>
      </c>
      <c r="N283" s="2" t="s">
        <v>20620</v>
      </c>
      <c r="O283" s="8" t="s">
        <v>400</v>
      </c>
      <c r="P283" s="8" t="s">
        <v>401</v>
      </c>
      <c r="Q283" s="12" t="s">
        <v>20621</v>
      </c>
      <c r="R283" s="8" t="s">
        <v>555</v>
      </c>
      <c r="S283" s="8" t="s">
        <v>28</v>
      </c>
      <c r="V283" s="2"/>
      <c r="W283" s="2"/>
      <c r="X283" s="2"/>
      <c r="Y283" s="2"/>
      <c r="Z283" s="2"/>
      <c r="AA283" s="2"/>
      <c r="AB283" s="2"/>
      <c r="AC283" s="2"/>
      <c r="AD283" s="2"/>
      <c r="AE283" s="2"/>
      <c r="AF283" s="2"/>
      <c r="AG283" s="2"/>
      <c r="AH283" s="2"/>
      <c r="AI283" s="2"/>
      <c r="AJ283" s="2"/>
      <c r="AK283" s="2"/>
      <c r="AL283" s="2"/>
      <c r="AM283" s="2"/>
    </row>
    <row r="284" spans="1:49" s="8" customFormat="1" ht="13" customHeight="1">
      <c r="A284" s="8" t="s">
        <v>125</v>
      </c>
      <c r="B284" s="16">
        <v>29</v>
      </c>
      <c r="C284" s="8" t="s">
        <v>20</v>
      </c>
      <c r="D284" s="8" t="s">
        <v>37</v>
      </c>
      <c r="E284" s="8" t="s">
        <v>19229</v>
      </c>
      <c r="F284" s="17">
        <v>42279</v>
      </c>
      <c r="G284" s="8" t="s">
        <v>126</v>
      </c>
      <c r="H284" s="8" t="s">
        <v>127</v>
      </c>
      <c r="I284" s="8" t="s">
        <v>73</v>
      </c>
      <c r="J284" s="16" t="s">
        <v>20617</v>
      </c>
      <c r="K284" s="2" t="s">
        <v>128</v>
      </c>
      <c r="L284" s="8" t="s">
        <v>129</v>
      </c>
      <c r="M284" s="8" t="s">
        <v>27</v>
      </c>
      <c r="N284" s="2" t="s">
        <v>20618</v>
      </c>
      <c r="O284" s="8" t="s">
        <v>550</v>
      </c>
      <c r="P284" s="8" t="s">
        <v>401</v>
      </c>
      <c r="Q284" s="12" t="s">
        <v>20619</v>
      </c>
      <c r="R284" s="8" t="s">
        <v>100</v>
      </c>
      <c r="S284" s="8" t="s">
        <v>35</v>
      </c>
      <c r="V284" s="2"/>
      <c r="W284" s="2"/>
      <c r="X284" s="2"/>
      <c r="Y284" s="2"/>
      <c r="Z284" s="2"/>
      <c r="AA284" s="2"/>
      <c r="AB284" s="2"/>
      <c r="AC284" s="2"/>
      <c r="AD284" s="2"/>
      <c r="AE284" s="2"/>
      <c r="AF284" s="2"/>
      <c r="AG284" s="2"/>
      <c r="AH284" s="2"/>
      <c r="AI284" s="2"/>
      <c r="AJ284" s="2"/>
      <c r="AK284" s="2"/>
      <c r="AL284" s="2"/>
      <c r="AM284" s="2"/>
    </row>
    <row r="285" spans="1:49" s="8" customFormat="1" ht="13" customHeight="1">
      <c r="A285" s="8" t="s">
        <v>130</v>
      </c>
      <c r="B285" s="16">
        <v>37</v>
      </c>
      <c r="C285" s="8" t="s">
        <v>20</v>
      </c>
      <c r="D285" s="8" t="s">
        <v>37</v>
      </c>
      <c r="E285" s="8" t="s">
        <v>131</v>
      </c>
      <c r="F285" s="17">
        <v>42277</v>
      </c>
      <c r="G285" s="8" t="s">
        <v>20132</v>
      </c>
      <c r="H285" s="8" t="s">
        <v>132</v>
      </c>
      <c r="I285" s="8" t="s">
        <v>133</v>
      </c>
      <c r="J285" s="16" t="s">
        <v>20133</v>
      </c>
      <c r="K285" s="2" t="s">
        <v>134</v>
      </c>
      <c r="L285" s="8" t="s">
        <v>135</v>
      </c>
      <c r="M285" s="8" t="s">
        <v>27</v>
      </c>
      <c r="N285" s="2" t="s">
        <v>20134</v>
      </c>
      <c r="O285" s="8" t="s">
        <v>400</v>
      </c>
      <c r="P285" s="8" t="s">
        <v>401</v>
      </c>
      <c r="Q285" s="12" t="s">
        <v>20135</v>
      </c>
      <c r="R285" s="8" t="s">
        <v>100</v>
      </c>
      <c r="S285" s="8" t="s">
        <v>18</v>
      </c>
      <c r="V285" s="2"/>
      <c r="W285" s="2"/>
      <c r="X285" s="2"/>
      <c r="Y285" s="2"/>
      <c r="Z285" s="2"/>
      <c r="AA285" s="2"/>
      <c r="AB285" s="2"/>
      <c r="AC285" s="2"/>
      <c r="AD285" s="2"/>
      <c r="AE285" s="2"/>
      <c r="AF285" s="2"/>
      <c r="AG285" s="2"/>
      <c r="AH285" s="2"/>
      <c r="AI285" s="2"/>
      <c r="AJ285" s="2"/>
      <c r="AK285" s="2"/>
      <c r="AL285" s="2"/>
      <c r="AM285" s="2"/>
      <c r="AU285" s="13"/>
      <c r="AV285" s="13"/>
      <c r="AW285" s="13"/>
    </row>
    <row r="286" spans="1:49" s="8" customFormat="1" ht="13" customHeight="1">
      <c r="A286" s="8" t="s">
        <v>136</v>
      </c>
      <c r="B286" s="16">
        <v>40</v>
      </c>
      <c r="C286" s="8" t="s">
        <v>20</v>
      </c>
      <c r="D286" s="8" t="s">
        <v>37</v>
      </c>
      <c r="E286" s="8" t="s">
        <v>137</v>
      </c>
      <c r="F286" s="17">
        <v>42277</v>
      </c>
      <c r="G286" s="8" t="s">
        <v>21386</v>
      </c>
      <c r="H286" s="8" t="s">
        <v>21385</v>
      </c>
      <c r="I286" s="8" t="s">
        <v>73</v>
      </c>
      <c r="J286" s="16"/>
      <c r="K286" s="2" t="s">
        <v>21384</v>
      </c>
      <c r="L286" s="8" t="s">
        <v>15795</v>
      </c>
      <c r="M286" s="8" t="s">
        <v>2297</v>
      </c>
      <c r="N286" s="2" t="s">
        <v>21383</v>
      </c>
      <c r="P286" s="8" t="s">
        <v>401</v>
      </c>
      <c r="Q286" s="10" t="str">
        <f>HYPERLINK("http://www.kristv.com/story/30147782/texas-rangers-investigating-aransas-co-death","http://www.kristv.com/story/30147782/texas-rangers-investigating-aransas-co-death")</f>
        <v>http://www.kristv.com/story/30147782/texas-rangers-investigating-aransas-co-death</v>
      </c>
      <c r="S286" s="8" t="s">
        <v>28</v>
      </c>
      <c r="V286" s="2"/>
      <c r="W286" s="2"/>
      <c r="X286" s="2"/>
      <c r="Y286" s="2"/>
      <c r="Z286" s="2"/>
      <c r="AA286" s="2"/>
      <c r="AB286" s="2"/>
      <c r="AC286" s="2"/>
      <c r="AD286" s="2"/>
      <c r="AE286" s="2"/>
      <c r="AF286" s="2"/>
      <c r="AG286" s="2"/>
      <c r="AH286" s="2"/>
      <c r="AI286" s="2"/>
      <c r="AJ286" s="2"/>
      <c r="AK286" s="2"/>
      <c r="AL286" s="2"/>
      <c r="AM286" s="2"/>
    </row>
    <row r="287" spans="1:49" s="8" customFormat="1" ht="13" customHeight="1">
      <c r="A287" s="8" t="s">
        <v>146</v>
      </c>
      <c r="B287" s="16">
        <v>28</v>
      </c>
      <c r="C287" s="8" t="s">
        <v>20</v>
      </c>
      <c r="D287" s="8" t="s">
        <v>85</v>
      </c>
      <c r="E287" s="8" t="s">
        <v>147</v>
      </c>
      <c r="F287" s="17">
        <v>42276</v>
      </c>
      <c r="G287" s="8" t="s">
        <v>148</v>
      </c>
      <c r="H287" s="8" t="s">
        <v>149</v>
      </c>
      <c r="I287" s="8" t="s">
        <v>150</v>
      </c>
      <c r="J287" s="16" t="s">
        <v>20136</v>
      </c>
      <c r="K287" s="2" t="s">
        <v>151</v>
      </c>
      <c r="L287" s="8" t="s">
        <v>152</v>
      </c>
      <c r="M287" s="8" t="s">
        <v>27</v>
      </c>
      <c r="N287" s="2" t="s">
        <v>19301</v>
      </c>
      <c r="O287" s="8" t="s">
        <v>1013</v>
      </c>
      <c r="P287" s="8" t="s">
        <v>401</v>
      </c>
      <c r="Q287" s="12" t="s">
        <v>20137</v>
      </c>
      <c r="R287" s="8" t="s">
        <v>100</v>
      </c>
      <c r="S287" s="8" t="s">
        <v>28</v>
      </c>
      <c r="V287" s="2"/>
      <c r="W287" s="2"/>
      <c r="X287" s="2"/>
      <c r="Y287" s="2"/>
      <c r="Z287" s="2"/>
      <c r="AA287" s="2"/>
      <c r="AB287" s="2"/>
      <c r="AC287" s="2"/>
      <c r="AD287" s="2"/>
      <c r="AE287" s="2"/>
      <c r="AF287" s="2"/>
      <c r="AG287" s="2"/>
      <c r="AH287" s="2"/>
      <c r="AN287" s="2"/>
      <c r="AO287" s="2"/>
      <c r="AP287" s="2"/>
      <c r="AQ287" s="2"/>
      <c r="AR287" s="2"/>
      <c r="AS287" s="2"/>
      <c r="AT287" s="2"/>
    </row>
    <row r="288" spans="1:49" s="8" customFormat="1" ht="13" customHeight="1">
      <c r="A288" s="8" t="s">
        <v>138</v>
      </c>
      <c r="B288" s="16">
        <v>46</v>
      </c>
      <c r="C288" s="8" t="s">
        <v>20</v>
      </c>
      <c r="D288" s="8" t="s">
        <v>139</v>
      </c>
      <c r="E288" s="8" t="s">
        <v>140</v>
      </c>
      <c r="F288" s="17">
        <v>42276</v>
      </c>
      <c r="G288" s="8" t="s">
        <v>141</v>
      </c>
      <c r="H288" s="8" t="s">
        <v>142</v>
      </c>
      <c r="I288" s="8" t="s">
        <v>143</v>
      </c>
      <c r="J288" s="16" t="s">
        <v>5421</v>
      </c>
      <c r="K288" s="2" t="s">
        <v>144</v>
      </c>
      <c r="L288" s="8" t="s">
        <v>145</v>
      </c>
      <c r="M288" s="8" t="s">
        <v>27</v>
      </c>
      <c r="N288" s="2" t="s">
        <v>20138</v>
      </c>
      <c r="O288" s="8" t="s">
        <v>400</v>
      </c>
      <c r="P288" s="8" t="s">
        <v>401</v>
      </c>
      <c r="Q288" s="12" t="s">
        <v>20139</v>
      </c>
      <c r="R288" s="8" t="s">
        <v>100</v>
      </c>
      <c r="S288" s="8" t="s">
        <v>28</v>
      </c>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spans="1:49" s="8" customFormat="1" ht="13" customHeight="1">
      <c r="A289" s="8" t="s">
        <v>158</v>
      </c>
      <c r="B289" s="16">
        <v>31</v>
      </c>
      <c r="C289" s="8" t="s">
        <v>20</v>
      </c>
      <c r="D289" s="8" t="s">
        <v>85</v>
      </c>
      <c r="E289" s="8" t="s">
        <v>159</v>
      </c>
      <c r="F289" s="17">
        <v>42275</v>
      </c>
      <c r="G289" s="8" t="s">
        <v>20143</v>
      </c>
      <c r="H289" s="8" t="s">
        <v>160</v>
      </c>
      <c r="I289" s="8" t="s">
        <v>62</v>
      </c>
      <c r="J289" s="16" t="s">
        <v>20144</v>
      </c>
      <c r="K289" s="2" t="s">
        <v>161</v>
      </c>
      <c r="L289" s="8" t="s">
        <v>162</v>
      </c>
      <c r="M289" s="8" t="s">
        <v>27</v>
      </c>
      <c r="N289" s="2" t="s">
        <v>20145</v>
      </c>
      <c r="O289" s="8" t="s">
        <v>400</v>
      </c>
      <c r="P289" s="8" t="s">
        <v>401</v>
      </c>
      <c r="Q289" s="12" t="s">
        <v>20146</v>
      </c>
      <c r="R289" s="8" t="s">
        <v>100</v>
      </c>
      <c r="S289" s="8" t="s">
        <v>18</v>
      </c>
      <c r="V289" s="2"/>
      <c r="W289" s="2"/>
      <c r="X289" s="2"/>
      <c r="Y289" s="2"/>
      <c r="Z289" s="2"/>
      <c r="AA289" s="2"/>
      <c r="AB289" s="2"/>
      <c r="AC289" s="2"/>
      <c r="AD289" s="2"/>
      <c r="AE289" s="2"/>
      <c r="AF289" s="2"/>
      <c r="AG289" s="2"/>
      <c r="AH289" s="2"/>
      <c r="AN289" s="2"/>
      <c r="AO289" s="2"/>
      <c r="AP289" s="2"/>
      <c r="AQ289" s="2"/>
      <c r="AR289" s="2"/>
      <c r="AS289" s="2"/>
      <c r="AT289" s="2"/>
    </row>
    <row r="290" spans="1:49" ht="13" customHeight="1">
      <c r="A290" s="8" t="s">
        <v>155</v>
      </c>
      <c r="B290" s="16">
        <v>59</v>
      </c>
      <c r="C290" s="8" t="s">
        <v>20</v>
      </c>
      <c r="D290" s="8" t="s">
        <v>48</v>
      </c>
      <c r="F290" s="17">
        <v>42275</v>
      </c>
      <c r="G290" s="8" t="s">
        <v>20140</v>
      </c>
      <c r="H290" s="8" t="s">
        <v>156</v>
      </c>
      <c r="I290" s="8" t="s">
        <v>45</v>
      </c>
      <c r="J290" s="16" t="s">
        <v>13086</v>
      </c>
      <c r="K290" s="2" t="s">
        <v>156</v>
      </c>
      <c r="L290" s="8" t="s">
        <v>157</v>
      </c>
      <c r="M290" s="8" t="s">
        <v>27</v>
      </c>
      <c r="N290" s="2" t="s">
        <v>20141</v>
      </c>
      <c r="O290" s="8" t="s">
        <v>1013</v>
      </c>
      <c r="P290" s="8" t="s">
        <v>401</v>
      </c>
      <c r="Q290" s="12" t="s">
        <v>20142</v>
      </c>
      <c r="R290" s="8" t="s">
        <v>100</v>
      </c>
      <c r="S290" s="8" t="s">
        <v>18</v>
      </c>
      <c r="T290" s="8"/>
      <c r="U290" s="8"/>
      <c r="AU290" s="8"/>
      <c r="AV290" s="8"/>
      <c r="AW290" s="8"/>
    </row>
    <row r="291" spans="1:49" s="8" customFormat="1" ht="13" customHeight="1">
      <c r="A291" s="8" t="s">
        <v>153</v>
      </c>
      <c r="B291" s="16">
        <v>33</v>
      </c>
      <c r="C291" s="8" t="s">
        <v>20</v>
      </c>
      <c r="D291" s="8" t="s">
        <v>48</v>
      </c>
      <c r="E291" s="8" t="s">
        <v>154</v>
      </c>
      <c r="F291" s="17">
        <v>42275</v>
      </c>
      <c r="H291" s="8" t="s">
        <v>608</v>
      </c>
      <c r="I291" s="8" t="s">
        <v>45</v>
      </c>
      <c r="J291" s="16"/>
      <c r="K291" s="2" t="s">
        <v>609</v>
      </c>
      <c r="L291" s="8" t="s">
        <v>21387</v>
      </c>
      <c r="M291" s="8" t="s">
        <v>5665</v>
      </c>
      <c r="N291" s="2"/>
      <c r="P291" s="8" t="s">
        <v>401</v>
      </c>
      <c r="Q291" s="59" t="str">
        <f>HYPERLINK("http://www.mercurynews.com/crime-courts/ci_28894656/san-jose-latest-inmate-jail-death-sparks-internal","http://www.mercurynews.com/crime-courts/ci_28894656/san-jose-latest-inmate-jail-death-sparks-internal")</f>
        <v>http://www.mercurynews.com/crime-courts/ci_28894656/san-jose-latest-inmate-jail-death-sparks-internal</v>
      </c>
      <c r="S291" s="8" t="s">
        <v>28</v>
      </c>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spans="1:49" s="13" customFormat="1" ht="13" customHeight="1">
      <c r="A292" s="8" t="s">
        <v>168</v>
      </c>
      <c r="B292" s="16">
        <v>37</v>
      </c>
      <c r="C292" s="8" t="s">
        <v>114</v>
      </c>
      <c r="D292" s="8" t="s">
        <v>48</v>
      </c>
      <c r="E292" s="8" t="s">
        <v>169</v>
      </c>
      <c r="F292" s="17">
        <v>42274</v>
      </c>
      <c r="G292" s="8" t="s">
        <v>170</v>
      </c>
      <c r="H292" s="8" t="s">
        <v>98</v>
      </c>
      <c r="I292" s="8" t="s">
        <v>45</v>
      </c>
      <c r="J292" s="16" t="s">
        <v>20151</v>
      </c>
      <c r="K292" s="2" t="s">
        <v>98</v>
      </c>
      <c r="L292" s="8" t="s">
        <v>99</v>
      </c>
      <c r="M292" s="8" t="s">
        <v>27</v>
      </c>
      <c r="N292" s="2" t="s">
        <v>20152</v>
      </c>
      <c r="O292" s="8" t="s">
        <v>400</v>
      </c>
      <c r="P292" s="8" t="s">
        <v>401</v>
      </c>
      <c r="Q292" s="12" t="s">
        <v>20153</v>
      </c>
      <c r="R292" s="8" t="s">
        <v>29</v>
      </c>
      <c r="S292" s="8" t="s">
        <v>28</v>
      </c>
      <c r="T292" s="8"/>
      <c r="U292" s="8"/>
      <c r="V292" s="2"/>
      <c r="W292" s="2"/>
      <c r="X292" s="2"/>
      <c r="Y292" s="2"/>
      <c r="Z292" s="2"/>
      <c r="AA292" s="2"/>
      <c r="AB292" s="2"/>
      <c r="AC292" s="2"/>
      <c r="AD292" s="2"/>
      <c r="AE292" s="2"/>
      <c r="AF292" s="2"/>
      <c r="AG292" s="2"/>
      <c r="AH292" s="2"/>
      <c r="AI292" s="8"/>
      <c r="AJ292" s="8"/>
      <c r="AK292" s="8"/>
      <c r="AL292" s="8"/>
      <c r="AM292" s="8"/>
      <c r="AN292" s="2"/>
      <c r="AO292" s="2"/>
      <c r="AP292" s="2"/>
      <c r="AQ292" s="2"/>
      <c r="AR292" s="2"/>
      <c r="AS292" s="2"/>
      <c r="AT292" s="2"/>
      <c r="AU292" s="8"/>
      <c r="AV292" s="8"/>
      <c r="AW292" s="8"/>
    </row>
    <row r="293" spans="1:49" s="8" customFormat="1" ht="13" customHeight="1">
      <c r="A293" s="8" t="s">
        <v>163</v>
      </c>
      <c r="B293" s="16">
        <v>40</v>
      </c>
      <c r="C293" s="8" t="s">
        <v>20</v>
      </c>
      <c r="D293" s="8" t="s">
        <v>48</v>
      </c>
      <c r="E293" s="8" t="s">
        <v>164</v>
      </c>
      <c r="F293" s="17">
        <v>42274</v>
      </c>
      <c r="G293" s="8" t="s">
        <v>20154</v>
      </c>
      <c r="H293" s="8" t="s">
        <v>165</v>
      </c>
      <c r="I293" s="8" t="s">
        <v>73</v>
      </c>
      <c r="J293" s="16" t="s">
        <v>20155</v>
      </c>
      <c r="K293" s="2" t="s">
        <v>166</v>
      </c>
      <c r="L293" s="8" t="s">
        <v>167</v>
      </c>
      <c r="M293" s="8" t="s">
        <v>27</v>
      </c>
      <c r="N293" s="2" t="s">
        <v>20156</v>
      </c>
      <c r="O293" s="8" t="s">
        <v>400</v>
      </c>
      <c r="P293" s="8" t="s">
        <v>401</v>
      </c>
      <c r="Q293" s="12" t="s">
        <v>20157</v>
      </c>
      <c r="R293" s="8" t="s">
        <v>100</v>
      </c>
      <c r="S293" s="8" t="s">
        <v>28</v>
      </c>
      <c r="V293" s="2"/>
      <c r="W293" s="2"/>
      <c r="X293" s="2"/>
      <c r="Y293" s="2"/>
      <c r="Z293" s="2"/>
      <c r="AA293" s="2"/>
      <c r="AB293" s="2"/>
      <c r="AC293" s="2"/>
      <c r="AD293" s="2"/>
      <c r="AE293" s="2"/>
      <c r="AF293" s="2"/>
      <c r="AG293" s="2"/>
      <c r="AH293" s="2"/>
      <c r="AN293" s="2"/>
      <c r="AO293" s="2"/>
      <c r="AP293" s="2"/>
      <c r="AQ293" s="2"/>
      <c r="AR293" s="2"/>
      <c r="AS293" s="2"/>
      <c r="AT293" s="2"/>
    </row>
    <row r="294" spans="1:49" s="8" customFormat="1" ht="13" customHeight="1">
      <c r="A294" s="8" t="s">
        <v>171</v>
      </c>
      <c r="B294" s="16">
        <v>43</v>
      </c>
      <c r="C294" s="8" t="s">
        <v>20</v>
      </c>
      <c r="D294" s="8" t="s">
        <v>37</v>
      </c>
      <c r="E294" s="8" t="s">
        <v>21204</v>
      </c>
      <c r="F294" s="17">
        <v>42274</v>
      </c>
      <c r="G294" s="8" t="s">
        <v>20147</v>
      </c>
      <c r="H294" s="8" t="s">
        <v>172</v>
      </c>
      <c r="I294" s="8" t="s">
        <v>173</v>
      </c>
      <c r="J294" s="16" t="s">
        <v>20148</v>
      </c>
      <c r="K294" s="2" t="s">
        <v>174</v>
      </c>
      <c r="L294" s="8" t="s">
        <v>175</v>
      </c>
      <c r="M294" s="8" t="s">
        <v>27</v>
      </c>
      <c r="N294" s="2" t="s">
        <v>20149</v>
      </c>
      <c r="O294" s="8" t="s">
        <v>400</v>
      </c>
      <c r="P294" s="8" t="s">
        <v>401</v>
      </c>
      <c r="Q294" s="12" t="s">
        <v>20150</v>
      </c>
      <c r="R294" s="8" t="s">
        <v>100</v>
      </c>
      <c r="S294" s="8" t="s">
        <v>28</v>
      </c>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spans="1:49" s="8" customFormat="1" ht="13" customHeight="1">
      <c r="A295" s="8" t="s">
        <v>187</v>
      </c>
      <c r="B295" s="16">
        <v>46</v>
      </c>
      <c r="C295" s="8" t="s">
        <v>20</v>
      </c>
      <c r="D295" s="8" t="s">
        <v>85</v>
      </c>
      <c r="E295" s="8" t="s">
        <v>188</v>
      </c>
      <c r="F295" s="17">
        <v>42273</v>
      </c>
      <c r="G295" s="8" t="s">
        <v>20160</v>
      </c>
      <c r="H295" s="8" t="s">
        <v>189</v>
      </c>
      <c r="I295" s="8" t="s">
        <v>25</v>
      </c>
      <c r="J295" s="16" t="s">
        <v>20161</v>
      </c>
      <c r="K295" s="2" t="s">
        <v>3765</v>
      </c>
      <c r="L295" s="8" t="s">
        <v>190</v>
      </c>
      <c r="M295" s="8" t="s">
        <v>27</v>
      </c>
      <c r="N295" s="2" t="s">
        <v>20162</v>
      </c>
      <c r="O295" s="8" t="s">
        <v>400</v>
      </c>
      <c r="P295" s="8" t="s">
        <v>401</v>
      </c>
      <c r="Q295" s="12" t="s">
        <v>20163</v>
      </c>
      <c r="R295" s="8" t="s">
        <v>100</v>
      </c>
      <c r="S295" s="8" t="s">
        <v>28</v>
      </c>
      <c r="V295" s="2"/>
      <c r="W295" s="2"/>
      <c r="X295" s="2"/>
      <c r="Y295" s="2"/>
      <c r="Z295" s="2"/>
      <c r="AA295" s="2"/>
      <c r="AB295" s="2"/>
      <c r="AC295" s="2"/>
      <c r="AD295" s="2"/>
      <c r="AE295" s="2"/>
      <c r="AF295" s="2"/>
      <c r="AG295" s="2"/>
      <c r="AH295" s="2"/>
      <c r="AN295" s="2"/>
      <c r="AO295" s="2"/>
      <c r="AP295" s="2"/>
      <c r="AQ295" s="2"/>
      <c r="AR295" s="2"/>
      <c r="AS295" s="2"/>
      <c r="AT295" s="2"/>
    </row>
    <row r="296" spans="1:49" s="8" customFormat="1" ht="13" customHeight="1">
      <c r="A296" s="8" t="s">
        <v>191</v>
      </c>
      <c r="B296" s="16">
        <v>23</v>
      </c>
      <c r="C296" s="8" t="s">
        <v>20</v>
      </c>
      <c r="D296" s="8" t="s">
        <v>48</v>
      </c>
      <c r="E296" s="8" t="s">
        <v>192</v>
      </c>
      <c r="F296" s="17">
        <v>42273</v>
      </c>
      <c r="G296" s="8" t="s">
        <v>193</v>
      </c>
      <c r="H296" s="8" t="s">
        <v>194</v>
      </c>
      <c r="I296" s="8" t="s">
        <v>195</v>
      </c>
      <c r="J296" s="16" t="s">
        <v>13449</v>
      </c>
      <c r="K296" s="2" t="s">
        <v>789</v>
      </c>
      <c r="L296" s="8" t="s">
        <v>196</v>
      </c>
      <c r="M296" s="8" t="s">
        <v>27</v>
      </c>
      <c r="N296" s="2" t="s">
        <v>20158</v>
      </c>
      <c r="O296" s="8" t="s">
        <v>400</v>
      </c>
      <c r="P296" s="8" t="s">
        <v>401</v>
      </c>
      <c r="Q296" s="12" t="s">
        <v>20159</v>
      </c>
      <c r="R296" s="8" t="s">
        <v>100</v>
      </c>
      <c r="S296" s="8" t="s">
        <v>28</v>
      </c>
      <c r="V296" s="2"/>
      <c r="W296" s="2"/>
      <c r="X296" s="2"/>
      <c r="Y296" s="2"/>
      <c r="Z296" s="2"/>
      <c r="AA296" s="2"/>
      <c r="AB296" s="2"/>
      <c r="AC296" s="2"/>
      <c r="AD296" s="2"/>
      <c r="AE296" s="2"/>
      <c r="AF296" s="2"/>
      <c r="AG296" s="2"/>
      <c r="AH296" s="2"/>
      <c r="AN296" s="2"/>
      <c r="AO296" s="2"/>
      <c r="AP296" s="2"/>
      <c r="AQ296" s="2"/>
      <c r="AR296" s="2"/>
      <c r="AS296" s="2"/>
      <c r="AT296" s="2"/>
    </row>
    <row r="297" spans="1:49" s="8" customFormat="1" ht="13" customHeight="1">
      <c r="A297" s="8" t="s">
        <v>183</v>
      </c>
      <c r="B297" s="16">
        <v>16</v>
      </c>
      <c r="C297" s="8" t="s">
        <v>114</v>
      </c>
      <c r="D297" s="8" t="s">
        <v>37</v>
      </c>
      <c r="E297" s="8" t="s">
        <v>184</v>
      </c>
      <c r="F297" s="17">
        <v>42273</v>
      </c>
      <c r="G297" s="8" t="s">
        <v>20164</v>
      </c>
      <c r="H297" s="8" t="s">
        <v>2084</v>
      </c>
      <c r="I297" s="8" t="s">
        <v>173</v>
      </c>
      <c r="J297" s="16" t="s">
        <v>2085</v>
      </c>
      <c r="K297" s="2" t="s">
        <v>2086</v>
      </c>
      <c r="L297" s="8" t="s">
        <v>20165</v>
      </c>
      <c r="M297" s="8" t="s">
        <v>379</v>
      </c>
      <c r="N297" s="2" t="s">
        <v>20166</v>
      </c>
      <c r="O297" s="8" t="s">
        <v>400</v>
      </c>
      <c r="P297" s="8" t="s">
        <v>401</v>
      </c>
      <c r="Q297" s="12" t="s">
        <v>20167</v>
      </c>
      <c r="R297" s="8" t="s">
        <v>100</v>
      </c>
      <c r="S297" s="8" t="s">
        <v>18</v>
      </c>
      <c r="V297" s="2"/>
      <c r="W297" s="2"/>
      <c r="X297" s="2"/>
      <c r="Y297" s="2"/>
      <c r="Z297" s="2"/>
      <c r="AA297" s="2"/>
      <c r="AB297" s="2"/>
      <c r="AC297" s="2"/>
      <c r="AD297" s="2"/>
      <c r="AE297" s="2"/>
      <c r="AF297" s="2"/>
      <c r="AG297" s="2"/>
      <c r="AH297" s="2"/>
      <c r="AI297" s="2"/>
      <c r="AJ297" s="2"/>
      <c r="AK297" s="2"/>
      <c r="AL297" s="2"/>
      <c r="AM297" s="2"/>
      <c r="AU297" s="2"/>
      <c r="AV297" s="2"/>
      <c r="AW297" s="2"/>
    </row>
    <row r="298" spans="1:49" s="8" customFormat="1" ht="13" customHeight="1">
      <c r="A298" s="8" t="s">
        <v>181</v>
      </c>
      <c r="B298" s="16">
        <v>17</v>
      </c>
      <c r="C298" s="8" t="s">
        <v>114</v>
      </c>
      <c r="D298" s="8" t="s">
        <v>37</v>
      </c>
      <c r="E298" s="8" t="s">
        <v>182</v>
      </c>
      <c r="F298" s="17">
        <v>42273</v>
      </c>
      <c r="G298" s="8" t="s">
        <v>20164</v>
      </c>
      <c r="H298" s="8" t="s">
        <v>2084</v>
      </c>
      <c r="I298" s="8" t="s">
        <v>173</v>
      </c>
      <c r="J298" s="16" t="s">
        <v>2085</v>
      </c>
      <c r="K298" s="2" t="s">
        <v>2086</v>
      </c>
      <c r="L298" s="8" t="s">
        <v>20165</v>
      </c>
      <c r="M298" s="8" t="s">
        <v>379</v>
      </c>
      <c r="N298" s="2" t="s">
        <v>20168</v>
      </c>
      <c r="O298" s="8" t="s">
        <v>400</v>
      </c>
      <c r="P298" s="8" t="s">
        <v>401</v>
      </c>
      <c r="Q298" s="12" t="s">
        <v>20167</v>
      </c>
      <c r="R298" s="8" t="s">
        <v>100</v>
      </c>
      <c r="S298" s="8" t="s">
        <v>18</v>
      </c>
      <c r="V298" s="2"/>
      <c r="W298" s="2"/>
      <c r="X298" s="2"/>
      <c r="Y298" s="2"/>
      <c r="Z298" s="2"/>
      <c r="AA298" s="2"/>
      <c r="AB298" s="2"/>
      <c r="AC298" s="2"/>
      <c r="AD298" s="2"/>
      <c r="AE298" s="2"/>
      <c r="AF298" s="2"/>
      <c r="AG298" s="2"/>
      <c r="AH298" s="2"/>
      <c r="AI298" s="2"/>
      <c r="AJ298" s="2"/>
      <c r="AK298" s="2"/>
      <c r="AL298" s="2"/>
      <c r="AM298" s="2"/>
      <c r="AU298" s="2"/>
      <c r="AV298" s="2"/>
      <c r="AW298" s="2"/>
    </row>
    <row r="299" spans="1:49" s="8" customFormat="1" ht="13" customHeight="1">
      <c r="A299" s="8" t="s">
        <v>185</v>
      </c>
      <c r="B299" s="16">
        <v>33</v>
      </c>
      <c r="C299" s="8" t="s">
        <v>20</v>
      </c>
      <c r="D299" s="8" t="s">
        <v>85</v>
      </c>
      <c r="F299" s="17">
        <v>42272</v>
      </c>
      <c r="G299" s="8" t="s">
        <v>186</v>
      </c>
      <c r="H299" s="8" t="s">
        <v>87</v>
      </c>
      <c r="I299" s="8" t="s">
        <v>44</v>
      </c>
      <c r="J299" s="16" t="s">
        <v>20169</v>
      </c>
      <c r="K299" s="2" t="s">
        <v>88</v>
      </c>
      <c r="L299" s="8" t="s">
        <v>89</v>
      </c>
      <c r="M299" s="8" t="s">
        <v>27</v>
      </c>
      <c r="N299" s="2" t="s">
        <v>20170</v>
      </c>
      <c r="O299" s="8" t="s">
        <v>400</v>
      </c>
      <c r="P299" s="8" t="s">
        <v>401</v>
      </c>
      <c r="Q299" s="12" t="s">
        <v>20171</v>
      </c>
      <c r="R299" s="8" t="s">
        <v>100</v>
      </c>
      <c r="S299" s="8" t="s">
        <v>28</v>
      </c>
      <c r="V299" s="2"/>
      <c r="W299" s="2"/>
      <c r="X299" s="2"/>
      <c r="Y299" s="2"/>
      <c r="Z299" s="2"/>
      <c r="AA299" s="2"/>
      <c r="AB299" s="2"/>
      <c r="AC299" s="2"/>
      <c r="AD299" s="2"/>
      <c r="AE299" s="2"/>
      <c r="AF299" s="2"/>
      <c r="AG299" s="2"/>
      <c r="AH299" s="2"/>
      <c r="AN299" s="2"/>
      <c r="AO299" s="2"/>
      <c r="AP299" s="2"/>
      <c r="AQ299" s="2"/>
      <c r="AR299" s="2"/>
      <c r="AS299" s="2"/>
      <c r="AT299" s="2"/>
      <c r="AU299" s="2"/>
      <c r="AV299" s="2"/>
      <c r="AW299" s="2"/>
    </row>
    <row r="300" spans="1:49" s="8" customFormat="1" ht="13" customHeight="1">
      <c r="A300" s="8" t="s">
        <v>197</v>
      </c>
      <c r="B300" s="16">
        <v>40</v>
      </c>
      <c r="C300" s="8" t="s">
        <v>20</v>
      </c>
      <c r="D300" s="8" t="s">
        <v>48</v>
      </c>
      <c r="E300" s="8" t="s">
        <v>198</v>
      </c>
      <c r="F300" s="17">
        <v>42272</v>
      </c>
      <c r="G300" s="8" t="s">
        <v>199</v>
      </c>
      <c r="H300" s="8" t="s">
        <v>200</v>
      </c>
      <c r="I300" s="8" t="s">
        <v>45</v>
      </c>
      <c r="J300" s="16" t="s">
        <v>15678</v>
      </c>
      <c r="K300" s="8" t="s">
        <v>200</v>
      </c>
      <c r="L300" s="8" t="s">
        <v>201</v>
      </c>
      <c r="M300" s="8" t="s">
        <v>27</v>
      </c>
      <c r="N300" s="2" t="s">
        <v>20626</v>
      </c>
      <c r="O300" s="8" t="s">
        <v>400</v>
      </c>
      <c r="P300" s="8" t="s">
        <v>401</v>
      </c>
      <c r="Q300" s="10" t="str">
        <f>HYPERLINK("http://www.fresnobee.com/news/local/crime/article37140321.html","http://www.fresnobee.com/news/local/crime/article37140321.html")</f>
        <v>http://www.fresnobee.com/news/local/crime/article37140321.html</v>
      </c>
      <c r="R300" s="8" t="s">
        <v>100</v>
      </c>
      <c r="S300" s="8" t="s">
        <v>18</v>
      </c>
      <c r="V300" s="2"/>
      <c r="W300" s="2"/>
      <c r="X300" s="2"/>
      <c r="Y300" s="2"/>
      <c r="Z300" s="2"/>
      <c r="AA300" s="2"/>
      <c r="AB300" s="2"/>
      <c r="AC300" s="2"/>
      <c r="AD300" s="2"/>
      <c r="AE300" s="2"/>
      <c r="AF300" s="2"/>
      <c r="AG300" s="2"/>
      <c r="AH300" s="2"/>
      <c r="AN300" s="2"/>
      <c r="AO300" s="2"/>
      <c r="AP300" s="2"/>
      <c r="AQ300" s="2"/>
      <c r="AR300" s="2"/>
      <c r="AS300" s="2"/>
      <c r="AT300" s="2"/>
      <c r="AU300" s="2"/>
      <c r="AV300" s="2"/>
      <c r="AW300" s="2"/>
    </row>
    <row r="301" spans="1:49" s="8" customFormat="1" ht="13" customHeight="1">
      <c r="A301" s="8" t="s">
        <v>176</v>
      </c>
      <c r="B301" s="16">
        <v>45</v>
      </c>
      <c r="C301" s="8" t="s">
        <v>20</v>
      </c>
      <c r="D301" s="8" t="s">
        <v>37</v>
      </c>
      <c r="E301" s="8" t="s">
        <v>177</v>
      </c>
      <c r="F301" s="17">
        <v>42272</v>
      </c>
      <c r="G301" s="8" t="s">
        <v>20172</v>
      </c>
      <c r="H301" s="8" t="s">
        <v>178</v>
      </c>
      <c r="I301" s="8" t="s">
        <v>123</v>
      </c>
      <c r="J301" s="16" t="s">
        <v>20173</v>
      </c>
      <c r="K301" s="2" t="s">
        <v>179</v>
      </c>
      <c r="L301" s="8" t="s">
        <v>180</v>
      </c>
      <c r="M301" s="8" t="s">
        <v>27</v>
      </c>
      <c r="N301" s="2" t="s">
        <v>20174</v>
      </c>
      <c r="O301" s="8" t="s">
        <v>400</v>
      </c>
      <c r="P301" s="8" t="s">
        <v>401</v>
      </c>
      <c r="Q301" s="12" t="s">
        <v>20175</v>
      </c>
      <c r="R301" s="8" t="s">
        <v>100</v>
      </c>
      <c r="S301" s="8" t="s">
        <v>28</v>
      </c>
      <c r="V301" s="2"/>
      <c r="W301" s="2"/>
      <c r="X301" s="2"/>
      <c r="Y301" s="2"/>
      <c r="Z301" s="2"/>
      <c r="AA301" s="2"/>
      <c r="AB301" s="2"/>
      <c r="AC301" s="2"/>
      <c r="AD301" s="2"/>
      <c r="AE301" s="2"/>
      <c r="AF301" s="2"/>
      <c r="AG301" s="2"/>
      <c r="AH301" s="2"/>
      <c r="AI301" s="2"/>
      <c r="AJ301" s="2"/>
      <c r="AK301" s="2"/>
      <c r="AL301" s="2"/>
      <c r="AM301" s="2"/>
      <c r="AU301" s="2"/>
      <c r="AV301" s="2"/>
      <c r="AW301" s="2"/>
    </row>
    <row r="302" spans="1:49" s="8" customFormat="1" ht="13" customHeight="1">
      <c r="A302" s="8" t="s">
        <v>202</v>
      </c>
      <c r="B302" s="16">
        <v>21</v>
      </c>
      <c r="C302" s="8" t="s">
        <v>20</v>
      </c>
      <c r="D302" s="8" t="s">
        <v>37</v>
      </c>
      <c r="E302" s="8" t="s">
        <v>203</v>
      </c>
      <c r="F302" s="17">
        <v>42272</v>
      </c>
      <c r="G302" s="8" t="s">
        <v>20176</v>
      </c>
      <c r="H302" s="8" t="s">
        <v>204</v>
      </c>
      <c r="I302" s="8" t="s">
        <v>69</v>
      </c>
      <c r="J302" s="16" t="s">
        <v>20177</v>
      </c>
      <c r="K302" s="2" t="s">
        <v>3485</v>
      </c>
      <c r="L302" s="8" t="s">
        <v>205</v>
      </c>
      <c r="M302" s="8" t="s">
        <v>27</v>
      </c>
      <c r="N302" s="2" t="s">
        <v>20178</v>
      </c>
      <c r="O302" s="8" t="s">
        <v>400</v>
      </c>
      <c r="P302" s="8" t="s">
        <v>401</v>
      </c>
      <c r="Q302" s="12" t="s">
        <v>20179</v>
      </c>
      <c r="R302" s="8" t="s">
        <v>100</v>
      </c>
      <c r="S302" s="8" t="s">
        <v>18</v>
      </c>
      <c r="V302" s="2"/>
      <c r="W302" s="2"/>
      <c r="X302" s="2"/>
      <c r="Y302" s="2"/>
      <c r="Z302" s="2"/>
      <c r="AA302" s="2"/>
      <c r="AB302" s="2"/>
      <c r="AC302" s="2"/>
      <c r="AD302" s="2"/>
      <c r="AE302" s="2"/>
      <c r="AF302" s="2"/>
      <c r="AG302" s="2"/>
      <c r="AH302" s="2"/>
      <c r="AI302" s="2"/>
      <c r="AJ302" s="2"/>
      <c r="AK302" s="2"/>
      <c r="AL302" s="2"/>
      <c r="AM302" s="2"/>
      <c r="AU302" s="2"/>
      <c r="AV302" s="2"/>
      <c r="AW302" s="2"/>
    </row>
    <row r="303" spans="1:49" ht="13" customHeight="1">
      <c r="A303" s="8" t="s">
        <v>211</v>
      </c>
      <c r="B303" s="16">
        <v>42</v>
      </c>
      <c r="C303" s="8" t="s">
        <v>20</v>
      </c>
      <c r="D303" s="8" t="s">
        <v>85</v>
      </c>
      <c r="E303" s="8" t="s">
        <v>212</v>
      </c>
      <c r="F303" s="17">
        <v>42271</v>
      </c>
      <c r="G303" s="8" t="s">
        <v>20180</v>
      </c>
      <c r="H303" s="8" t="s">
        <v>213</v>
      </c>
      <c r="I303" s="8" t="s">
        <v>62</v>
      </c>
      <c r="J303" s="16" t="s">
        <v>20181</v>
      </c>
      <c r="K303" s="2" t="s">
        <v>161</v>
      </c>
      <c r="L303" s="8" t="s">
        <v>162</v>
      </c>
      <c r="M303" s="8" t="s">
        <v>27</v>
      </c>
      <c r="N303" s="2" t="s">
        <v>20182</v>
      </c>
      <c r="O303" s="8" t="s">
        <v>400</v>
      </c>
      <c r="P303" s="8" t="s">
        <v>401</v>
      </c>
      <c r="Q303" s="12" t="s">
        <v>20183</v>
      </c>
      <c r="R303" s="8" t="s">
        <v>555</v>
      </c>
      <c r="S303" s="8" t="s">
        <v>28</v>
      </c>
      <c r="T303" s="8"/>
      <c r="U303" s="8"/>
      <c r="AI303" s="8"/>
      <c r="AJ303" s="8"/>
      <c r="AK303" s="8"/>
      <c r="AL303" s="8"/>
      <c r="AM303" s="8"/>
    </row>
    <row r="304" spans="1:49" ht="13" customHeight="1">
      <c r="A304" s="8" t="s">
        <v>219</v>
      </c>
      <c r="B304" s="16">
        <v>30</v>
      </c>
      <c r="C304" s="8" t="s">
        <v>20</v>
      </c>
      <c r="D304" s="8" t="s">
        <v>139</v>
      </c>
      <c r="E304" s="8" t="s">
        <v>220</v>
      </c>
      <c r="F304" s="17">
        <v>42271</v>
      </c>
      <c r="G304" s="8" t="s">
        <v>20187</v>
      </c>
      <c r="H304" s="8" t="s">
        <v>221</v>
      </c>
      <c r="I304" s="8" t="s">
        <v>133</v>
      </c>
      <c r="J304" s="16" t="s">
        <v>20188</v>
      </c>
      <c r="K304" s="2" t="s">
        <v>3615</v>
      </c>
      <c r="L304" s="8" t="s">
        <v>4947</v>
      </c>
      <c r="M304" s="8" t="s">
        <v>27</v>
      </c>
      <c r="N304" s="2" t="s">
        <v>20189</v>
      </c>
      <c r="O304" s="8" t="s">
        <v>400</v>
      </c>
      <c r="P304" s="8" t="s">
        <v>401</v>
      </c>
      <c r="Q304" s="12" t="s">
        <v>20190</v>
      </c>
      <c r="R304" s="8" t="s">
        <v>555</v>
      </c>
      <c r="S304" s="8" t="s">
        <v>28</v>
      </c>
      <c r="T304" s="8"/>
      <c r="U304" s="8"/>
    </row>
    <row r="305" spans="1:46" ht="13" customHeight="1">
      <c r="A305" s="8" t="s">
        <v>206</v>
      </c>
      <c r="B305" s="16">
        <v>17</v>
      </c>
      <c r="C305" s="8" t="s">
        <v>20</v>
      </c>
      <c r="D305" s="8" t="s">
        <v>37</v>
      </c>
      <c r="E305" s="8" t="s">
        <v>207</v>
      </c>
      <c r="F305" s="17">
        <v>42271</v>
      </c>
      <c r="G305" s="8" t="s">
        <v>20184</v>
      </c>
      <c r="H305" s="8" t="s">
        <v>208</v>
      </c>
      <c r="I305" s="8" t="s">
        <v>209</v>
      </c>
      <c r="J305" s="16" t="s">
        <v>13203</v>
      </c>
      <c r="K305" s="2" t="s">
        <v>860</v>
      </c>
      <c r="L305" s="8" t="s">
        <v>210</v>
      </c>
      <c r="M305" s="8" t="s">
        <v>27</v>
      </c>
      <c r="N305" s="2" t="s">
        <v>20185</v>
      </c>
      <c r="O305" s="8" t="s">
        <v>400</v>
      </c>
      <c r="P305" s="8" t="s">
        <v>401</v>
      </c>
      <c r="Q305" s="12" t="s">
        <v>20186</v>
      </c>
      <c r="R305" s="8" t="s">
        <v>100</v>
      </c>
      <c r="S305" s="8" t="s">
        <v>28</v>
      </c>
      <c r="T305" s="8"/>
      <c r="U305" s="8"/>
      <c r="AN305" s="8"/>
      <c r="AO305" s="8"/>
      <c r="AP305" s="8"/>
      <c r="AQ305" s="8"/>
      <c r="AR305" s="8"/>
      <c r="AS305" s="8"/>
      <c r="AT305" s="8"/>
    </row>
    <row r="306" spans="1:46" ht="13" customHeight="1">
      <c r="A306" s="8" t="s">
        <v>214</v>
      </c>
      <c r="B306" s="16">
        <v>53</v>
      </c>
      <c r="C306" s="8" t="s">
        <v>20</v>
      </c>
      <c r="D306" s="8" t="s">
        <v>37</v>
      </c>
      <c r="F306" s="17">
        <v>42271</v>
      </c>
      <c r="G306" s="8" t="s">
        <v>215</v>
      </c>
      <c r="H306" s="8" t="s">
        <v>216</v>
      </c>
      <c r="I306" s="8" t="s">
        <v>217</v>
      </c>
      <c r="J306" s="16" t="s">
        <v>20191</v>
      </c>
      <c r="K306" s="2" t="s">
        <v>420</v>
      </c>
      <c r="L306" s="8" t="s">
        <v>218</v>
      </c>
      <c r="M306" s="8" t="s">
        <v>379</v>
      </c>
      <c r="N306" s="2" t="s">
        <v>20192</v>
      </c>
      <c r="O306" s="8" t="s">
        <v>400</v>
      </c>
      <c r="P306" s="8" t="s">
        <v>401</v>
      </c>
      <c r="Q306" s="12" t="s">
        <v>20193</v>
      </c>
      <c r="R306" s="8" t="s">
        <v>100</v>
      </c>
      <c r="S306" s="8" t="s">
        <v>18</v>
      </c>
      <c r="T306" s="8"/>
      <c r="U306" s="8"/>
    </row>
    <row r="307" spans="1:46" ht="13" customHeight="1">
      <c r="A307" s="8" t="s">
        <v>222</v>
      </c>
      <c r="B307" s="16">
        <v>28</v>
      </c>
      <c r="C307" s="8" t="s">
        <v>20</v>
      </c>
      <c r="D307" s="8" t="s">
        <v>85</v>
      </c>
      <c r="E307" s="8" t="s">
        <v>223</v>
      </c>
      <c r="F307" s="17">
        <v>42270</v>
      </c>
      <c r="G307" s="8" t="s">
        <v>20194</v>
      </c>
      <c r="H307" s="8" t="s">
        <v>224</v>
      </c>
      <c r="I307" s="8" t="s">
        <v>225</v>
      </c>
      <c r="J307" s="16" t="s">
        <v>20195</v>
      </c>
      <c r="K307" s="2" t="s">
        <v>3834</v>
      </c>
      <c r="L307" s="8" t="s">
        <v>226</v>
      </c>
      <c r="M307" s="8" t="s">
        <v>27</v>
      </c>
      <c r="N307" s="2" t="s">
        <v>20196</v>
      </c>
      <c r="O307" s="8" t="s">
        <v>400</v>
      </c>
      <c r="P307" s="8" t="s">
        <v>401</v>
      </c>
      <c r="Q307" s="12" t="s">
        <v>20197</v>
      </c>
      <c r="R307" s="8" t="s">
        <v>100</v>
      </c>
      <c r="S307" s="8" t="s">
        <v>28</v>
      </c>
      <c r="T307" s="8"/>
      <c r="U307" s="8"/>
      <c r="AI307" s="8"/>
      <c r="AJ307" s="8"/>
      <c r="AK307" s="8"/>
      <c r="AL307" s="8"/>
      <c r="AM307" s="8"/>
    </row>
    <row r="308" spans="1:46" ht="13" customHeight="1">
      <c r="A308" s="8" t="s">
        <v>237</v>
      </c>
      <c r="B308" s="16">
        <v>48</v>
      </c>
      <c r="C308" s="8" t="s">
        <v>20</v>
      </c>
      <c r="D308" s="8" t="s">
        <v>85</v>
      </c>
      <c r="E308" s="8" t="s">
        <v>238</v>
      </c>
      <c r="F308" s="17">
        <v>42270</v>
      </c>
      <c r="G308" s="8" t="s">
        <v>20210</v>
      </c>
      <c r="H308" s="8" t="s">
        <v>239</v>
      </c>
      <c r="I308" s="8" t="s">
        <v>240</v>
      </c>
      <c r="J308" s="16" t="s">
        <v>10362</v>
      </c>
      <c r="K308" s="2" t="s">
        <v>613</v>
      </c>
      <c r="L308" s="8" t="s">
        <v>241</v>
      </c>
      <c r="M308" s="8" t="s">
        <v>27</v>
      </c>
      <c r="N308" s="2" t="s">
        <v>20211</v>
      </c>
      <c r="O308" s="8" t="s">
        <v>400</v>
      </c>
      <c r="P308" s="8" t="s">
        <v>401</v>
      </c>
      <c r="Q308" s="12" t="s">
        <v>20212</v>
      </c>
      <c r="R308" s="8" t="s">
        <v>100</v>
      </c>
      <c r="S308" s="8" t="s">
        <v>28</v>
      </c>
      <c r="T308" s="8"/>
      <c r="U308" s="8"/>
      <c r="AI308" s="8"/>
      <c r="AJ308" s="8"/>
      <c r="AK308" s="8"/>
      <c r="AL308" s="8"/>
      <c r="AM308" s="8"/>
    </row>
    <row r="309" spans="1:46" ht="13" customHeight="1">
      <c r="A309" s="8" t="s">
        <v>227</v>
      </c>
      <c r="B309" s="16">
        <v>19</v>
      </c>
      <c r="C309" s="8" t="s">
        <v>20</v>
      </c>
      <c r="D309" s="8" t="s">
        <v>85</v>
      </c>
      <c r="E309" s="8" t="s">
        <v>228</v>
      </c>
      <c r="F309" s="17">
        <v>42270</v>
      </c>
      <c r="G309" s="8" t="s">
        <v>229</v>
      </c>
      <c r="H309" s="8" t="s">
        <v>230</v>
      </c>
      <c r="I309" s="8" t="s">
        <v>52</v>
      </c>
      <c r="J309" s="16" t="s">
        <v>20202</v>
      </c>
      <c r="K309" s="2" t="s">
        <v>1596</v>
      </c>
      <c r="L309" s="8" t="s">
        <v>231</v>
      </c>
      <c r="M309" s="8" t="s">
        <v>27</v>
      </c>
      <c r="N309" s="2" t="s">
        <v>20203</v>
      </c>
      <c r="O309" s="8" t="s">
        <v>400</v>
      </c>
      <c r="P309" s="8" t="s">
        <v>401</v>
      </c>
      <c r="Q309" s="12" t="s">
        <v>20204</v>
      </c>
      <c r="R309" s="8" t="s">
        <v>100</v>
      </c>
      <c r="S309" s="8" t="s">
        <v>18</v>
      </c>
      <c r="T309" s="8"/>
      <c r="U309" s="8"/>
      <c r="AI309" s="8"/>
      <c r="AJ309" s="8"/>
      <c r="AK309" s="8"/>
      <c r="AL309" s="8"/>
      <c r="AM309" s="8"/>
    </row>
    <row r="310" spans="1:46" ht="13" customHeight="1">
      <c r="A310" s="8" t="s">
        <v>232</v>
      </c>
      <c r="B310" s="16">
        <v>35</v>
      </c>
      <c r="C310" s="8" t="s">
        <v>20</v>
      </c>
      <c r="D310" s="8" t="s">
        <v>37</v>
      </c>
      <c r="E310" s="8" t="s">
        <v>233</v>
      </c>
      <c r="F310" s="17">
        <v>42270</v>
      </c>
      <c r="G310" s="8" t="s">
        <v>234</v>
      </c>
      <c r="H310" s="8" t="s">
        <v>235</v>
      </c>
      <c r="I310" s="8" t="s">
        <v>73</v>
      </c>
      <c r="J310" s="16" t="s">
        <v>20198</v>
      </c>
      <c r="K310" s="2" t="s">
        <v>20199</v>
      </c>
      <c r="L310" s="8" t="s">
        <v>236</v>
      </c>
      <c r="M310" s="8" t="s">
        <v>27</v>
      </c>
      <c r="N310" s="2" t="s">
        <v>20200</v>
      </c>
      <c r="O310" s="8" t="s">
        <v>400</v>
      </c>
      <c r="P310" s="8" t="s">
        <v>401</v>
      </c>
      <c r="Q310" s="12" t="s">
        <v>20201</v>
      </c>
      <c r="R310" s="8" t="s">
        <v>100</v>
      </c>
      <c r="S310" s="8" t="s">
        <v>28</v>
      </c>
      <c r="T310" s="8"/>
      <c r="U310" s="8"/>
      <c r="AN310" s="8"/>
      <c r="AO310" s="8"/>
      <c r="AP310" s="8"/>
      <c r="AQ310" s="8"/>
      <c r="AR310" s="8"/>
      <c r="AS310" s="8"/>
      <c r="AT310" s="8"/>
    </row>
    <row r="311" spans="1:46" ht="13" customHeight="1">
      <c r="A311" s="8" t="s">
        <v>242</v>
      </c>
      <c r="B311" s="16">
        <v>45</v>
      </c>
      <c r="C311" s="8" t="s">
        <v>20</v>
      </c>
      <c r="D311" s="8" t="s">
        <v>37</v>
      </c>
      <c r="F311" s="17">
        <v>42270</v>
      </c>
      <c r="G311" s="8" t="s">
        <v>20205</v>
      </c>
      <c r="H311" s="8" t="s">
        <v>243</v>
      </c>
      <c r="I311" s="8" t="s">
        <v>244</v>
      </c>
      <c r="J311" s="16" t="s">
        <v>20206</v>
      </c>
      <c r="K311" s="2" t="s">
        <v>20207</v>
      </c>
      <c r="L311" s="8" t="s">
        <v>245</v>
      </c>
      <c r="M311" s="8" t="s">
        <v>27</v>
      </c>
      <c r="N311" s="2" t="s">
        <v>20208</v>
      </c>
      <c r="O311" s="8" t="s">
        <v>400</v>
      </c>
      <c r="P311" s="8" t="s">
        <v>401</v>
      </c>
      <c r="Q311" s="12" t="s">
        <v>20209</v>
      </c>
      <c r="R311" s="8" t="s">
        <v>100</v>
      </c>
      <c r="S311" s="8" t="s">
        <v>28</v>
      </c>
      <c r="T311" s="8"/>
      <c r="U311" s="8"/>
      <c r="AN311" s="8"/>
      <c r="AO311" s="8"/>
      <c r="AP311" s="8"/>
      <c r="AQ311" s="8"/>
      <c r="AR311" s="8"/>
      <c r="AS311" s="8"/>
      <c r="AT311" s="8"/>
    </row>
    <row r="312" spans="1:46" ht="13" customHeight="1">
      <c r="A312" s="8" t="s">
        <v>246</v>
      </c>
      <c r="B312" s="16">
        <v>32</v>
      </c>
      <c r="C312" s="8" t="s">
        <v>20</v>
      </c>
      <c r="D312" s="8" t="s">
        <v>85</v>
      </c>
      <c r="E312" s="8" t="s">
        <v>247</v>
      </c>
      <c r="F312" s="17">
        <v>42269</v>
      </c>
      <c r="G312" s="8" t="s">
        <v>20213</v>
      </c>
      <c r="H312" s="8" t="s">
        <v>722</v>
      </c>
      <c r="I312" s="8" t="s">
        <v>45</v>
      </c>
      <c r="J312" s="16" t="s">
        <v>8766</v>
      </c>
      <c r="K312" s="2" t="s">
        <v>604</v>
      </c>
      <c r="L312" s="8" t="s">
        <v>249</v>
      </c>
      <c r="M312" s="8" t="s">
        <v>27</v>
      </c>
      <c r="N312" s="2" t="s">
        <v>20214</v>
      </c>
      <c r="O312" s="8" t="s">
        <v>1013</v>
      </c>
      <c r="P312" s="8" t="s">
        <v>401</v>
      </c>
      <c r="Q312" s="12" t="s">
        <v>20215</v>
      </c>
      <c r="R312" s="8" t="s">
        <v>100</v>
      </c>
      <c r="S312" s="8" t="s">
        <v>28</v>
      </c>
      <c r="T312" s="6"/>
      <c r="U312" s="8"/>
      <c r="AI312" s="8"/>
      <c r="AJ312" s="8"/>
      <c r="AK312" s="8"/>
      <c r="AL312" s="8"/>
      <c r="AM312" s="8"/>
    </row>
    <row r="313" spans="1:46" ht="13" customHeight="1">
      <c r="A313" s="8" t="s">
        <v>267</v>
      </c>
      <c r="B313" s="16">
        <v>26</v>
      </c>
      <c r="C313" s="8" t="s">
        <v>20</v>
      </c>
      <c r="D313" s="8" t="s">
        <v>37</v>
      </c>
      <c r="F313" s="17">
        <v>42269</v>
      </c>
      <c r="G313" s="8" t="s">
        <v>20216</v>
      </c>
      <c r="H313" s="8" t="s">
        <v>268</v>
      </c>
      <c r="I313" s="8" t="s">
        <v>269</v>
      </c>
      <c r="J313" s="16" t="s">
        <v>8524</v>
      </c>
      <c r="K313" s="2" t="s">
        <v>570</v>
      </c>
      <c r="L313" s="8" t="s">
        <v>270</v>
      </c>
      <c r="M313" s="8" t="s">
        <v>27</v>
      </c>
      <c r="N313" s="2" t="s">
        <v>20217</v>
      </c>
      <c r="O313" s="8" t="s">
        <v>400</v>
      </c>
      <c r="P313" s="8" t="s">
        <v>401</v>
      </c>
      <c r="Q313" s="12" t="s">
        <v>20218</v>
      </c>
      <c r="R313" s="8" t="s">
        <v>100</v>
      </c>
      <c r="S313" s="8" t="s">
        <v>28</v>
      </c>
      <c r="T313" s="8"/>
      <c r="U313" s="8"/>
    </row>
    <row r="314" spans="1:46" ht="13" customHeight="1">
      <c r="A314" s="8" t="s">
        <v>258</v>
      </c>
      <c r="B314" s="16">
        <v>26</v>
      </c>
      <c r="C314" s="8" t="s">
        <v>20</v>
      </c>
      <c r="D314" s="8" t="s">
        <v>37</v>
      </c>
      <c r="E314" s="8" t="s">
        <v>259</v>
      </c>
      <c r="F314" s="17">
        <v>42269</v>
      </c>
      <c r="G314" s="8" t="s">
        <v>20222</v>
      </c>
      <c r="H314" s="8" t="s">
        <v>260</v>
      </c>
      <c r="I314" s="8" t="s">
        <v>62</v>
      </c>
      <c r="J314" s="16" t="s">
        <v>20223</v>
      </c>
      <c r="K314" s="2" t="s">
        <v>3916</v>
      </c>
      <c r="L314" s="8" t="s">
        <v>261</v>
      </c>
      <c r="M314" s="8" t="s">
        <v>27</v>
      </c>
      <c r="N314" s="2" t="s">
        <v>20224</v>
      </c>
      <c r="O314" s="8" t="s">
        <v>400</v>
      </c>
      <c r="P314" s="8" t="s">
        <v>401</v>
      </c>
      <c r="Q314" s="12" t="s">
        <v>20225</v>
      </c>
      <c r="R314" s="8" t="s">
        <v>100</v>
      </c>
      <c r="S314" s="8" t="s">
        <v>28</v>
      </c>
      <c r="T314" s="8"/>
      <c r="U314" s="8"/>
      <c r="AN314" s="8"/>
      <c r="AO314" s="8"/>
      <c r="AP314" s="8"/>
      <c r="AQ314" s="8"/>
      <c r="AR314" s="8"/>
      <c r="AS314" s="8"/>
      <c r="AT314" s="8"/>
    </row>
    <row r="315" spans="1:46" ht="13" customHeight="1">
      <c r="A315" s="8" t="s">
        <v>262</v>
      </c>
      <c r="B315" s="16">
        <v>33</v>
      </c>
      <c r="C315" s="8" t="s">
        <v>20</v>
      </c>
      <c r="D315" s="8" t="s">
        <v>37</v>
      </c>
      <c r="E315" s="8" t="s">
        <v>263</v>
      </c>
      <c r="F315" s="17">
        <v>42269</v>
      </c>
      <c r="G315" s="8" t="s">
        <v>264</v>
      </c>
      <c r="H315" s="8" t="s">
        <v>265</v>
      </c>
      <c r="I315" s="8" t="s">
        <v>62</v>
      </c>
      <c r="J315" s="16" t="s">
        <v>20219</v>
      </c>
      <c r="K315" s="2" t="s">
        <v>12308</v>
      </c>
      <c r="L315" s="8" t="s">
        <v>266</v>
      </c>
      <c r="M315" s="8" t="s">
        <v>27</v>
      </c>
      <c r="N315" s="2" t="s">
        <v>20220</v>
      </c>
      <c r="O315" s="8" t="s">
        <v>1013</v>
      </c>
      <c r="P315" s="8" t="s">
        <v>401</v>
      </c>
      <c r="Q315" s="12" t="s">
        <v>20221</v>
      </c>
      <c r="R315" s="8" t="s">
        <v>100</v>
      </c>
      <c r="S315" s="8" t="s">
        <v>28</v>
      </c>
      <c r="T315" s="8"/>
      <c r="U315" s="8"/>
      <c r="AN315" s="8"/>
      <c r="AO315" s="8"/>
      <c r="AP315" s="8"/>
      <c r="AQ315" s="8"/>
      <c r="AR315" s="8"/>
      <c r="AS315" s="8"/>
      <c r="AT315" s="8"/>
    </row>
    <row r="316" spans="1:46" ht="13" customHeight="1">
      <c r="A316" s="8" t="s">
        <v>250</v>
      </c>
      <c r="B316" s="16">
        <v>55</v>
      </c>
      <c r="C316" s="8" t="s">
        <v>20</v>
      </c>
      <c r="D316" s="8" t="s">
        <v>37</v>
      </c>
      <c r="E316" s="8" t="s">
        <v>21205</v>
      </c>
      <c r="F316" s="17">
        <v>42269</v>
      </c>
      <c r="G316" s="8" t="s">
        <v>251</v>
      </c>
      <c r="H316" s="8" t="s">
        <v>252</v>
      </c>
      <c r="I316" s="8" t="s">
        <v>45</v>
      </c>
      <c r="K316" s="8"/>
      <c r="L316" s="8" t="s">
        <v>253</v>
      </c>
      <c r="M316" s="8" t="s">
        <v>27</v>
      </c>
      <c r="N316" s="2" t="s">
        <v>21523</v>
      </c>
      <c r="O316" s="8" t="s">
        <v>400</v>
      </c>
      <c r="P316" s="8" t="s">
        <v>401</v>
      </c>
      <c r="Q316" s="10" t="str">
        <f>HYPERLINK("http://www.redding.com/news/local-news/happy-valley-road-closing-in-search-for-armed-suspect","http://www.redding.com/news/local-news/happy-valley-road-closing-in-search-for-armed-suspect")</f>
        <v>http://www.redding.com/news/local-news/happy-valley-road-closing-in-search-for-armed-suspect</v>
      </c>
      <c r="S316" s="8" t="s">
        <v>28</v>
      </c>
      <c r="T316" s="8"/>
      <c r="U316" s="8"/>
    </row>
    <row r="317" spans="1:46" ht="13" customHeight="1">
      <c r="A317" s="8" t="s">
        <v>67</v>
      </c>
      <c r="B317" s="16">
        <v>27</v>
      </c>
      <c r="C317" s="8" t="s">
        <v>20</v>
      </c>
      <c r="D317" s="8" t="s">
        <v>21</v>
      </c>
      <c r="E317" s="8" t="s">
        <v>68</v>
      </c>
      <c r="F317" s="17">
        <v>42268</v>
      </c>
      <c r="G317" s="8" t="s">
        <v>20236</v>
      </c>
      <c r="H317" s="8" t="s">
        <v>204</v>
      </c>
      <c r="I317" s="8" t="s">
        <v>69</v>
      </c>
      <c r="J317" s="16" t="s">
        <v>20237</v>
      </c>
      <c r="K317" s="2" t="s">
        <v>3485</v>
      </c>
      <c r="L317" s="8" t="s">
        <v>205</v>
      </c>
      <c r="M317" s="8" t="s">
        <v>27</v>
      </c>
      <c r="N317" s="2" t="s">
        <v>20238</v>
      </c>
      <c r="O317" s="8" t="s">
        <v>400</v>
      </c>
      <c r="P317" s="8" t="s">
        <v>401</v>
      </c>
      <c r="Q317" s="12" t="s">
        <v>70</v>
      </c>
      <c r="R317" s="8" t="s">
        <v>100</v>
      </c>
      <c r="S317" s="8" t="s">
        <v>18</v>
      </c>
      <c r="T317" s="8"/>
      <c r="U317" s="8"/>
      <c r="Y317" s="8"/>
      <c r="Z317" s="8"/>
      <c r="AA317" s="8"/>
      <c r="AB317" s="8"/>
      <c r="AC317" s="8"/>
      <c r="AD317" s="8"/>
      <c r="AE317" s="8"/>
      <c r="AF317" s="8"/>
      <c r="AG317" s="8"/>
      <c r="AH317" s="8"/>
    </row>
    <row r="318" spans="1:46" ht="13" customHeight="1">
      <c r="A318" s="8" t="s">
        <v>282</v>
      </c>
      <c r="B318" s="16">
        <v>24</v>
      </c>
      <c r="C318" s="8" t="s">
        <v>20</v>
      </c>
      <c r="D318" s="8" t="s">
        <v>48</v>
      </c>
      <c r="E318" s="8" t="s">
        <v>283</v>
      </c>
      <c r="F318" s="17">
        <v>42268</v>
      </c>
      <c r="G318" s="8" t="s">
        <v>284</v>
      </c>
      <c r="H318" s="8" t="s">
        <v>285</v>
      </c>
      <c r="I318" s="8" t="s">
        <v>73</v>
      </c>
      <c r="J318" s="16" t="s">
        <v>20233</v>
      </c>
      <c r="K318" s="2" t="s">
        <v>285</v>
      </c>
      <c r="L318" s="8" t="s">
        <v>286</v>
      </c>
      <c r="M318" s="8" t="s">
        <v>27</v>
      </c>
      <c r="N318" s="2" t="s">
        <v>20234</v>
      </c>
      <c r="O318" s="8" t="s">
        <v>400</v>
      </c>
      <c r="P318" s="8" t="s">
        <v>401</v>
      </c>
      <c r="Q318" s="12" t="s">
        <v>20235</v>
      </c>
      <c r="R318" s="8" t="s">
        <v>555</v>
      </c>
      <c r="S318" s="8" t="s">
        <v>28</v>
      </c>
      <c r="T318" s="8"/>
      <c r="U318" s="8"/>
      <c r="AI318" s="8"/>
      <c r="AJ318" s="8"/>
      <c r="AK318" s="8"/>
      <c r="AL318" s="8"/>
      <c r="AM318" s="8"/>
    </row>
    <row r="319" spans="1:46" ht="13" customHeight="1">
      <c r="A319" s="8" t="s">
        <v>254</v>
      </c>
      <c r="B319" s="16">
        <v>34</v>
      </c>
      <c r="C319" s="8" t="s">
        <v>20</v>
      </c>
      <c r="D319" s="8" t="s">
        <v>48</v>
      </c>
      <c r="E319" s="8" t="s">
        <v>255</v>
      </c>
      <c r="F319" s="17">
        <v>42268</v>
      </c>
      <c r="G319" s="8" t="s">
        <v>20226</v>
      </c>
      <c r="H319" s="8" t="s">
        <v>256</v>
      </c>
      <c r="I319" s="8" t="s">
        <v>62</v>
      </c>
      <c r="J319" s="16" t="s">
        <v>20227</v>
      </c>
      <c r="K319" s="2" t="s">
        <v>1867</v>
      </c>
      <c r="L319" s="8" t="s">
        <v>257</v>
      </c>
      <c r="M319" s="8" t="s">
        <v>27</v>
      </c>
      <c r="N319" s="2" t="s">
        <v>20228</v>
      </c>
      <c r="O319" s="8" t="s">
        <v>400</v>
      </c>
      <c r="P319" s="8" t="s">
        <v>401</v>
      </c>
      <c r="Q319" s="12" t="s">
        <v>20229</v>
      </c>
      <c r="R319" s="8" t="s">
        <v>100</v>
      </c>
      <c r="S319" s="8" t="s">
        <v>18</v>
      </c>
      <c r="T319" s="6"/>
      <c r="U319" s="8"/>
      <c r="AI319" s="8"/>
      <c r="AJ319" s="8"/>
      <c r="AK319" s="8"/>
      <c r="AL319" s="8"/>
      <c r="AM319" s="8"/>
    </row>
    <row r="320" spans="1:46" ht="13" customHeight="1">
      <c r="A320" s="8" t="s">
        <v>278</v>
      </c>
      <c r="B320" s="16">
        <v>21</v>
      </c>
      <c r="C320" s="8" t="s">
        <v>20</v>
      </c>
      <c r="D320" s="8" t="s">
        <v>37</v>
      </c>
      <c r="E320" s="8" t="s">
        <v>279</v>
      </c>
      <c r="F320" s="17">
        <v>42268</v>
      </c>
      <c r="G320" s="8" t="s">
        <v>20230</v>
      </c>
      <c r="H320" s="8" t="s">
        <v>280</v>
      </c>
      <c r="I320" s="8" t="s">
        <v>73</v>
      </c>
      <c r="J320" s="16" t="s">
        <v>17200</v>
      </c>
      <c r="K320" s="2" t="s">
        <v>7052</v>
      </c>
      <c r="L320" s="8" t="s">
        <v>281</v>
      </c>
      <c r="M320" s="8" t="s">
        <v>27</v>
      </c>
      <c r="N320" s="2" t="s">
        <v>20231</v>
      </c>
      <c r="O320" s="8" t="s">
        <v>400</v>
      </c>
      <c r="P320" s="8" t="s">
        <v>401</v>
      </c>
      <c r="Q320" s="12" t="s">
        <v>20232</v>
      </c>
      <c r="R320" s="8" t="s">
        <v>100</v>
      </c>
      <c r="S320" s="8" t="s">
        <v>28</v>
      </c>
      <c r="T320" s="6"/>
      <c r="U320" s="8"/>
      <c r="AN320" s="8"/>
      <c r="AO320" s="8"/>
      <c r="AP320" s="8"/>
      <c r="AQ320" s="8"/>
      <c r="AR320" s="8"/>
      <c r="AS320" s="8"/>
      <c r="AT320" s="8"/>
    </row>
    <row r="321" spans="1:46" ht="13" customHeight="1">
      <c r="A321" s="8" t="s">
        <v>271</v>
      </c>
      <c r="B321" s="16">
        <v>23</v>
      </c>
      <c r="C321" s="8" t="s">
        <v>114</v>
      </c>
      <c r="D321" s="8" t="s">
        <v>37</v>
      </c>
      <c r="E321" s="8" t="s">
        <v>272</v>
      </c>
      <c r="F321" s="17">
        <v>42268</v>
      </c>
      <c r="G321" s="8" t="s">
        <v>273</v>
      </c>
      <c r="H321" s="8" t="s">
        <v>274</v>
      </c>
      <c r="I321" s="8" t="s">
        <v>45</v>
      </c>
      <c r="J321" s="16" t="s">
        <v>5887</v>
      </c>
      <c r="K321" s="2" t="s">
        <v>65</v>
      </c>
      <c r="L321" s="8" t="s">
        <v>275</v>
      </c>
      <c r="M321" s="8" t="s">
        <v>27</v>
      </c>
      <c r="N321" s="2" t="s">
        <v>20239</v>
      </c>
      <c r="O321" s="8" t="s">
        <v>400</v>
      </c>
      <c r="P321" s="8" t="s">
        <v>401</v>
      </c>
      <c r="Q321" s="12" t="s">
        <v>20240</v>
      </c>
      <c r="R321" s="8" t="s">
        <v>100</v>
      </c>
      <c r="S321" s="8" t="s">
        <v>28</v>
      </c>
      <c r="T321" s="8"/>
      <c r="U321" s="8"/>
      <c r="Y321" s="8"/>
      <c r="Z321" s="8"/>
      <c r="AA321" s="8"/>
      <c r="AB321" s="8"/>
      <c r="AC321" s="8"/>
      <c r="AD321" s="8"/>
      <c r="AE321" s="8"/>
      <c r="AF321" s="8"/>
      <c r="AG321" s="8"/>
      <c r="AH321" s="8"/>
      <c r="AN321" s="8"/>
      <c r="AO321" s="8"/>
      <c r="AP321" s="8"/>
      <c r="AQ321" s="8"/>
      <c r="AR321" s="8"/>
      <c r="AS321" s="8"/>
      <c r="AT321" s="8"/>
    </row>
    <row r="322" spans="1:46" ht="13" customHeight="1">
      <c r="A322" s="8" t="s">
        <v>276</v>
      </c>
      <c r="B322" s="16">
        <v>27</v>
      </c>
      <c r="C322" s="8" t="s">
        <v>20</v>
      </c>
      <c r="D322" s="8" t="s">
        <v>37</v>
      </c>
      <c r="E322" s="8" t="s">
        <v>277</v>
      </c>
      <c r="F322" s="17">
        <v>42268</v>
      </c>
      <c r="G322" s="8" t="s">
        <v>273</v>
      </c>
      <c r="H322" s="8" t="s">
        <v>274</v>
      </c>
      <c r="I322" s="8" t="s">
        <v>45</v>
      </c>
      <c r="J322" s="16" t="s">
        <v>5887</v>
      </c>
      <c r="K322" s="2" t="s">
        <v>65</v>
      </c>
      <c r="L322" s="8" t="s">
        <v>275</v>
      </c>
      <c r="M322" s="8" t="s">
        <v>27</v>
      </c>
      <c r="N322" s="2" t="s">
        <v>20241</v>
      </c>
      <c r="O322" s="8" t="s">
        <v>400</v>
      </c>
      <c r="P322" s="8" t="s">
        <v>401</v>
      </c>
      <c r="Q322" s="12" t="s">
        <v>20240</v>
      </c>
      <c r="R322" s="8" t="s">
        <v>100</v>
      </c>
      <c r="S322" s="8" t="s">
        <v>28</v>
      </c>
      <c r="T322" s="8"/>
      <c r="U322" s="8"/>
      <c r="Y322" s="8"/>
      <c r="Z322" s="8"/>
      <c r="AA322" s="8"/>
      <c r="AB322" s="8"/>
      <c r="AC322" s="8"/>
      <c r="AD322" s="8"/>
      <c r="AE322" s="8"/>
      <c r="AF322" s="8"/>
      <c r="AG322" s="8"/>
      <c r="AH322" s="8"/>
      <c r="AN322" s="8"/>
      <c r="AO322" s="8"/>
      <c r="AP322" s="8"/>
      <c r="AQ322" s="8"/>
      <c r="AR322" s="8"/>
      <c r="AS322" s="8"/>
      <c r="AT322" s="8"/>
    </row>
    <row r="323" spans="1:46" ht="13" customHeight="1">
      <c r="A323" s="8" t="s">
        <v>293</v>
      </c>
      <c r="B323" s="16">
        <v>23</v>
      </c>
      <c r="C323" s="8" t="s">
        <v>20</v>
      </c>
      <c r="D323" s="8" t="s">
        <v>37</v>
      </c>
      <c r="E323" s="8" t="s">
        <v>294</v>
      </c>
      <c r="F323" s="17">
        <v>42267</v>
      </c>
      <c r="G323" s="8" t="s">
        <v>295</v>
      </c>
      <c r="H323" s="8" t="s">
        <v>296</v>
      </c>
      <c r="I323" s="8" t="s">
        <v>244</v>
      </c>
      <c r="J323" s="16" t="s">
        <v>20249</v>
      </c>
      <c r="K323" s="2" t="s">
        <v>4791</v>
      </c>
      <c r="L323" s="8" t="s">
        <v>297</v>
      </c>
      <c r="M323" s="8" t="s">
        <v>27</v>
      </c>
      <c r="N323" s="2" t="s">
        <v>20250</v>
      </c>
      <c r="O323" s="8" t="s">
        <v>400</v>
      </c>
      <c r="P323" s="8" t="s">
        <v>401</v>
      </c>
      <c r="Q323" s="12" t="s">
        <v>20251</v>
      </c>
      <c r="R323" s="8" t="s">
        <v>100</v>
      </c>
      <c r="S323" s="8" t="s">
        <v>28</v>
      </c>
      <c r="T323" s="8"/>
      <c r="U323" s="8"/>
      <c r="AN323" s="8"/>
      <c r="AO323" s="8"/>
      <c r="AP323" s="8"/>
      <c r="AQ323" s="8"/>
      <c r="AR323" s="8"/>
      <c r="AS323" s="8"/>
      <c r="AT323" s="8"/>
    </row>
    <row r="324" spans="1:46" ht="13" customHeight="1">
      <c r="A324" s="8" t="s">
        <v>287</v>
      </c>
      <c r="B324" s="16">
        <v>56</v>
      </c>
      <c r="C324" s="8" t="s">
        <v>20</v>
      </c>
      <c r="D324" s="8" t="s">
        <v>37</v>
      </c>
      <c r="E324" s="8" t="s">
        <v>288</v>
      </c>
      <c r="F324" s="17">
        <v>42267</v>
      </c>
      <c r="G324" s="8" t="s">
        <v>20242</v>
      </c>
      <c r="H324" s="8" t="s">
        <v>289</v>
      </c>
      <c r="I324" s="8" t="s">
        <v>217</v>
      </c>
      <c r="J324" s="16" t="s">
        <v>20243</v>
      </c>
      <c r="K324" s="2" t="s">
        <v>1196</v>
      </c>
      <c r="L324" s="8" t="s">
        <v>20623</v>
      </c>
      <c r="M324" s="8" t="s">
        <v>27</v>
      </c>
      <c r="N324" s="2" t="s">
        <v>20244</v>
      </c>
      <c r="O324" s="8" t="s">
        <v>400</v>
      </c>
      <c r="P324" s="8" t="s">
        <v>401</v>
      </c>
      <c r="Q324" s="12" t="s">
        <v>20245</v>
      </c>
      <c r="R324" s="8" t="s">
        <v>100</v>
      </c>
      <c r="S324" s="8" t="s">
        <v>28</v>
      </c>
      <c r="T324" s="8"/>
      <c r="U324" s="8"/>
      <c r="AN324" s="8"/>
      <c r="AO324" s="8"/>
      <c r="AP324" s="8"/>
      <c r="AQ324" s="8"/>
      <c r="AR324" s="8"/>
      <c r="AS324" s="8"/>
      <c r="AT324" s="8"/>
    </row>
    <row r="325" spans="1:46" ht="13" customHeight="1">
      <c r="A325" s="8" t="s">
        <v>290</v>
      </c>
      <c r="B325" s="16">
        <v>48</v>
      </c>
      <c r="C325" s="8" t="s">
        <v>114</v>
      </c>
      <c r="D325" s="8" t="s">
        <v>37</v>
      </c>
      <c r="F325" s="17">
        <v>42267</v>
      </c>
      <c r="G325" s="8" t="s">
        <v>20246</v>
      </c>
      <c r="H325" s="8" t="s">
        <v>291</v>
      </c>
      <c r="I325" s="8" t="s">
        <v>57</v>
      </c>
      <c r="J325" s="16" t="s">
        <v>19393</v>
      </c>
      <c r="K325" s="2" t="s">
        <v>10176</v>
      </c>
      <c r="L325" s="8" t="s">
        <v>292</v>
      </c>
      <c r="M325" s="8" t="s">
        <v>379</v>
      </c>
      <c r="N325" s="2" t="s">
        <v>20247</v>
      </c>
      <c r="O325" s="8" t="s">
        <v>400</v>
      </c>
      <c r="P325" s="8" t="s">
        <v>401</v>
      </c>
      <c r="Q325" s="12" t="s">
        <v>20248</v>
      </c>
      <c r="R325" s="8" t="s">
        <v>100</v>
      </c>
      <c r="S325" s="8" t="s">
        <v>18</v>
      </c>
      <c r="T325" s="8"/>
      <c r="U325" s="8"/>
    </row>
    <row r="326" spans="1:46" ht="13" customHeight="1">
      <c r="A326" s="8" t="s">
        <v>300</v>
      </c>
      <c r="B326" s="16">
        <v>50</v>
      </c>
      <c r="C326" s="8" t="s">
        <v>20</v>
      </c>
      <c r="D326" s="8" t="s">
        <v>139</v>
      </c>
      <c r="E326" s="8" t="s">
        <v>301</v>
      </c>
      <c r="F326" s="17">
        <v>42266</v>
      </c>
      <c r="G326" s="8" t="s">
        <v>20252</v>
      </c>
      <c r="H326" s="8" t="s">
        <v>302</v>
      </c>
      <c r="I326" s="8" t="s">
        <v>303</v>
      </c>
      <c r="J326" s="16" t="s">
        <v>20253</v>
      </c>
      <c r="K326" s="2" t="s">
        <v>2155</v>
      </c>
      <c r="L326" s="8" t="s">
        <v>304</v>
      </c>
      <c r="M326" s="8" t="s">
        <v>3169</v>
      </c>
      <c r="N326" s="2" t="s">
        <v>20254</v>
      </c>
      <c r="O326" s="8" t="s">
        <v>400</v>
      </c>
      <c r="P326" s="8" t="s">
        <v>401</v>
      </c>
      <c r="Q326" s="12" t="s">
        <v>20255</v>
      </c>
      <c r="R326" s="8" t="s">
        <v>100</v>
      </c>
      <c r="S326" s="8" t="s">
        <v>18</v>
      </c>
      <c r="T326" s="8"/>
      <c r="U326" s="8"/>
    </row>
    <row r="327" spans="1:46" ht="13" customHeight="1">
      <c r="A327" s="8" t="s">
        <v>298</v>
      </c>
      <c r="B327" s="16">
        <v>46</v>
      </c>
      <c r="C327" s="8" t="s">
        <v>20</v>
      </c>
      <c r="D327" s="8" t="s">
        <v>37</v>
      </c>
      <c r="E327" s="8" t="s">
        <v>299</v>
      </c>
      <c r="F327" s="17">
        <v>42266</v>
      </c>
      <c r="G327" s="8" t="s">
        <v>20256</v>
      </c>
      <c r="H327" s="8" t="s">
        <v>20257</v>
      </c>
      <c r="I327" s="8" t="s">
        <v>25</v>
      </c>
      <c r="J327" s="16" t="s">
        <v>20258</v>
      </c>
      <c r="K327" s="2" t="s">
        <v>17954</v>
      </c>
      <c r="L327" s="8" t="s">
        <v>20259</v>
      </c>
      <c r="M327" s="8" t="s">
        <v>27</v>
      </c>
      <c r="N327" s="2" t="s">
        <v>20260</v>
      </c>
      <c r="O327" s="8" t="s">
        <v>400</v>
      </c>
      <c r="P327" s="8" t="s">
        <v>401</v>
      </c>
      <c r="Q327" s="12" t="s">
        <v>20261</v>
      </c>
      <c r="R327" s="8" t="s">
        <v>29</v>
      </c>
      <c r="S327" s="8" t="s">
        <v>28</v>
      </c>
      <c r="T327" s="8"/>
      <c r="U327" s="8"/>
      <c r="AN327" s="8"/>
      <c r="AO327" s="8"/>
      <c r="AP327" s="8"/>
      <c r="AQ327" s="8"/>
      <c r="AR327" s="8"/>
      <c r="AS327" s="8"/>
      <c r="AT327" s="8"/>
    </row>
    <row r="328" spans="1:46" ht="13" customHeight="1">
      <c r="A328" s="8" t="s">
        <v>305</v>
      </c>
      <c r="B328" s="16">
        <v>57</v>
      </c>
      <c r="C328" s="8" t="s">
        <v>20</v>
      </c>
      <c r="D328" s="8" t="s">
        <v>37</v>
      </c>
      <c r="E328" s="8" t="s">
        <v>306</v>
      </c>
      <c r="F328" s="17">
        <v>42265</v>
      </c>
      <c r="G328" s="8" t="s">
        <v>20267</v>
      </c>
      <c r="H328" s="8" t="s">
        <v>20268</v>
      </c>
      <c r="I328" s="8" t="s">
        <v>94</v>
      </c>
      <c r="J328" s="16" t="s">
        <v>20269</v>
      </c>
      <c r="K328" s="2" t="s">
        <v>118</v>
      </c>
      <c r="L328" s="8" t="s">
        <v>20270</v>
      </c>
      <c r="M328" s="8" t="s">
        <v>27</v>
      </c>
      <c r="N328" s="2" t="s">
        <v>20271</v>
      </c>
      <c r="O328" s="8" t="s">
        <v>400</v>
      </c>
      <c r="P328" s="8" t="s">
        <v>401</v>
      </c>
      <c r="Q328" s="12" t="s">
        <v>20272</v>
      </c>
      <c r="R328" s="8" t="s">
        <v>29</v>
      </c>
      <c r="S328" s="8" t="s">
        <v>28</v>
      </c>
      <c r="T328" s="8"/>
      <c r="U328" s="8"/>
      <c r="AN328" s="8"/>
      <c r="AO328" s="8"/>
      <c r="AP328" s="8"/>
      <c r="AQ328" s="8"/>
      <c r="AR328" s="8"/>
      <c r="AS328" s="8"/>
      <c r="AT328" s="8"/>
    </row>
    <row r="329" spans="1:46" ht="13" customHeight="1">
      <c r="A329" s="8" t="s">
        <v>307</v>
      </c>
      <c r="B329" s="16">
        <v>32</v>
      </c>
      <c r="C329" s="8" t="s">
        <v>20</v>
      </c>
      <c r="D329" s="8" t="s">
        <v>37</v>
      </c>
      <c r="E329" s="8" t="s">
        <v>308</v>
      </c>
      <c r="F329" s="17">
        <v>42265</v>
      </c>
      <c r="G329" s="8" t="s">
        <v>20273</v>
      </c>
      <c r="H329" s="8" t="s">
        <v>309</v>
      </c>
      <c r="I329" s="8" t="s">
        <v>45</v>
      </c>
      <c r="J329" s="16" t="s">
        <v>4347</v>
      </c>
      <c r="K329" s="2" t="s">
        <v>309</v>
      </c>
      <c r="L329" s="8" t="s">
        <v>20274</v>
      </c>
      <c r="M329" s="8" t="s">
        <v>27</v>
      </c>
      <c r="N329" s="2" t="s">
        <v>20275</v>
      </c>
      <c r="O329" s="8" t="s">
        <v>400</v>
      </c>
      <c r="P329" s="8" t="s">
        <v>401</v>
      </c>
      <c r="Q329" s="12" t="s">
        <v>20276</v>
      </c>
      <c r="R329" s="8" t="s">
        <v>100</v>
      </c>
      <c r="S329" s="8" t="s">
        <v>18</v>
      </c>
      <c r="T329" s="8"/>
      <c r="U329" s="8"/>
      <c r="AN329" s="8"/>
      <c r="AO329" s="8"/>
      <c r="AP329" s="8"/>
      <c r="AQ329" s="8"/>
      <c r="AR329" s="8"/>
      <c r="AS329" s="8"/>
      <c r="AT329" s="8"/>
    </row>
    <row r="330" spans="1:46" ht="13" customHeight="1">
      <c r="A330" s="8" t="s">
        <v>316</v>
      </c>
      <c r="B330" s="16">
        <v>47</v>
      </c>
      <c r="C330" s="8" t="s">
        <v>20</v>
      </c>
      <c r="D330" s="8" t="s">
        <v>37</v>
      </c>
      <c r="E330" s="8" t="s">
        <v>317</v>
      </c>
      <c r="F330" s="17">
        <v>42265</v>
      </c>
      <c r="G330" s="8" t="s">
        <v>20262</v>
      </c>
      <c r="H330" s="8" t="s">
        <v>318</v>
      </c>
      <c r="I330" s="8" t="s">
        <v>319</v>
      </c>
      <c r="J330" s="16" t="s">
        <v>20263</v>
      </c>
      <c r="K330" s="2" t="s">
        <v>20264</v>
      </c>
      <c r="L330" s="8" t="s">
        <v>320</v>
      </c>
      <c r="M330" s="8" t="s">
        <v>27</v>
      </c>
      <c r="N330" s="2" t="s">
        <v>20265</v>
      </c>
      <c r="O330" s="8" t="s">
        <v>400</v>
      </c>
      <c r="P330" s="8" t="s">
        <v>401</v>
      </c>
      <c r="Q330" s="12" t="s">
        <v>20266</v>
      </c>
      <c r="R330" s="8" t="s">
        <v>100</v>
      </c>
      <c r="S330" s="8" t="s">
        <v>35</v>
      </c>
      <c r="T330" s="8"/>
      <c r="U330" s="8"/>
      <c r="AN330" s="8"/>
      <c r="AO330" s="8"/>
      <c r="AP330" s="8"/>
      <c r="AQ330" s="8"/>
      <c r="AR330" s="8"/>
      <c r="AS330" s="8"/>
      <c r="AT330" s="8"/>
    </row>
    <row r="331" spans="1:46" ht="13" customHeight="1">
      <c r="A331" s="8" t="s">
        <v>322</v>
      </c>
      <c r="B331" s="16">
        <v>50</v>
      </c>
      <c r="C331" s="8" t="s">
        <v>20</v>
      </c>
      <c r="D331" s="8" t="s">
        <v>37</v>
      </c>
      <c r="E331" s="8" t="s">
        <v>323</v>
      </c>
      <c r="F331" s="17">
        <v>42264</v>
      </c>
      <c r="G331" s="8" t="s">
        <v>324</v>
      </c>
      <c r="H331" s="8" t="s">
        <v>325</v>
      </c>
      <c r="I331" s="8" t="s">
        <v>57</v>
      </c>
      <c r="J331" s="16" t="s">
        <v>20282</v>
      </c>
      <c r="K331" s="2" t="s">
        <v>20283</v>
      </c>
      <c r="L331" s="8" t="s">
        <v>20284</v>
      </c>
      <c r="M331" s="8" t="s">
        <v>27</v>
      </c>
      <c r="N331" s="2" t="s">
        <v>20285</v>
      </c>
      <c r="O331" s="8" t="s">
        <v>1013</v>
      </c>
      <c r="P331" s="8" t="s">
        <v>401</v>
      </c>
      <c r="Q331" s="12" t="s">
        <v>20286</v>
      </c>
      <c r="R331" s="8" t="s">
        <v>967</v>
      </c>
      <c r="S331" s="8" t="s">
        <v>28</v>
      </c>
      <c r="T331" s="6"/>
      <c r="U331" s="8"/>
      <c r="AN331" s="8"/>
      <c r="AO331" s="8"/>
      <c r="AP331" s="8"/>
      <c r="AQ331" s="8"/>
      <c r="AR331" s="8"/>
      <c r="AS331" s="8"/>
      <c r="AT331" s="8"/>
    </row>
    <row r="332" spans="1:46" ht="13" customHeight="1">
      <c r="A332" s="8" t="s">
        <v>311</v>
      </c>
      <c r="B332" s="16">
        <v>61</v>
      </c>
      <c r="C332" s="8" t="s">
        <v>20</v>
      </c>
      <c r="D332" s="8" t="s">
        <v>37</v>
      </c>
      <c r="E332" s="8" t="s">
        <v>312</v>
      </c>
      <c r="F332" s="17">
        <v>42264</v>
      </c>
      <c r="G332" s="8" t="s">
        <v>313</v>
      </c>
      <c r="H332" s="8" t="s">
        <v>314</v>
      </c>
      <c r="I332" s="8" t="s">
        <v>315</v>
      </c>
      <c r="J332" s="16" t="s">
        <v>20277</v>
      </c>
      <c r="K332" s="2" t="s">
        <v>20278</v>
      </c>
      <c r="L332" s="8" t="s">
        <v>20279</v>
      </c>
      <c r="M332" s="8" t="s">
        <v>27</v>
      </c>
      <c r="N332" s="2" t="s">
        <v>20280</v>
      </c>
      <c r="O332" s="8" t="s">
        <v>400</v>
      </c>
      <c r="P332" s="8" t="s">
        <v>401</v>
      </c>
      <c r="Q332" s="12" t="s">
        <v>20281</v>
      </c>
      <c r="R332" s="8" t="s">
        <v>100</v>
      </c>
      <c r="S332" s="8" t="s">
        <v>28</v>
      </c>
      <c r="T332" s="8"/>
      <c r="U332" s="8"/>
      <c r="AN332" s="8"/>
      <c r="AO332" s="8"/>
      <c r="AP332" s="8"/>
      <c r="AQ332" s="8"/>
      <c r="AR332" s="8"/>
      <c r="AS332" s="8"/>
      <c r="AT332" s="8"/>
    </row>
    <row r="333" spans="1:46" ht="13" customHeight="1">
      <c r="A333" s="8" t="s">
        <v>337</v>
      </c>
      <c r="B333" s="16">
        <v>27</v>
      </c>
      <c r="C333" s="8" t="s">
        <v>20</v>
      </c>
      <c r="D333" s="8" t="s">
        <v>85</v>
      </c>
      <c r="E333" s="8" t="s">
        <v>338</v>
      </c>
      <c r="F333" s="17">
        <v>42263</v>
      </c>
      <c r="G333" s="8" t="s">
        <v>20287</v>
      </c>
      <c r="H333" s="8" t="s">
        <v>339</v>
      </c>
      <c r="I333" s="8" t="s">
        <v>25</v>
      </c>
      <c r="J333" s="16" t="s">
        <v>20288</v>
      </c>
      <c r="K333" s="2" t="s">
        <v>3142</v>
      </c>
      <c r="L333" s="8" t="s">
        <v>20622</v>
      </c>
      <c r="M333" s="8" t="s">
        <v>27</v>
      </c>
      <c r="N333" s="2" t="s">
        <v>20289</v>
      </c>
      <c r="O333" s="8" t="s">
        <v>400</v>
      </c>
      <c r="P333" s="8" t="s">
        <v>401</v>
      </c>
      <c r="Q333" s="12" t="s">
        <v>20290</v>
      </c>
      <c r="R333" s="8" t="s">
        <v>29</v>
      </c>
      <c r="S333" s="8" t="s">
        <v>28</v>
      </c>
      <c r="T333" s="8"/>
      <c r="U333" s="8"/>
      <c r="AI333" s="8"/>
      <c r="AJ333" s="8"/>
      <c r="AK333" s="8"/>
      <c r="AL333" s="8"/>
      <c r="AM333" s="8"/>
    </row>
    <row r="334" spans="1:46" ht="13" customHeight="1">
      <c r="A334" s="8" t="s">
        <v>321</v>
      </c>
      <c r="B334" s="16">
        <v>39</v>
      </c>
      <c r="C334" s="8" t="s">
        <v>20</v>
      </c>
      <c r="D334" s="8" t="s">
        <v>48</v>
      </c>
      <c r="F334" s="17">
        <v>42263</v>
      </c>
      <c r="G334" s="8" t="s">
        <v>20291</v>
      </c>
      <c r="H334" s="8" t="s">
        <v>98</v>
      </c>
      <c r="I334" s="8" t="s">
        <v>45</v>
      </c>
      <c r="J334" s="16" t="s">
        <v>20292</v>
      </c>
      <c r="K334" s="2" t="s">
        <v>98</v>
      </c>
      <c r="L334" s="8" t="s">
        <v>99</v>
      </c>
      <c r="M334" s="8" t="s">
        <v>27</v>
      </c>
      <c r="N334" s="2" t="s">
        <v>20293</v>
      </c>
      <c r="O334" s="8" t="s">
        <v>1013</v>
      </c>
      <c r="P334" s="8" t="s">
        <v>401</v>
      </c>
      <c r="Q334" s="12" t="s">
        <v>20294</v>
      </c>
      <c r="R334" s="8" t="s">
        <v>100</v>
      </c>
      <c r="S334" s="8" t="s">
        <v>28</v>
      </c>
      <c r="T334" s="6"/>
      <c r="U334" s="8"/>
      <c r="AI334" s="8"/>
      <c r="AJ334" s="8"/>
      <c r="AK334" s="8"/>
      <c r="AL334" s="8"/>
      <c r="AM334" s="8"/>
    </row>
    <row r="335" spans="1:46" ht="13" customHeight="1">
      <c r="A335" s="8" t="s">
        <v>335</v>
      </c>
      <c r="B335" s="16">
        <v>51</v>
      </c>
      <c r="C335" s="8" t="s">
        <v>20</v>
      </c>
      <c r="D335" s="8" t="s">
        <v>48</v>
      </c>
      <c r="F335" s="17">
        <v>42263</v>
      </c>
      <c r="G335" s="8" t="s">
        <v>336</v>
      </c>
      <c r="H335" s="8" t="s">
        <v>213</v>
      </c>
      <c r="I335" s="8" t="s">
        <v>62</v>
      </c>
      <c r="L335" s="8" t="s">
        <v>162</v>
      </c>
      <c r="M335" s="8" t="s">
        <v>27</v>
      </c>
      <c r="N335" s="2" t="s">
        <v>21524</v>
      </c>
      <c r="O335" s="8" t="s">
        <v>400</v>
      </c>
      <c r="P335" s="8" t="s">
        <v>401</v>
      </c>
      <c r="Q335" s="12" t="str">
        <f>HYPERLINK("http://www.local10.com/news/man-killed-in-policeinvolved-shooting-in-sw-miamidade/35298042","http://www.local10.com/news/man-killed-in-policeinvolved-shooting-in-sw-miamidade/35298042")</f>
        <v>http://www.local10.com/news/man-killed-in-policeinvolved-shooting-in-sw-miamidade/35298042</v>
      </c>
      <c r="S335" s="8" t="s">
        <v>35</v>
      </c>
      <c r="T335" s="8"/>
      <c r="U335" s="8"/>
      <c r="AI335" s="8"/>
      <c r="AJ335" s="8"/>
      <c r="AK335" s="8"/>
      <c r="AL335" s="8"/>
      <c r="AM335" s="8"/>
    </row>
    <row r="336" spans="1:46" ht="13" customHeight="1">
      <c r="A336" s="8" t="s">
        <v>332</v>
      </c>
      <c r="B336" s="16">
        <v>19</v>
      </c>
      <c r="C336" s="8" t="s">
        <v>20</v>
      </c>
      <c r="D336" s="8" t="s">
        <v>48</v>
      </c>
      <c r="E336" s="8" t="s">
        <v>333</v>
      </c>
      <c r="F336" s="17">
        <v>42263</v>
      </c>
      <c r="G336" s="8" t="s">
        <v>334</v>
      </c>
      <c r="H336" s="8" t="s">
        <v>109</v>
      </c>
      <c r="I336" s="8" t="s">
        <v>45</v>
      </c>
      <c r="L336" s="8" t="s">
        <v>111</v>
      </c>
      <c r="M336" s="8" t="s">
        <v>379</v>
      </c>
      <c r="P336" s="8" t="s">
        <v>401</v>
      </c>
      <c r="Q336" s="12" t="str">
        <f>HYPERLINK("http://www.pe.com/articles/camacho-780442-anda-police.html","http://www.pe.com/articles/camacho-780442-anda-police.html")</f>
        <v>http://www.pe.com/articles/camacho-780442-anda-police.html</v>
      </c>
      <c r="S336" s="8" t="s">
        <v>18</v>
      </c>
      <c r="T336" s="8"/>
      <c r="U336" s="8"/>
      <c r="AI336" s="8"/>
      <c r="AJ336" s="8"/>
      <c r="AK336" s="8"/>
      <c r="AL336" s="8"/>
      <c r="AM336" s="8"/>
    </row>
    <row r="337" spans="1:46" ht="13" customHeight="1">
      <c r="A337" s="8" t="s">
        <v>340</v>
      </c>
      <c r="B337" s="16">
        <v>31</v>
      </c>
      <c r="C337" s="8" t="s">
        <v>20</v>
      </c>
      <c r="D337" s="8" t="s">
        <v>37</v>
      </c>
      <c r="E337" s="8" t="s">
        <v>341</v>
      </c>
      <c r="F337" s="17">
        <v>42263</v>
      </c>
      <c r="G337" s="8" t="s">
        <v>342</v>
      </c>
      <c r="H337" s="8" t="s">
        <v>343</v>
      </c>
      <c r="I337" s="8" t="s">
        <v>143</v>
      </c>
      <c r="J337" s="16" t="s">
        <v>20295</v>
      </c>
      <c r="K337" s="2" t="s">
        <v>2073</v>
      </c>
      <c r="L337" s="8" t="s">
        <v>344</v>
      </c>
      <c r="M337" s="8" t="s">
        <v>27</v>
      </c>
      <c r="N337" s="2" t="s">
        <v>20296</v>
      </c>
      <c r="O337" s="8" t="s">
        <v>1013</v>
      </c>
      <c r="P337" s="8" t="s">
        <v>401</v>
      </c>
      <c r="Q337" s="12" t="s">
        <v>20297</v>
      </c>
      <c r="R337" s="8" t="s">
        <v>100</v>
      </c>
      <c r="S337" s="8" t="s">
        <v>28</v>
      </c>
      <c r="T337" s="6"/>
      <c r="U337" s="8"/>
      <c r="AN337" s="8"/>
      <c r="AO337" s="8"/>
      <c r="AP337" s="8"/>
      <c r="AQ337" s="8"/>
      <c r="AR337" s="8"/>
      <c r="AS337" s="8"/>
      <c r="AT337" s="8"/>
    </row>
    <row r="338" spans="1:46" ht="13" customHeight="1">
      <c r="A338" s="8" t="s">
        <v>355</v>
      </c>
      <c r="B338" s="16">
        <v>21</v>
      </c>
      <c r="C338" s="8" t="s">
        <v>20</v>
      </c>
      <c r="D338" s="8" t="s">
        <v>85</v>
      </c>
      <c r="E338" s="8" t="s">
        <v>356</v>
      </c>
      <c r="F338" s="17">
        <v>42262</v>
      </c>
      <c r="G338" s="8" t="s">
        <v>20298</v>
      </c>
      <c r="H338" s="8" t="s">
        <v>357</v>
      </c>
      <c r="I338" s="8" t="s">
        <v>25</v>
      </c>
      <c r="J338" s="16" t="s">
        <v>20299</v>
      </c>
      <c r="K338" s="2" t="s">
        <v>20300</v>
      </c>
      <c r="L338" s="8" t="s">
        <v>20301</v>
      </c>
      <c r="M338" s="8" t="s">
        <v>27</v>
      </c>
      <c r="N338" s="2" t="s">
        <v>20302</v>
      </c>
      <c r="O338" s="8" t="s">
        <v>400</v>
      </c>
      <c r="P338" s="8" t="s">
        <v>401</v>
      </c>
      <c r="Q338" s="12" t="s">
        <v>20303</v>
      </c>
      <c r="R338" s="8" t="s">
        <v>29</v>
      </c>
      <c r="S338" s="8" t="s">
        <v>28</v>
      </c>
      <c r="T338" s="8"/>
      <c r="U338" s="8"/>
      <c r="AI338" s="8"/>
      <c r="AJ338" s="8"/>
      <c r="AK338" s="8"/>
      <c r="AL338" s="8"/>
      <c r="AM338" s="8"/>
    </row>
    <row r="339" spans="1:46" ht="13" customHeight="1">
      <c r="A339" s="8" t="s">
        <v>350</v>
      </c>
      <c r="B339" s="16">
        <v>32</v>
      </c>
      <c r="C339" s="8" t="s">
        <v>20</v>
      </c>
      <c r="D339" s="8" t="s">
        <v>48</v>
      </c>
      <c r="F339" s="17">
        <v>42262</v>
      </c>
      <c r="G339" s="8" t="s">
        <v>351</v>
      </c>
      <c r="H339" s="8" t="s">
        <v>98</v>
      </c>
      <c r="I339" s="8" t="s">
        <v>45</v>
      </c>
      <c r="L339" s="8" t="s">
        <v>99</v>
      </c>
      <c r="M339" s="8" t="s">
        <v>27</v>
      </c>
      <c r="N339" s="2" t="s">
        <v>21545</v>
      </c>
      <c r="P339" s="8" t="s">
        <v>401</v>
      </c>
      <c r="Q339" s="12" t="str">
        <f>HYPERLINK("http://abc7.com/news/suspect-killed-in-panorama-city-officer-involved-shooting/986303/","http://abc7.com/news/suspect-killed-in-panorama-city-officer-involved-shooting/986303/")</f>
        <v>http://abc7.com/news/suspect-killed-in-panorama-city-officer-involved-shooting/986303/</v>
      </c>
      <c r="S339" s="8" t="s">
        <v>28</v>
      </c>
      <c r="T339" s="8"/>
      <c r="U339" s="8"/>
      <c r="AI339" s="8"/>
      <c r="AJ339" s="8"/>
      <c r="AK339" s="8"/>
      <c r="AL339" s="8"/>
      <c r="AM339" s="8"/>
    </row>
    <row r="340" spans="1:46" ht="13" customHeight="1">
      <c r="A340" s="8" t="s">
        <v>345</v>
      </c>
      <c r="B340" s="16">
        <v>28</v>
      </c>
      <c r="C340" s="8" t="s">
        <v>20</v>
      </c>
      <c r="D340" s="8" t="s">
        <v>30</v>
      </c>
      <c r="E340" s="8" t="s">
        <v>346</v>
      </c>
      <c r="F340" s="17">
        <v>42262</v>
      </c>
      <c r="G340" s="8" t="s">
        <v>347</v>
      </c>
      <c r="H340" s="8" t="s">
        <v>348</v>
      </c>
      <c r="I340" s="8" t="s">
        <v>45</v>
      </c>
      <c r="L340" s="8" t="s">
        <v>349</v>
      </c>
      <c r="M340" s="8" t="s">
        <v>27</v>
      </c>
      <c r="N340" s="62" t="s">
        <v>21526</v>
      </c>
      <c r="O340" s="8" t="s">
        <v>400</v>
      </c>
      <c r="P340" s="8" t="s">
        <v>401</v>
      </c>
      <c r="Q340" s="12" t="str">
        <f>HYPERLINK("http://www.vvng.com/barstow-man-killed-in-officer-involved-shooting/","http://www.vvng.com/barstow-man-killed-in-officer-involved-shooting/")</f>
        <v>http://www.vvng.com/barstow-man-killed-in-officer-involved-shooting/</v>
      </c>
      <c r="S340" s="8" t="s">
        <v>35</v>
      </c>
      <c r="T340" s="8"/>
      <c r="U340" s="8"/>
    </row>
    <row r="341" spans="1:46" ht="13" customHeight="1">
      <c r="A341" s="8" t="s">
        <v>364</v>
      </c>
      <c r="B341" s="16">
        <v>52</v>
      </c>
      <c r="C341" s="8" t="s">
        <v>20</v>
      </c>
      <c r="D341" s="8" t="s">
        <v>85</v>
      </c>
      <c r="E341" s="8" t="s">
        <v>365</v>
      </c>
      <c r="F341" s="17">
        <v>42261</v>
      </c>
      <c r="G341" s="8" t="s">
        <v>19321</v>
      </c>
      <c r="H341" s="8" t="s">
        <v>151</v>
      </c>
      <c r="I341" s="8" t="s">
        <v>366</v>
      </c>
      <c r="J341" s="16">
        <v>27610</v>
      </c>
      <c r="K341" s="2" t="s">
        <v>693</v>
      </c>
      <c r="L341" s="8" t="s">
        <v>17594</v>
      </c>
      <c r="M341" s="8" t="s">
        <v>2297</v>
      </c>
      <c r="N341" s="2" t="s">
        <v>19317</v>
      </c>
      <c r="O341" s="8" t="s">
        <v>400</v>
      </c>
      <c r="P341" s="8" t="s">
        <v>401</v>
      </c>
      <c r="Q341" s="12" t="str">
        <f>HYPERLINK("http://wncn.com/2015/09/14/man-dies-while-in-custody-of-raleigh-police-investigation-underway/","http://wncn.com/2015/09/14/man-dies-while-in-custody-of-raleigh-police-investigation-underway/")</f>
        <v>http://wncn.com/2015/09/14/man-dies-while-in-custody-of-raleigh-police-investigation-underway/</v>
      </c>
      <c r="S341" s="8" t="s">
        <v>28</v>
      </c>
      <c r="T341" s="8"/>
      <c r="U341" s="8"/>
      <c r="AI341" s="8"/>
      <c r="AJ341" s="8"/>
      <c r="AK341" s="8"/>
      <c r="AL341" s="8"/>
      <c r="AM341" s="8"/>
    </row>
    <row r="342" spans="1:46" ht="13" customHeight="1">
      <c r="A342" s="8" t="s">
        <v>361</v>
      </c>
      <c r="B342" s="16">
        <v>49</v>
      </c>
      <c r="C342" s="8" t="s">
        <v>20</v>
      </c>
      <c r="D342" s="8" t="s">
        <v>85</v>
      </c>
      <c r="E342" s="8" t="s">
        <v>362</v>
      </c>
      <c r="F342" s="17">
        <v>42261</v>
      </c>
      <c r="G342" s="8" t="s">
        <v>19319</v>
      </c>
      <c r="H342" s="8" t="s">
        <v>1613</v>
      </c>
      <c r="I342" s="8" t="s">
        <v>363</v>
      </c>
      <c r="J342" s="16">
        <v>67501</v>
      </c>
      <c r="K342" s="2" t="s">
        <v>1615</v>
      </c>
      <c r="L342" s="8" t="s">
        <v>19320</v>
      </c>
      <c r="M342" s="8" t="s">
        <v>29</v>
      </c>
      <c r="N342" s="2" t="s">
        <v>19318</v>
      </c>
      <c r="O342" s="8" t="s">
        <v>400</v>
      </c>
      <c r="P342" s="8" t="s">
        <v>401</v>
      </c>
      <c r="Q342" s="12" t="str">
        <f>HYPERLINK("http://ksn.com/2015/09/14/inmate-death-reported-at-hutchinson-correctional-facility/","http://ksn.com/2015/09/14/inmate-death-reported-at-hutchinson-correctional-facility/")</f>
        <v>http://ksn.com/2015/09/14/inmate-death-reported-at-hutchinson-correctional-facility/</v>
      </c>
      <c r="S342" s="8" t="s">
        <v>28</v>
      </c>
      <c r="T342" s="6"/>
      <c r="U342" s="8"/>
      <c r="AI342" s="8"/>
      <c r="AJ342" s="8"/>
      <c r="AK342" s="8"/>
      <c r="AL342" s="8"/>
      <c r="AM342" s="8"/>
    </row>
    <row r="343" spans="1:46" ht="13" customHeight="1">
      <c r="A343" s="8" t="s">
        <v>371</v>
      </c>
      <c r="B343" s="16">
        <v>25</v>
      </c>
      <c r="C343" s="8" t="s">
        <v>20</v>
      </c>
      <c r="D343" s="8" t="s">
        <v>85</v>
      </c>
      <c r="E343" s="8" t="s">
        <v>372</v>
      </c>
      <c r="F343" s="17">
        <v>42260</v>
      </c>
      <c r="G343" s="8" t="s">
        <v>373</v>
      </c>
      <c r="H343" s="8" t="s">
        <v>374</v>
      </c>
      <c r="I343" s="8" t="s">
        <v>315</v>
      </c>
      <c r="J343" s="16">
        <v>42038</v>
      </c>
      <c r="K343" s="2" t="s">
        <v>18483</v>
      </c>
      <c r="L343" s="8" t="s">
        <v>29</v>
      </c>
      <c r="M343" s="8" t="s">
        <v>27</v>
      </c>
      <c r="N343" s="2" t="s">
        <v>21547</v>
      </c>
      <c r="O343" s="8" t="s">
        <v>400</v>
      </c>
      <c r="P343" s="8" t="s">
        <v>401</v>
      </c>
      <c r="Q343" s="12" t="str">
        <f>HYPERLINK("http://www.courier-journal.com/story/news/local/2015/09/14/ky-trooper-shot-western-kentucky-after-chase/72241764/","http://www.courier-journal.com/story/news/local/2015/09/14/ky-trooper-shot-western-kentucky-after-chase/72241764/")</f>
        <v>http://www.courier-journal.com/story/news/local/2015/09/14/ky-trooper-shot-western-kentucky-after-chase/72241764/</v>
      </c>
      <c r="S343" s="8" t="s">
        <v>28</v>
      </c>
      <c r="T343" s="8"/>
      <c r="U343" s="8"/>
      <c r="AI343" s="8"/>
      <c r="AJ343" s="8"/>
      <c r="AK343" s="8"/>
      <c r="AL343" s="8"/>
      <c r="AM343" s="8"/>
    </row>
    <row r="344" spans="1:46" ht="13" customHeight="1">
      <c r="A344" s="8" t="s">
        <v>21392</v>
      </c>
      <c r="B344" s="16">
        <v>35</v>
      </c>
      <c r="C344" s="8" t="s">
        <v>20</v>
      </c>
      <c r="D344" s="8" t="s">
        <v>85</v>
      </c>
      <c r="F344" s="17">
        <v>42260</v>
      </c>
      <c r="G344" s="8" t="s">
        <v>21393</v>
      </c>
      <c r="H344" s="8" t="s">
        <v>21394</v>
      </c>
      <c r="I344" s="8" t="s">
        <v>62</v>
      </c>
      <c r="J344" s="16" t="s">
        <v>21395</v>
      </c>
      <c r="K344" s="2" t="s">
        <v>21396</v>
      </c>
      <c r="L344" s="8" t="s">
        <v>5474</v>
      </c>
      <c r="M344" s="8" t="s">
        <v>379</v>
      </c>
      <c r="N344" s="2" t="s">
        <v>21397</v>
      </c>
      <c r="O344" s="8" t="s">
        <v>400</v>
      </c>
      <c r="P344" s="2" t="s">
        <v>401</v>
      </c>
      <c r="Q344" s="8" t="s">
        <v>21398</v>
      </c>
      <c r="R344" s="8" t="s">
        <v>29</v>
      </c>
      <c r="S344" s="61" t="s">
        <v>379</v>
      </c>
    </row>
    <row r="345" spans="1:46" ht="13" customHeight="1">
      <c r="A345" s="8" t="s">
        <v>375</v>
      </c>
      <c r="B345" s="16">
        <v>29</v>
      </c>
      <c r="C345" s="8" t="s">
        <v>20</v>
      </c>
      <c r="D345" s="8" t="s">
        <v>37</v>
      </c>
      <c r="E345" s="8" t="s">
        <v>376</v>
      </c>
      <c r="F345" s="17">
        <v>42260</v>
      </c>
      <c r="G345" s="8" t="s">
        <v>29</v>
      </c>
      <c r="H345" s="8" t="s">
        <v>377</v>
      </c>
      <c r="I345" s="8" t="s">
        <v>73</v>
      </c>
      <c r="L345" s="8" t="s">
        <v>378</v>
      </c>
      <c r="M345" s="8" t="s">
        <v>27</v>
      </c>
      <c r="N345" s="2" t="s">
        <v>21546</v>
      </c>
      <c r="P345" s="8" t="s">
        <v>401</v>
      </c>
      <c r="Q345" s="12" t="str">
        <f>HYPERLINK("http://www.tylerpaper.com/TP-Breaking+Silent/224089/jeffrey-brooks-fugitive-shot-and-killed-by-law-enforcement-officers-near-clute","http://www.tylerpaper.com/TP-Breaking+Silent/224089/jeffrey-brooks-fugitive-shot-and-killed-by-law-enforcement-officers-near-clute")</f>
        <v>http://www.tylerpaper.com/TP-Breaking+Silent/224089/jeffrey-brooks-fugitive-shot-and-killed-by-law-enforcement-officers-near-clute</v>
      </c>
      <c r="S345" s="8" t="s">
        <v>28</v>
      </c>
      <c r="T345" s="8"/>
      <c r="U345" s="8"/>
      <c r="AN345" s="8"/>
      <c r="AO345" s="8"/>
      <c r="AP345" s="8"/>
      <c r="AQ345" s="8"/>
      <c r="AR345" s="8"/>
      <c r="AS345" s="8"/>
      <c r="AT345" s="8"/>
    </row>
    <row r="346" spans="1:46" ht="13" customHeight="1">
      <c r="A346" s="8" t="s">
        <v>367</v>
      </c>
      <c r="B346" s="16">
        <v>39</v>
      </c>
      <c r="C346" s="8" t="s">
        <v>20</v>
      </c>
      <c r="D346" s="8" t="s">
        <v>37</v>
      </c>
      <c r="F346" s="17">
        <v>42260</v>
      </c>
      <c r="G346" s="8" t="s">
        <v>368</v>
      </c>
      <c r="H346" s="8" t="s">
        <v>369</v>
      </c>
      <c r="I346" s="8" t="s">
        <v>370</v>
      </c>
      <c r="L346" s="8" t="s">
        <v>119</v>
      </c>
      <c r="M346" s="8" t="s">
        <v>27</v>
      </c>
      <c r="N346" s="2" t="s">
        <v>21548</v>
      </c>
      <c r="P346" s="8" t="s">
        <v>401</v>
      </c>
      <c r="Q346" s="12" t="str">
        <f>HYPERLINK("http://www.kwwl.com/story/30019391/2015/09/13/officer-involved-shooting-near-wellman-leaves-one-person-dead","http://www.kwwl.com/story/30019391/2015/09/13/officer-involved-shooting-near-wellman-leaves-one-person-dead")</f>
        <v>http://www.kwwl.com/story/30019391/2015/09/13/officer-involved-shooting-near-wellman-leaves-one-person-dead</v>
      </c>
      <c r="S346" s="8" t="s">
        <v>28</v>
      </c>
      <c r="T346" s="6"/>
      <c r="U346" s="8"/>
      <c r="AN346" s="8"/>
      <c r="AO346" s="8"/>
      <c r="AP346" s="8"/>
      <c r="AQ346" s="8"/>
      <c r="AR346" s="8"/>
      <c r="AS346" s="8"/>
      <c r="AT346" s="8"/>
    </row>
    <row r="347" spans="1:46" ht="13" customHeight="1">
      <c r="A347" s="8" t="s">
        <v>384</v>
      </c>
      <c r="B347" s="16">
        <v>45</v>
      </c>
      <c r="C347" s="8" t="s">
        <v>20</v>
      </c>
      <c r="D347" s="8" t="s">
        <v>37</v>
      </c>
      <c r="E347" s="8" t="s">
        <v>385</v>
      </c>
      <c r="F347" s="17">
        <v>42259</v>
      </c>
      <c r="G347" s="8" t="s">
        <v>386</v>
      </c>
      <c r="H347" s="8" t="s">
        <v>387</v>
      </c>
      <c r="I347" s="8" t="s">
        <v>319</v>
      </c>
      <c r="J347" s="16" t="s">
        <v>20309</v>
      </c>
      <c r="K347" s="2" t="s">
        <v>2692</v>
      </c>
      <c r="L347" s="8" t="s">
        <v>2693</v>
      </c>
      <c r="M347" s="8" t="s">
        <v>27</v>
      </c>
      <c r="N347" s="2" t="s">
        <v>20310</v>
      </c>
      <c r="O347" s="8" t="s">
        <v>400</v>
      </c>
      <c r="P347" s="8" t="s">
        <v>401</v>
      </c>
      <c r="Q347" s="12" t="s">
        <v>20311</v>
      </c>
      <c r="R347" s="8" t="s">
        <v>100</v>
      </c>
      <c r="S347" s="8" t="s">
        <v>28</v>
      </c>
      <c r="T347" s="8"/>
      <c r="U347" s="8"/>
      <c r="AN347" s="8"/>
      <c r="AO347" s="8"/>
      <c r="AP347" s="8"/>
      <c r="AQ347" s="8"/>
      <c r="AR347" s="8"/>
      <c r="AS347" s="8"/>
      <c r="AT347" s="8"/>
    </row>
    <row r="348" spans="1:46" ht="13" customHeight="1">
      <c r="A348" s="8" t="s">
        <v>380</v>
      </c>
      <c r="B348" s="16">
        <v>23</v>
      </c>
      <c r="C348" s="8" t="s">
        <v>20</v>
      </c>
      <c r="D348" s="8" t="s">
        <v>37</v>
      </c>
      <c r="E348" s="8" t="s">
        <v>381</v>
      </c>
      <c r="F348" s="17">
        <v>42259</v>
      </c>
      <c r="G348" s="8" t="s">
        <v>20304</v>
      </c>
      <c r="H348" s="8" t="s">
        <v>382</v>
      </c>
      <c r="I348" s="8" t="s">
        <v>94</v>
      </c>
      <c r="J348" s="16" t="s">
        <v>20305</v>
      </c>
      <c r="K348" s="2" t="s">
        <v>20306</v>
      </c>
      <c r="L348" s="8" t="s">
        <v>383</v>
      </c>
      <c r="M348" s="8" t="s">
        <v>27</v>
      </c>
      <c r="N348" s="2" t="s">
        <v>20307</v>
      </c>
      <c r="O348" s="8" t="s">
        <v>400</v>
      </c>
      <c r="P348" s="8" t="s">
        <v>401</v>
      </c>
      <c r="Q348" s="12" t="s">
        <v>20308</v>
      </c>
      <c r="R348" s="8" t="s">
        <v>29</v>
      </c>
      <c r="S348" s="8" t="s">
        <v>35</v>
      </c>
      <c r="T348" s="8"/>
      <c r="U348" s="8"/>
      <c r="AN348" s="8"/>
      <c r="AO348" s="8"/>
      <c r="AP348" s="8"/>
      <c r="AQ348" s="8"/>
      <c r="AR348" s="8"/>
      <c r="AS348" s="8"/>
      <c r="AT348" s="8"/>
    </row>
    <row r="349" spans="1:46" ht="13" customHeight="1">
      <c r="A349" s="8" t="s">
        <v>392</v>
      </c>
      <c r="B349" s="16">
        <v>67</v>
      </c>
      <c r="C349" s="8" t="s">
        <v>20</v>
      </c>
      <c r="D349" s="8" t="s">
        <v>85</v>
      </c>
      <c r="E349" s="8" t="s">
        <v>385</v>
      </c>
      <c r="F349" s="17">
        <v>42258</v>
      </c>
      <c r="G349" s="8" t="s">
        <v>393</v>
      </c>
      <c r="H349" s="8" t="s">
        <v>394</v>
      </c>
      <c r="I349" s="8" t="s">
        <v>395</v>
      </c>
      <c r="J349" s="16" t="s">
        <v>396</v>
      </c>
      <c r="K349" s="2" t="s">
        <v>397</v>
      </c>
      <c r="L349" s="8" t="s">
        <v>398</v>
      </c>
      <c r="M349" s="8" t="s">
        <v>27</v>
      </c>
      <c r="N349" s="2" t="s">
        <v>399</v>
      </c>
      <c r="O349" s="8" t="s">
        <v>400</v>
      </c>
      <c r="P349" s="8" t="s">
        <v>401</v>
      </c>
      <c r="Q349" s="12" t="s">
        <v>402</v>
      </c>
      <c r="S349" s="7" t="s">
        <v>28</v>
      </c>
      <c r="T349" s="8"/>
      <c r="U349" s="8"/>
      <c r="AI349" s="8"/>
      <c r="AJ349" s="8"/>
      <c r="AK349" s="8"/>
      <c r="AL349" s="8"/>
      <c r="AM349" s="8"/>
    </row>
    <row r="350" spans="1:46" ht="13" customHeight="1">
      <c r="A350" s="8" t="s">
        <v>4957</v>
      </c>
      <c r="B350" s="16" t="s">
        <v>29</v>
      </c>
      <c r="C350" s="8" t="s">
        <v>20</v>
      </c>
      <c r="D350" s="8" t="s">
        <v>30</v>
      </c>
      <c r="F350" s="17">
        <v>42258</v>
      </c>
      <c r="G350" s="8" t="s">
        <v>20373</v>
      </c>
      <c r="H350" s="8" t="s">
        <v>403</v>
      </c>
      <c r="I350" s="8" t="s">
        <v>404</v>
      </c>
      <c r="J350" s="16" t="s">
        <v>1963</v>
      </c>
      <c r="K350" s="2" t="s">
        <v>909</v>
      </c>
      <c r="L350" s="8" t="s">
        <v>405</v>
      </c>
      <c r="M350" s="8" t="s">
        <v>27</v>
      </c>
      <c r="N350" s="2" t="s">
        <v>20374</v>
      </c>
      <c r="O350" s="8" t="s">
        <v>400</v>
      </c>
      <c r="P350" s="8" t="s">
        <v>401</v>
      </c>
      <c r="Q350" s="12" t="s">
        <v>20375</v>
      </c>
      <c r="R350" s="8" t="s">
        <v>100</v>
      </c>
      <c r="S350" s="8" t="s">
        <v>35</v>
      </c>
      <c r="T350" s="8"/>
      <c r="U350" s="8"/>
    </row>
    <row r="351" spans="1:46" ht="13" customHeight="1">
      <c r="A351" s="8" t="s">
        <v>352</v>
      </c>
      <c r="B351" s="16">
        <v>44</v>
      </c>
      <c r="C351" s="8" t="s">
        <v>20</v>
      </c>
      <c r="D351" s="8" t="s">
        <v>37</v>
      </c>
      <c r="F351" s="17">
        <v>42258</v>
      </c>
      <c r="G351" s="8" t="s">
        <v>20312</v>
      </c>
      <c r="H351" s="8" t="s">
        <v>353</v>
      </c>
      <c r="I351" s="8" t="s">
        <v>209</v>
      </c>
      <c r="J351" s="16" t="s">
        <v>20313</v>
      </c>
      <c r="K351" s="2" t="s">
        <v>999</v>
      </c>
      <c r="L351" s="8" t="s">
        <v>354</v>
      </c>
      <c r="M351" s="8" t="s">
        <v>27</v>
      </c>
      <c r="N351" s="2" t="s">
        <v>20314</v>
      </c>
      <c r="O351" s="8" t="s">
        <v>400</v>
      </c>
      <c r="P351" s="8" t="s">
        <v>401</v>
      </c>
      <c r="Q351" s="12" t="s">
        <v>20315</v>
      </c>
      <c r="R351" s="8" t="s">
        <v>100</v>
      </c>
      <c r="S351" s="8" t="s">
        <v>28</v>
      </c>
      <c r="T351" s="8"/>
      <c r="U351" s="8"/>
      <c r="AN351" s="8"/>
      <c r="AO351" s="8"/>
      <c r="AP351" s="8"/>
      <c r="AQ351" s="8"/>
      <c r="AR351" s="8"/>
      <c r="AS351" s="8"/>
      <c r="AT351" s="8"/>
    </row>
    <row r="352" spans="1:46" ht="13" customHeight="1">
      <c r="A352" s="8" t="s">
        <v>421</v>
      </c>
      <c r="B352" s="16">
        <v>31</v>
      </c>
      <c r="C352" s="8" t="s">
        <v>20</v>
      </c>
      <c r="D352" s="8" t="s">
        <v>21</v>
      </c>
      <c r="F352" s="17">
        <v>42257</v>
      </c>
      <c r="G352" s="8" t="s">
        <v>20328</v>
      </c>
      <c r="H352" s="8" t="s">
        <v>422</v>
      </c>
      <c r="I352" s="8" t="s">
        <v>423</v>
      </c>
      <c r="J352" s="16" t="s">
        <v>20329</v>
      </c>
      <c r="K352" s="2" t="s">
        <v>20330</v>
      </c>
      <c r="L352" s="8" t="s">
        <v>424</v>
      </c>
      <c r="M352" s="8" t="s">
        <v>27</v>
      </c>
      <c r="N352" s="2" t="s">
        <v>20331</v>
      </c>
      <c r="O352" s="8" t="s">
        <v>19819</v>
      </c>
      <c r="P352" s="8" t="s">
        <v>401</v>
      </c>
      <c r="Q352" s="12" t="s">
        <v>20332</v>
      </c>
      <c r="R352" s="8" t="s">
        <v>29</v>
      </c>
      <c r="S352" s="8" t="s">
        <v>28</v>
      </c>
      <c r="T352" s="8"/>
      <c r="U352" s="8"/>
    </row>
    <row r="353" spans="1:46" ht="13" customHeight="1">
      <c r="A353" s="8" t="s">
        <v>417</v>
      </c>
      <c r="B353" s="16">
        <v>29</v>
      </c>
      <c r="C353" s="8" t="s">
        <v>20</v>
      </c>
      <c r="D353" s="8" t="s">
        <v>85</v>
      </c>
      <c r="E353" s="8" t="s">
        <v>418</v>
      </c>
      <c r="F353" s="17">
        <v>42257</v>
      </c>
      <c r="G353" s="8" t="s">
        <v>20320</v>
      </c>
      <c r="H353" s="8" t="s">
        <v>216</v>
      </c>
      <c r="I353" s="8" t="s">
        <v>217</v>
      </c>
      <c r="J353" s="16" t="s">
        <v>419</v>
      </c>
      <c r="K353" s="2" t="s">
        <v>420</v>
      </c>
      <c r="L353" s="8" t="s">
        <v>20321</v>
      </c>
      <c r="M353" s="8" t="s">
        <v>27</v>
      </c>
      <c r="N353" s="2" t="s">
        <v>20322</v>
      </c>
      <c r="O353" s="8" t="s">
        <v>1013</v>
      </c>
      <c r="P353" s="8" t="s">
        <v>401</v>
      </c>
      <c r="Q353" s="12" t="s">
        <v>20323</v>
      </c>
      <c r="R353" s="8" t="s">
        <v>100</v>
      </c>
      <c r="S353" s="7" t="s">
        <v>28</v>
      </c>
      <c r="T353" s="8"/>
      <c r="U353" s="8"/>
      <c r="AI353" s="8"/>
      <c r="AJ353" s="8"/>
      <c r="AK353" s="8"/>
      <c r="AL353" s="8"/>
      <c r="AM353" s="8"/>
    </row>
    <row r="354" spans="1:46" ht="13" customHeight="1">
      <c r="A354" s="8" t="s">
        <v>410</v>
      </c>
      <c r="B354" s="16">
        <v>41</v>
      </c>
      <c r="C354" s="8" t="s">
        <v>20</v>
      </c>
      <c r="D354" s="8" t="s">
        <v>48</v>
      </c>
      <c r="E354" s="8" t="s">
        <v>411</v>
      </c>
      <c r="F354" s="17">
        <v>42257</v>
      </c>
      <c r="G354" s="8" t="s">
        <v>412</v>
      </c>
      <c r="H354" s="8" t="s">
        <v>413</v>
      </c>
      <c r="I354" s="8" t="s">
        <v>45</v>
      </c>
      <c r="J354" s="16" t="s">
        <v>20324</v>
      </c>
      <c r="K354" s="2" t="s">
        <v>98</v>
      </c>
      <c r="L354" s="8" t="s">
        <v>20325</v>
      </c>
      <c r="M354" s="8" t="s">
        <v>27</v>
      </c>
      <c r="N354" s="2" t="s">
        <v>20326</v>
      </c>
      <c r="O354" s="8" t="s">
        <v>400</v>
      </c>
      <c r="P354" s="8" t="s">
        <v>401</v>
      </c>
      <c r="Q354" s="12" t="s">
        <v>20327</v>
      </c>
      <c r="R354" s="8" t="s">
        <v>100</v>
      </c>
      <c r="S354" s="8" t="s">
        <v>28</v>
      </c>
      <c r="T354" s="8"/>
      <c r="U354" s="8"/>
      <c r="AI354" s="8"/>
      <c r="AJ354" s="8"/>
      <c r="AK354" s="8"/>
      <c r="AL354" s="8"/>
      <c r="AM354" s="8"/>
    </row>
    <row r="355" spans="1:46" ht="13" customHeight="1">
      <c r="A355" s="8" t="s">
        <v>20131</v>
      </c>
      <c r="B355" s="16">
        <v>34</v>
      </c>
      <c r="C355" s="8" t="s">
        <v>20</v>
      </c>
      <c r="D355" s="8" t="s">
        <v>48</v>
      </c>
      <c r="F355" s="17">
        <v>42257</v>
      </c>
      <c r="G355" s="8" t="s">
        <v>20376</v>
      </c>
      <c r="H355" s="8" t="s">
        <v>415</v>
      </c>
      <c r="I355" s="8" t="s">
        <v>45</v>
      </c>
      <c r="J355" s="16" t="s">
        <v>3663</v>
      </c>
      <c r="K355" s="2" t="s">
        <v>309</v>
      </c>
      <c r="L355" s="8" t="s">
        <v>416</v>
      </c>
      <c r="M355" s="8" t="s">
        <v>27</v>
      </c>
      <c r="N355" s="2" t="s">
        <v>20377</v>
      </c>
      <c r="O355" s="8" t="s">
        <v>400</v>
      </c>
      <c r="P355" s="8" t="s">
        <v>401</v>
      </c>
      <c r="Q355" s="12" t="s">
        <v>20378</v>
      </c>
      <c r="R355" s="8" t="s">
        <v>100</v>
      </c>
      <c r="S355" s="8" t="s">
        <v>28</v>
      </c>
      <c r="T355" s="8"/>
      <c r="U355" s="8"/>
    </row>
    <row r="356" spans="1:46" ht="13" customHeight="1">
      <c r="A356" s="8" t="s">
        <v>406</v>
      </c>
      <c r="B356" s="16">
        <v>32</v>
      </c>
      <c r="C356" s="8" t="s">
        <v>20</v>
      </c>
      <c r="D356" s="8" t="s">
        <v>37</v>
      </c>
      <c r="E356" s="8" t="s">
        <v>407</v>
      </c>
      <c r="F356" s="17">
        <v>42257</v>
      </c>
      <c r="G356" s="8" t="s">
        <v>20316</v>
      </c>
      <c r="H356" s="8" t="s">
        <v>408</v>
      </c>
      <c r="I356" s="8" t="s">
        <v>45</v>
      </c>
      <c r="J356" s="16" t="s">
        <v>20317</v>
      </c>
      <c r="K356" s="2" t="s">
        <v>1765</v>
      </c>
      <c r="L356" s="8" t="s">
        <v>409</v>
      </c>
      <c r="M356" s="8" t="s">
        <v>27</v>
      </c>
      <c r="N356" s="2" t="s">
        <v>20318</v>
      </c>
      <c r="O356" s="8" t="s">
        <v>1013</v>
      </c>
      <c r="P356" s="8" t="s">
        <v>401</v>
      </c>
      <c r="Q356" s="12" t="s">
        <v>20319</v>
      </c>
      <c r="R356" s="8" t="s">
        <v>100</v>
      </c>
      <c r="S356" s="8" t="s">
        <v>28</v>
      </c>
      <c r="T356" s="8"/>
      <c r="U356" s="8"/>
      <c r="AN356" s="8"/>
      <c r="AO356" s="8"/>
      <c r="AP356" s="8"/>
      <c r="AQ356" s="8"/>
      <c r="AR356" s="8"/>
      <c r="AS356" s="8"/>
      <c r="AT356" s="8"/>
    </row>
    <row r="357" spans="1:46" ht="13" customHeight="1">
      <c r="A357" s="8" t="s">
        <v>358</v>
      </c>
      <c r="B357" s="16">
        <v>59</v>
      </c>
      <c r="C357" s="8" t="s">
        <v>20</v>
      </c>
      <c r="D357" s="8" t="s">
        <v>21</v>
      </c>
      <c r="F357" s="17">
        <v>42256</v>
      </c>
      <c r="G357" s="8" t="s">
        <v>20344</v>
      </c>
      <c r="H357" s="8" t="s">
        <v>359</v>
      </c>
      <c r="I357" s="8" t="s">
        <v>45</v>
      </c>
      <c r="J357" s="16" t="s">
        <v>20345</v>
      </c>
      <c r="K357" s="2" t="s">
        <v>98</v>
      </c>
      <c r="L357" s="8" t="s">
        <v>360</v>
      </c>
      <c r="M357" s="8" t="s">
        <v>27</v>
      </c>
      <c r="N357" s="2" t="s">
        <v>20346</v>
      </c>
      <c r="O357" s="8" t="s">
        <v>1013</v>
      </c>
      <c r="P357" s="8" t="s">
        <v>401</v>
      </c>
      <c r="Q357" s="12" t="s">
        <v>20347</v>
      </c>
      <c r="R357" s="8" t="s">
        <v>100</v>
      </c>
      <c r="S357" s="8" t="s">
        <v>28</v>
      </c>
      <c r="T357" s="8"/>
      <c r="U357" s="8"/>
    </row>
    <row r="358" spans="1:46" ht="13" customHeight="1">
      <c r="A358" s="8" t="s">
        <v>429</v>
      </c>
      <c r="B358" s="16">
        <v>27</v>
      </c>
      <c r="C358" s="8" t="s">
        <v>20</v>
      </c>
      <c r="D358" s="8" t="s">
        <v>85</v>
      </c>
      <c r="F358" s="17">
        <v>42256</v>
      </c>
      <c r="G358" s="8" t="s">
        <v>20337</v>
      </c>
      <c r="H358" s="8" t="s">
        <v>430</v>
      </c>
      <c r="I358" s="8" t="s">
        <v>431</v>
      </c>
      <c r="J358" s="16" t="s">
        <v>432</v>
      </c>
      <c r="K358" s="2" t="s">
        <v>433</v>
      </c>
      <c r="L358" s="8" t="s">
        <v>434</v>
      </c>
      <c r="M358" s="8" t="s">
        <v>27</v>
      </c>
      <c r="N358" s="2" t="s">
        <v>21529</v>
      </c>
      <c r="O358" s="8" t="s">
        <v>400</v>
      </c>
      <c r="P358" s="8" t="s">
        <v>401</v>
      </c>
      <c r="Q358" s="12" t="s">
        <v>20338</v>
      </c>
      <c r="R358" s="8" t="s">
        <v>555</v>
      </c>
      <c r="S358" s="7" t="s">
        <v>28</v>
      </c>
      <c r="T358" s="8"/>
      <c r="U358" s="8"/>
      <c r="AI358" s="8"/>
      <c r="AJ358" s="8"/>
      <c r="AK358" s="8"/>
      <c r="AL358" s="8"/>
      <c r="AM358" s="8"/>
    </row>
    <row r="359" spans="1:46" ht="13" customHeight="1">
      <c r="A359" s="8" t="s">
        <v>425</v>
      </c>
      <c r="B359" s="16">
        <v>33</v>
      </c>
      <c r="C359" s="8" t="s">
        <v>20</v>
      </c>
      <c r="D359" s="8" t="s">
        <v>139</v>
      </c>
      <c r="E359" s="8" t="s">
        <v>426</v>
      </c>
      <c r="F359" s="17">
        <v>42256</v>
      </c>
      <c r="G359" s="8" t="s">
        <v>20339</v>
      </c>
      <c r="H359" s="8" t="s">
        <v>427</v>
      </c>
      <c r="I359" s="8" t="s">
        <v>330</v>
      </c>
      <c r="J359" s="16" t="s">
        <v>20340</v>
      </c>
      <c r="K359" s="2" t="s">
        <v>20341</v>
      </c>
      <c r="L359" s="8" t="s">
        <v>428</v>
      </c>
      <c r="M359" s="8" t="s">
        <v>27</v>
      </c>
      <c r="N359" s="2" t="s">
        <v>20342</v>
      </c>
      <c r="O359" s="8" t="s">
        <v>400</v>
      </c>
      <c r="P359" s="8" t="s">
        <v>401</v>
      </c>
      <c r="Q359" s="12" t="s">
        <v>20343</v>
      </c>
      <c r="R359" s="8" t="s">
        <v>100</v>
      </c>
      <c r="S359" s="8" t="s">
        <v>28</v>
      </c>
      <c r="T359" s="8"/>
      <c r="U359" s="8"/>
    </row>
    <row r="360" spans="1:46" ht="13" customHeight="1">
      <c r="A360" s="8" t="s">
        <v>435</v>
      </c>
      <c r="B360" s="16">
        <v>25</v>
      </c>
      <c r="C360" s="8" t="s">
        <v>20</v>
      </c>
      <c r="D360" s="8" t="s">
        <v>37</v>
      </c>
      <c r="E360" s="8" t="s">
        <v>436</v>
      </c>
      <c r="F360" s="17">
        <v>42256</v>
      </c>
      <c r="G360" s="8" t="s">
        <v>20333</v>
      </c>
      <c r="H360" s="8" t="s">
        <v>437</v>
      </c>
      <c r="I360" s="8" t="s">
        <v>438</v>
      </c>
      <c r="J360" s="16" t="s">
        <v>20334</v>
      </c>
      <c r="K360" s="2" t="s">
        <v>4089</v>
      </c>
      <c r="L360" s="8" t="s">
        <v>439</v>
      </c>
      <c r="M360" s="8" t="s">
        <v>27</v>
      </c>
      <c r="N360" s="2" t="s">
        <v>20335</v>
      </c>
      <c r="O360" s="8" t="s">
        <v>400</v>
      </c>
      <c r="P360" s="8" t="s">
        <v>401</v>
      </c>
      <c r="Q360" s="12" t="s">
        <v>20336</v>
      </c>
      <c r="R360" s="8" t="s">
        <v>100</v>
      </c>
      <c r="S360" s="8" t="s">
        <v>28</v>
      </c>
      <c r="T360" s="8"/>
      <c r="U360" s="8"/>
      <c r="AN360" s="8"/>
      <c r="AO360" s="8"/>
      <c r="AP360" s="8"/>
      <c r="AQ360" s="8"/>
      <c r="AR360" s="8"/>
      <c r="AS360" s="8"/>
      <c r="AT360" s="8"/>
    </row>
    <row r="361" spans="1:46" ht="13" customHeight="1">
      <c r="A361" s="8" t="s">
        <v>326</v>
      </c>
      <c r="B361" s="16">
        <v>19</v>
      </c>
      <c r="C361" s="8" t="s">
        <v>20</v>
      </c>
      <c r="D361" s="8" t="s">
        <v>139</v>
      </c>
      <c r="E361" s="8" t="s">
        <v>327</v>
      </c>
      <c r="F361" s="17">
        <v>42255</v>
      </c>
      <c r="G361" s="8" t="s">
        <v>328</v>
      </c>
      <c r="H361" s="8" t="s">
        <v>329</v>
      </c>
      <c r="I361" s="8" t="s">
        <v>330</v>
      </c>
      <c r="J361" s="16" t="s">
        <v>20351</v>
      </c>
      <c r="K361" s="2" t="s">
        <v>20341</v>
      </c>
      <c r="L361" s="8" t="s">
        <v>331</v>
      </c>
      <c r="M361" s="8" t="s">
        <v>27</v>
      </c>
      <c r="N361" s="2" t="s">
        <v>20352</v>
      </c>
      <c r="O361" s="8" t="s">
        <v>400</v>
      </c>
      <c r="P361" s="8" t="s">
        <v>401</v>
      </c>
      <c r="Q361" s="12" t="s">
        <v>20353</v>
      </c>
      <c r="R361" s="8" t="s">
        <v>100</v>
      </c>
      <c r="S361" s="8" t="s">
        <v>28</v>
      </c>
      <c r="T361" s="8"/>
      <c r="U361" s="8"/>
    </row>
    <row r="362" spans="1:46" ht="13" customHeight="1">
      <c r="A362" s="8" t="s">
        <v>388</v>
      </c>
      <c r="B362" s="16">
        <v>24</v>
      </c>
      <c r="C362" s="8" t="s">
        <v>20</v>
      </c>
      <c r="D362" s="8" t="s">
        <v>37</v>
      </c>
      <c r="E362" s="8" t="s">
        <v>389</v>
      </c>
      <c r="F362" s="17">
        <v>42255</v>
      </c>
      <c r="G362" s="8" t="s">
        <v>20348</v>
      </c>
      <c r="H362" s="8" t="s">
        <v>204</v>
      </c>
      <c r="I362" s="8" t="s">
        <v>69</v>
      </c>
      <c r="J362" s="16" t="s">
        <v>20237</v>
      </c>
      <c r="K362" s="2" t="s">
        <v>3485</v>
      </c>
      <c r="L362" s="8" t="s">
        <v>390</v>
      </c>
      <c r="M362" s="8" t="s">
        <v>391</v>
      </c>
      <c r="N362" s="2" t="s">
        <v>20349</v>
      </c>
      <c r="O362" s="8" t="s">
        <v>400</v>
      </c>
      <c r="P362" s="8" t="s">
        <v>401</v>
      </c>
      <c r="Q362" s="12" t="s">
        <v>20350</v>
      </c>
      <c r="R362" s="8" t="s">
        <v>29</v>
      </c>
      <c r="S362" s="8" t="s">
        <v>18</v>
      </c>
      <c r="T362" s="8"/>
      <c r="U362" s="8"/>
      <c r="AN362" s="8"/>
      <c r="AO362" s="8"/>
      <c r="AP362" s="8"/>
      <c r="AQ362" s="8"/>
      <c r="AR362" s="8"/>
      <c r="AS362" s="8"/>
      <c r="AT362" s="8"/>
    </row>
    <row r="363" spans="1:46" ht="13" customHeight="1">
      <c r="A363" s="8" t="s">
        <v>443</v>
      </c>
      <c r="B363" s="16">
        <v>41</v>
      </c>
      <c r="C363" s="8" t="s">
        <v>20</v>
      </c>
      <c r="D363" s="8" t="s">
        <v>85</v>
      </c>
      <c r="E363" s="8" t="s">
        <v>21232</v>
      </c>
      <c r="F363" s="17">
        <v>42254</v>
      </c>
      <c r="G363" s="8" t="s">
        <v>20356</v>
      </c>
      <c r="H363" s="8" t="s">
        <v>444</v>
      </c>
      <c r="I363" s="8" t="s">
        <v>57</v>
      </c>
      <c r="J363" s="16" t="s">
        <v>20357</v>
      </c>
      <c r="K363" s="2" t="s">
        <v>1132</v>
      </c>
      <c r="L363" s="8" t="s">
        <v>445</v>
      </c>
      <c r="M363" s="8" t="s">
        <v>3169</v>
      </c>
      <c r="N363" s="2" t="s">
        <v>20358</v>
      </c>
      <c r="O363" s="8" t="s">
        <v>400</v>
      </c>
      <c r="P363" s="8" t="s">
        <v>401</v>
      </c>
      <c r="Q363" s="12" t="s">
        <v>20359</v>
      </c>
      <c r="R363" s="8" t="s">
        <v>100</v>
      </c>
      <c r="S363" s="8" t="s">
        <v>18</v>
      </c>
      <c r="T363" s="8"/>
      <c r="U363" s="8"/>
      <c r="AI363" s="8"/>
      <c r="AJ363" s="8"/>
      <c r="AK363" s="8"/>
      <c r="AL363" s="8"/>
      <c r="AM363" s="8"/>
    </row>
    <row r="364" spans="1:46" ht="13" customHeight="1">
      <c r="A364" s="8" t="s">
        <v>440</v>
      </c>
      <c r="B364" s="16">
        <v>45</v>
      </c>
      <c r="C364" s="8" t="s">
        <v>20</v>
      </c>
      <c r="D364" s="8" t="s">
        <v>48</v>
      </c>
      <c r="E364" s="8" t="s">
        <v>441</v>
      </c>
      <c r="F364" s="17">
        <v>42254</v>
      </c>
      <c r="G364" s="8" t="s">
        <v>442</v>
      </c>
      <c r="H364" s="8" t="s">
        <v>200</v>
      </c>
      <c r="I364" s="8" t="s">
        <v>45</v>
      </c>
      <c r="J364" s="16" t="s">
        <v>13250</v>
      </c>
      <c r="K364" s="2" t="s">
        <v>200</v>
      </c>
      <c r="L364" s="8" t="s">
        <v>201</v>
      </c>
      <c r="M364" s="8" t="s">
        <v>27</v>
      </c>
      <c r="N364" s="2" t="s">
        <v>20354</v>
      </c>
      <c r="O364" s="8" t="s">
        <v>400</v>
      </c>
      <c r="P364" s="8" t="s">
        <v>401</v>
      </c>
      <c r="Q364" s="12" t="s">
        <v>20355</v>
      </c>
      <c r="R364" s="8" t="s">
        <v>100</v>
      </c>
      <c r="S364" s="8" t="s">
        <v>28</v>
      </c>
      <c r="T364" s="8"/>
      <c r="U364" s="8"/>
      <c r="AI364" s="8"/>
      <c r="AJ364" s="8"/>
      <c r="AK364" s="8"/>
      <c r="AL364" s="8"/>
      <c r="AM364" s="8"/>
    </row>
    <row r="365" spans="1:46" ht="13" customHeight="1">
      <c r="A365" s="8" t="s">
        <v>451</v>
      </c>
      <c r="B365" s="16">
        <v>1</v>
      </c>
      <c r="C365" s="8" t="s">
        <v>20</v>
      </c>
      <c r="D365" s="8" t="s">
        <v>37</v>
      </c>
      <c r="E365" s="8" t="s">
        <v>452</v>
      </c>
      <c r="F365" s="17">
        <v>42254</v>
      </c>
      <c r="G365" s="8" t="s">
        <v>21256</v>
      </c>
      <c r="H365" s="8" t="s">
        <v>21257</v>
      </c>
      <c r="I365" s="8" t="s">
        <v>319</v>
      </c>
      <c r="K365" s="2" t="s">
        <v>8435</v>
      </c>
      <c r="L365" s="8" t="s">
        <v>21255</v>
      </c>
      <c r="M365" s="8" t="s">
        <v>27</v>
      </c>
      <c r="N365" s="2" t="s">
        <v>21254</v>
      </c>
      <c r="O365" s="8" t="s">
        <v>1161</v>
      </c>
      <c r="P365" s="8" t="s">
        <v>1162</v>
      </c>
      <c r="Q365" s="59" t="str">
        <f>HYPERLINK("http://wreg.com/2015/09/24/paris-police-officer-charged-for-murdering-his-own-son/","http://wreg.com/2015/09/24/paris-police-officer-charged-for-murdering-his-own-son/")</f>
        <v>http://wreg.com/2015/09/24/paris-police-officer-charged-for-murdering-his-own-son/</v>
      </c>
      <c r="S365" s="7" t="s">
        <v>18</v>
      </c>
      <c r="T365" s="8"/>
      <c r="U365" s="8"/>
      <c r="AN365" s="13"/>
      <c r="AO365" s="13"/>
      <c r="AP365" s="13"/>
      <c r="AQ365" s="13"/>
      <c r="AR365" s="13"/>
      <c r="AS365" s="13"/>
      <c r="AT365" s="13"/>
    </row>
    <row r="366" spans="1:46" ht="13" customHeight="1">
      <c r="A366" s="8" t="s">
        <v>446</v>
      </c>
      <c r="B366" s="16">
        <v>42</v>
      </c>
      <c r="C366" s="8" t="s">
        <v>20</v>
      </c>
      <c r="D366" s="8" t="s">
        <v>37</v>
      </c>
      <c r="E366" s="8" t="s">
        <v>447</v>
      </c>
      <c r="F366" s="17">
        <v>42254</v>
      </c>
      <c r="G366" s="8" t="s">
        <v>448</v>
      </c>
      <c r="H366" s="8" t="s">
        <v>449</v>
      </c>
      <c r="I366" s="8" t="s">
        <v>195</v>
      </c>
      <c r="J366" s="16" t="s">
        <v>1733</v>
      </c>
      <c r="K366" s="2" t="s">
        <v>789</v>
      </c>
      <c r="L366" s="8" t="s">
        <v>450</v>
      </c>
      <c r="M366" s="8" t="s">
        <v>27</v>
      </c>
      <c r="N366" s="2" t="s">
        <v>20360</v>
      </c>
      <c r="O366" s="8" t="s">
        <v>400</v>
      </c>
      <c r="P366" s="8" t="s">
        <v>401</v>
      </c>
      <c r="Q366" s="12" t="s">
        <v>20361</v>
      </c>
      <c r="R366" s="8" t="s">
        <v>100</v>
      </c>
      <c r="S366" s="8" t="s">
        <v>28</v>
      </c>
      <c r="T366" s="8"/>
      <c r="U366" s="8"/>
      <c r="AN366" s="8"/>
      <c r="AO366" s="8"/>
      <c r="AP366" s="8"/>
      <c r="AQ366" s="8"/>
      <c r="AR366" s="8"/>
      <c r="AS366" s="8"/>
      <c r="AT366" s="8"/>
    </row>
    <row r="367" spans="1:46" ht="13" customHeight="1">
      <c r="A367" s="8" t="s">
        <v>457</v>
      </c>
      <c r="B367" s="16">
        <v>28</v>
      </c>
      <c r="C367" s="8" t="s">
        <v>20</v>
      </c>
      <c r="D367" s="8" t="s">
        <v>21</v>
      </c>
      <c r="E367" s="8" t="s">
        <v>458</v>
      </c>
      <c r="F367" s="17">
        <v>42253</v>
      </c>
      <c r="G367" s="8" t="s">
        <v>20370</v>
      </c>
      <c r="H367" s="8" t="s">
        <v>459</v>
      </c>
      <c r="I367" s="8" t="s">
        <v>25</v>
      </c>
      <c r="J367" s="16" t="s">
        <v>5943</v>
      </c>
      <c r="K367" s="2" t="s">
        <v>5944</v>
      </c>
      <c r="L367" s="8" t="s">
        <v>460</v>
      </c>
      <c r="M367" s="8" t="s">
        <v>27</v>
      </c>
      <c r="N367" s="2" t="s">
        <v>20371</v>
      </c>
      <c r="O367" s="8" t="s">
        <v>400</v>
      </c>
      <c r="P367" s="8" t="s">
        <v>401</v>
      </c>
      <c r="Q367" s="12" t="s">
        <v>20372</v>
      </c>
      <c r="R367" s="8" t="s">
        <v>555</v>
      </c>
      <c r="S367" s="8" t="s">
        <v>28</v>
      </c>
      <c r="T367" s="8"/>
      <c r="U367" s="8"/>
    </row>
    <row r="368" spans="1:46" ht="13" customHeight="1">
      <c r="A368" s="8" t="s">
        <v>453</v>
      </c>
      <c r="B368" s="16">
        <v>59</v>
      </c>
      <c r="C368" s="8" t="s">
        <v>20</v>
      </c>
      <c r="D368" s="8" t="s">
        <v>48</v>
      </c>
      <c r="E368" s="8" t="s">
        <v>454</v>
      </c>
      <c r="F368" s="17">
        <v>42253</v>
      </c>
      <c r="G368" s="8" t="s">
        <v>455</v>
      </c>
      <c r="H368" s="8" t="s">
        <v>213</v>
      </c>
      <c r="I368" s="8" t="s">
        <v>62</v>
      </c>
      <c r="J368" s="16" t="s">
        <v>20367</v>
      </c>
      <c r="K368" s="2" t="s">
        <v>161</v>
      </c>
      <c r="L368" s="8" t="s">
        <v>456</v>
      </c>
      <c r="M368" s="8" t="s">
        <v>27</v>
      </c>
      <c r="N368" s="2" t="s">
        <v>20368</v>
      </c>
      <c r="O368" s="8" t="s">
        <v>400</v>
      </c>
      <c r="P368" s="8" t="s">
        <v>401</v>
      </c>
      <c r="Q368" s="12" t="s">
        <v>20369</v>
      </c>
      <c r="R368" s="8" t="s">
        <v>100</v>
      </c>
      <c r="S368" s="8" t="s">
        <v>28</v>
      </c>
      <c r="T368" s="8"/>
      <c r="U368" s="8"/>
      <c r="AI368" s="8"/>
      <c r="AJ368" s="8"/>
      <c r="AK368" s="8"/>
      <c r="AL368" s="8"/>
      <c r="AM368" s="8"/>
    </row>
    <row r="369" spans="1:46" ht="13" customHeight="1">
      <c r="A369" s="8" t="s">
        <v>464</v>
      </c>
      <c r="B369" s="16">
        <v>45</v>
      </c>
      <c r="C369" s="8" t="s">
        <v>20</v>
      </c>
      <c r="D369" s="8" t="s">
        <v>48</v>
      </c>
      <c r="E369" s="8" t="s">
        <v>465</v>
      </c>
      <c r="F369" s="17">
        <v>42253</v>
      </c>
      <c r="G369" s="8" t="s">
        <v>466</v>
      </c>
      <c r="H369" s="8" t="s">
        <v>467</v>
      </c>
      <c r="I369" s="8" t="s">
        <v>195</v>
      </c>
      <c r="J369" s="16" t="s">
        <v>20362</v>
      </c>
      <c r="K369" s="2" t="s">
        <v>20363</v>
      </c>
      <c r="L369" s="8" t="s">
        <v>20364</v>
      </c>
      <c r="M369" s="8" t="s">
        <v>3386</v>
      </c>
      <c r="N369" s="2" t="s">
        <v>20365</v>
      </c>
      <c r="O369" s="8" t="s">
        <v>400</v>
      </c>
      <c r="P369" s="8" t="s">
        <v>401</v>
      </c>
      <c r="Q369" s="12" t="s">
        <v>20366</v>
      </c>
      <c r="R369" s="8" t="s">
        <v>100</v>
      </c>
      <c r="S369" s="8" t="s">
        <v>18</v>
      </c>
      <c r="T369" s="8"/>
      <c r="U369" s="8"/>
      <c r="AI369" s="8"/>
      <c r="AJ369" s="8"/>
      <c r="AK369" s="8"/>
      <c r="AL369" s="8"/>
      <c r="AM369" s="8"/>
    </row>
    <row r="370" spans="1:46" ht="13" customHeight="1">
      <c r="A370" s="8" t="s">
        <v>468</v>
      </c>
      <c r="B370" s="16">
        <v>63</v>
      </c>
      <c r="C370" s="8" t="s">
        <v>20</v>
      </c>
      <c r="D370" s="8" t="s">
        <v>37</v>
      </c>
      <c r="E370" s="8" t="s">
        <v>469</v>
      </c>
      <c r="F370" s="17">
        <v>42253</v>
      </c>
      <c r="G370" s="8" t="s">
        <v>470</v>
      </c>
      <c r="H370" s="8" t="s">
        <v>471</v>
      </c>
      <c r="I370" s="8" t="s">
        <v>472</v>
      </c>
      <c r="J370" s="16" t="s">
        <v>10985</v>
      </c>
      <c r="K370" s="2" t="s">
        <v>471</v>
      </c>
      <c r="L370" s="8" t="s">
        <v>473</v>
      </c>
      <c r="M370" s="8" t="s">
        <v>3386</v>
      </c>
      <c r="N370" s="2" t="s">
        <v>20379</v>
      </c>
      <c r="O370" s="8" t="s">
        <v>400</v>
      </c>
      <c r="P370" s="8" t="s">
        <v>401</v>
      </c>
      <c r="Q370" s="12" t="s">
        <v>20380</v>
      </c>
      <c r="R370" s="8" t="s">
        <v>100</v>
      </c>
      <c r="S370" s="8" t="s">
        <v>18</v>
      </c>
      <c r="T370" s="8"/>
      <c r="U370" s="8"/>
      <c r="AN370" s="8"/>
      <c r="AO370" s="8"/>
      <c r="AP370" s="8"/>
      <c r="AQ370" s="8"/>
      <c r="AR370" s="8"/>
      <c r="AS370" s="8"/>
      <c r="AT370" s="8"/>
    </row>
    <row r="371" spans="1:46" ht="13" customHeight="1">
      <c r="A371" s="8" t="s">
        <v>461</v>
      </c>
      <c r="B371" s="16">
        <v>50</v>
      </c>
      <c r="C371" s="8" t="s">
        <v>20</v>
      </c>
      <c r="D371" s="8" t="s">
        <v>37</v>
      </c>
      <c r="E371" s="8" t="s">
        <v>462</v>
      </c>
      <c r="F371" s="17">
        <v>42253</v>
      </c>
      <c r="H371" s="8" t="s">
        <v>1631</v>
      </c>
      <c r="I371" s="8" t="s">
        <v>463</v>
      </c>
      <c r="L371" s="8" t="s">
        <v>2258</v>
      </c>
      <c r="M371" s="8" t="s">
        <v>2297</v>
      </c>
      <c r="P371" s="8" t="s">
        <v>401</v>
      </c>
      <c r="Q371" s="59" t="str">
        <f>HYPERLINK("http://www.omaha.com/news/metro/man-who-had-trouble-breathing-while-being-arrested-has-died/article_6868fb7c-54f8-11e5-bf00-0f25174cd9cb.html","http://www.omaha.com/news/metro/man-who-had-trouble-breathing-while-being-arrested-has-died/article_6868fb7c-54f8-11e5-bf00-0f25174cd9cb.html")</f>
        <v>http://www.omaha.com/news/metro/man-who-had-trouble-breathing-while-being-arrested-has-died/article_6868fb7c-54f8-11e5-bf00-0f25174cd9cb.html</v>
      </c>
      <c r="S371" s="8" t="s">
        <v>28</v>
      </c>
      <c r="T371" s="8"/>
      <c r="U371" s="8"/>
      <c r="AN371" s="8"/>
      <c r="AO371" s="8"/>
      <c r="AP371" s="8"/>
      <c r="AQ371" s="8"/>
      <c r="AR371" s="8"/>
      <c r="AS371" s="8"/>
      <c r="AT371" s="8"/>
    </row>
    <row r="372" spans="1:46" ht="13" customHeight="1">
      <c r="A372" s="8" t="s">
        <v>491</v>
      </c>
      <c r="B372" s="16">
        <v>21</v>
      </c>
      <c r="C372" s="8" t="s">
        <v>20</v>
      </c>
      <c r="D372" s="8" t="s">
        <v>85</v>
      </c>
      <c r="E372" s="8" t="s">
        <v>492</v>
      </c>
      <c r="F372" s="17">
        <v>42252</v>
      </c>
      <c r="G372" s="8" t="s">
        <v>20382</v>
      </c>
      <c r="H372" s="8" t="s">
        <v>493</v>
      </c>
      <c r="I372" s="8" t="s">
        <v>366</v>
      </c>
      <c r="J372" s="16" t="s">
        <v>494</v>
      </c>
      <c r="K372" s="2" t="s">
        <v>493</v>
      </c>
      <c r="L372" s="8" t="s">
        <v>495</v>
      </c>
      <c r="M372" s="8" t="s">
        <v>27</v>
      </c>
      <c r="N372" s="2" t="s">
        <v>20383</v>
      </c>
      <c r="O372" s="8" t="s">
        <v>400</v>
      </c>
      <c r="P372" s="8" t="s">
        <v>401</v>
      </c>
      <c r="Q372" s="12" t="s">
        <v>20384</v>
      </c>
      <c r="R372" s="8" t="s">
        <v>555</v>
      </c>
      <c r="S372" s="7" t="s">
        <v>28</v>
      </c>
      <c r="T372" s="8"/>
      <c r="U372" s="8"/>
      <c r="AI372" s="8"/>
      <c r="AJ372" s="8"/>
      <c r="AK372" s="8"/>
      <c r="AL372" s="8"/>
      <c r="AM372" s="8"/>
    </row>
    <row r="373" spans="1:46" ht="13" customHeight="1">
      <c r="A373" s="8" t="s">
        <v>480</v>
      </c>
      <c r="B373" s="16">
        <v>55</v>
      </c>
      <c r="C373" s="8" t="s">
        <v>20</v>
      </c>
      <c r="D373" s="8" t="s">
        <v>85</v>
      </c>
      <c r="E373" s="8" t="s">
        <v>481</v>
      </c>
      <c r="F373" s="17">
        <v>42252</v>
      </c>
      <c r="G373" s="8" t="s">
        <v>476</v>
      </c>
      <c r="H373" s="8" t="s">
        <v>477</v>
      </c>
      <c r="I373" s="8" t="s">
        <v>244</v>
      </c>
      <c r="J373" s="16" t="s">
        <v>478</v>
      </c>
      <c r="K373" s="2" t="s">
        <v>13369</v>
      </c>
      <c r="L373" s="8" t="s">
        <v>479</v>
      </c>
      <c r="M373" s="8" t="s">
        <v>27</v>
      </c>
      <c r="N373" s="2" t="s">
        <v>21451</v>
      </c>
      <c r="O373" s="8" t="s">
        <v>400</v>
      </c>
      <c r="P373" s="8" t="s">
        <v>401</v>
      </c>
      <c r="Q373" s="12" t="s">
        <v>20381</v>
      </c>
      <c r="R373" s="8" t="s">
        <v>100</v>
      </c>
      <c r="S373" s="7" t="s">
        <v>28</v>
      </c>
      <c r="T373" s="8"/>
      <c r="U373" s="8"/>
      <c r="AI373" s="8"/>
      <c r="AJ373" s="8"/>
      <c r="AK373" s="8"/>
      <c r="AL373" s="8"/>
      <c r="AM373" s="8"/>
    </row>
    <row r="374" spans="1:46" ht="13" customHeight="1">
      <c r="A374" s="8" t="s">
        <v>474</v>
      </c>
      <c r="B374" s="16">
        <v>28</v>
      </c>
      <c r="C374" s="8" t="s">
        <v>114</v>
      </c>
      <c r="D374" s="8" t="s">
        <v>85</v>
      </c>
      <c r="E374" s="8" t="s">
        <v>475</v>
      </c>
      <c r="F374" s="17">
        <v>42252</v>
      </c>
      <c r="G374" s="8" t="s">
        <v>476</v>
      </c>
      <c r="H374" s="8" t="s">
        <v>477</v>
      </c>
      <c r="I374" s="8" t="s">
        <v>244</v>
      </c>
      <c r="J374" s="16" t="s">
        <v>478</v>
      </c>
      <c r="K374" s="2" t="s">
        <v>13369</v>
      </c>
      <c r="L374" s="8" t="s">
        <v>479</v>
      </c>
      <c r="M374" s="8" t="s">
        <v>27</v>
      </c>
      <c r="N374" s="2" t="s">
        <v>21451</v>
      </c>
      <c r="O374" s="8" t="s">
        <v>400</v>
      </c>
      <c r="P374" s="8" t="s">
        <v>401</v>
      </c>
      <c r="Q374" s="12" t="s">
        <v>20381</v>
      </c>
      <c r="R374" s="8" t="s">
        <v>100</v>
      </c>
      <c r="S374" s="7" t="s">
        <v>18</v>
      </c>
      <c r="T374" s="8"/>
      <c r="U374" s="8"/>
      <c r="AI374" s="8"/>
      <c r="AJ374" s="8"/>
      <c r="AK374" s="8"/>
      <c r="AL374" s="8"/>
      <c r="AM374" s="8"/>
    </row>
    <row r="375" spans="1:46" ht="13" customHeight="1">
      <c r="A375" s="8" t="s">
        <v>482</v>
      </c>
      <c r="B375" s="16">
        <v>32</v>
      </c>
      <c r="C375" s="8" t="s">
        <v>20</v>
      </c>
      <c r="D375" s="8" t="s">
        <v>48</v>
      </c>
      <c r="E375" s="8" t="s">
        <v>483</v>
      </c>
      <c r="F375" s="17">
        <v>42252</v>
      </c>
      <c r="G375" s="8" t="s">
        <v>484</v>
      </c>
      <c r="H375" s="8" t="s">
        <v>485</v>
      </c>
      <c r="I375" s="8" t="s">
        <v>45</v>
      </c>
      <c r="J375" s="16" t="s">
        <v>20043</v>
      </c>
      <c r="K375" s="2" t="s">
        <v>309</v>
      </c>
      <c r="L375" s="8" t="s">
        <v>486</v>
      </c>
      <c r="M375" s="8" t="s">
        <v>27</v>
      </c>
      <c r="N375" s="2" t="s">
        <v>20385</v>
      </c>
      <c r="O375" s="8" t="s">
        <v>400</v>
      </c>
      <c r="P375" s="8" t="s">
        <v>401</v>
      </c>
      <c r="Q375" s="12" t="s">
        <v>20386</v>
      </c>
      <c r="R375" s="8" t="s">
        <v>100</v>
      </c>
      <c r="S375" s="8" t="s">
        <v>28</v>
      </c>
      <c r="T375" s="8"/>
      <c r="U375" s="8"/>
      <c r="AI375" s="8"/>
      <c r="AJ375" s="8"/>
      <c r="AK375" s="8"/>
      <c r="AL375" s="8"/>
      <c r="AM375" s="8"/>
    </row>
    <row r="376" spans="1:46" ht="13" customHeight="1">
      <c r="A376" s="8" t="s">
        <v>487</v>
      </c>
      <c r="B376" s="16">
        <v>47</v>
      </c>
      <c r="C376" s="8" t="s">
        <v>20</v>
      </c>
      <c r="D376" s="8" t="s">
        <v>48</v>
      </c>
      <c r="E376" s="8" t="s">
        <v>488</v>
      </c>
      <c r="F376" s="17">
        <v>42252</v>
      </c>
      <c r="G376" s="8" t="s">
        <v>20387</v>
      </c>
      <c r="H376" s="8" t="s">
        <v>489</v>
      </c>
      <c r="I376" s="8" t="s">
        <v>45</v>
      </c>
      <c r="J376" s="16" t="s">
        <v>18175</v>
      </c>
      <c r="K376" s="2" t="s">
        <v>98</v>
      </c>
      <c r="L376" s="8" t="s">
        <v>490</v>
      </c>
      <c r="M376" s="8" t="s">
        <v>391</v>
      </c>
      <c r="N376" s="2" t="s">
        <v>20388</v>
      </c>
      <c r="O376" s="8" t="s">
        <v>400</v>
      </c>
      <c r="P376" s="8" t="s">
        <v>401</v>
      </c>
      <c r="Q376" s="12" t="s">
        <v>20389</v>
      </c>
      <c r="R376" s="8" t="s">
        <v>967</v>
      </c>
      <c r="S376" s="8" t="s">
        <v>18</v>
      </c>
      <c r="T376" s="8"/>
      <c r="U376" s="8"/>
      <c r="Y376" s="8"/>
      <c r="Z376" s="8"/>
      <c r="AA376" s="8"/>
      <c r="AB376" s="8"/>
      <c r="AC376" s="8"/>
      <c r="AD376" s="8"/>
      <c r="AE376" s="8"/>
      <c r="AF376" s="8"/>
      <c r="AG376" s="8"/>
      <c r="AH376" s="8"/>
      <c r="AI376" s="8"/>
      <c r="AJ376" s="8"/>
      <c r="AK376" s="8"/>
      <c r="AL376" s="8"/>
      <c r="AM376" s="8"/>
    </row>
    <row r="377" spans="1:46" ht="13" customHeight="1">
      <c r="A377" s="8" t="s">
        <v>512</v>
      </c>
      <c r="B377" s="16">
        <v>37</v>
      </c>
      <c r="C377" s="8" t="s">
        <v>20</v>
      </c>
      <c r="D377" s="8" t="s">
        <v>21</v>
      </c>
      <c r="E377" s="8" t="s">
        <v>513</v>
      </c>
      <c r="F377" s="17">
        <v>42251</v>
      </c>
      <c r="G377" s="8" t="s">
        <v>20390</v>
      </c>
      <c r="H377" s="8" t="s">
        <v>514</v>
      </c>
      <c r="I377" s="8" t="s">
        <v>143</v>
      </c>
      <c r="J377" s="16" t="s">
        <v>6228</v>
      </c>
      <c r="K377" s="2" t="s">
        <v>6229</v>
      </c>
      <c r="L377" s="8" t="s">
        <v>515</v>
      </c>
      <c r="M377" s="8" t="s">
        <v>27</v>
      </c>
      <c r="N377" s="2" t="s">
        <v>20391</v>
      </c>
      <c r="O377" s="8" t="s">
        <v>400</v>
      </c>
      <c r="P377" s="8" t="s">
        <v>401</v>
      </c>
      <c r="Q377" s="12" t="s">
        <v>20392</v>
      </c>
      <c r="R377" s="8" t="s">
        <v>100</v>
      </c>
      <c r="S377" s="8" t="s">
        <v>28</v>
      </c>
      <c r="T377" s="8"/>
      <c r="U377" s="8"/>
    </row>
    <row r="378" spans="1:46" ht="13" customHeight="1">
      <c r="A378" s="8" t="s">
        <v>499</v>
      </c>
      <c r="B378" s="16">
        <v>49</v>
      </c>
      <c r="C378" s="8" t="s">
        <v>20</v>
      </c>
      <c r="D378" s="8" t="s">
        <v>48</v>
      </c>
      <c r="E378" s="8" t="s">
        <v>500</v>
      </c>
      <c r="F378" s="17">
        <v>42251</v>
      </c>
      <c r="G378" s="8" t="s">
        <v>20393</v>
      </c>
      <c r="H378" s="8" t="s">
        <v>501</v>
      </c>
      <c r="I378" s="8" t="s">
        <v>217</v>
      </c>
      <c r="J378" s="16" t="s">
        <v>20394</v>
      </c>
      <c r="K378" s="2" t="s">
        <v>1064</v>
      </c>
      <c r="L378" s="8" t="s">
        <v>502</v>
      </c>
      <c r="M378" s="8" t="s">
        <v>27</v>
      </c>
      <c r="N378" s="2" t="s">
        <v>20395</v>
      </c>
      <c r="O378" s="8" t="s">
        <v>400</v>
      </c>
      <c r="P378" s="8" t="s">
        <v>401</v>
      </c>
      <c r="Q378" s="12" t="s">
        <v>20396</v>
      </c>
      <c r="R378" s="8" t="s">
        <v>100</v>
      </c>
      <c r="S378" s="8" t="s">
        <v>28</v>
      </c>
      <c r="T378" s="8"/>
      <c r="U378" s="8"/>
    </row>
    <row r="379" spans="1:46" ht="13" customHeight="1">
      <c r="A379" s="8" t="s">
        <v>496</v>
      </c>
      <c r="B379" s="16">
        <v>27</v>
      </c>
      <c r="C379" s="8" t="s">
        <v>20</v>
      </c>
      <c r="D379" s="8" t="s">
        <v>37</v>
      </c>
      <c r="E379" s="8" t="s">
        <v>497</v>
      </c>
      <c r="F379" s="17">
        <v>42251</v>
      </c>
      <c r="G379" s="8" t="s">
        <v>20401</v>
      </c>
      <c r="H379" s="8" t="s">
        <v>20402</v>
      </c>
      <c r="I379" s="8" t="s">
        <v>45</v>
      </c>
      <c r="J379" s="16" t="s">
        <v>20403</v>
      </c>
      <c r="K379" s="2" t="s">
        <v>5446</v>
      </c>
      <c r="L379" s="8" t="s">
        <v>498</v>
      </c>
      <c r="M379" s="8" t="s">
        <v>27</v>
      </c>
      <c r="N379" s="2" t="s">
        <v>20404</v>
      </c>
      <c r="O379" s="8" t="s">
        <v>400</v>
      </c>
      <c r="P379" s="8" t="s">
        <v>401</v>
      </c>
      <c r="Q379" s="12" t="s">
        <v>20405</v>
      </c>
      <c r="R379" s="8" t="s">
        <v>100</v>
      </c>
      <c r="S379" s="8" t="s">
        <v>28</v>
      </c>
      <c r="T379" s="8"/>
      <c r="U379" s="8"/>
      <c r="Y379" s="8"/>
      <c r="Z379" s="8"/>
      <c r="AA379" s="8"/>
      <c r="AB379" s="8"/>
      <c r="AC379" s="8"/>
      <c r="AD379" s="8"/>
      <c r="AE379" s="8"/>
      <c r="AF379" s="8"/>
      <c r="AG379" s="8"/>
      <c r="AH379" s="8"/>
      <c r="AN379" s="8"/>
      <c r="AO379" s="8"/>
      <c r="AP379" s="8"/>
      <c r="AQ379" s="8"/>
      <c r="AR379" s="8"/>
      <c r="AS379" s="8"/>
      <c r="AT379" s="8"/>
    </row>
    <row r="380" spans="1:46" ht="13" customHeight="1">
      <c r="A380" s="8" t="s">
        <v>516</v>
      </c>
      <c r="B380" s="16">
        <v>36</v>
      </c>
      <c r="C380" s="8" t="s">
        <v>20</v>
      </c>
      <c r="D380" s="8" t="s">
        <v>37</v>
      </c>
      <c r="E380" s="8" t="s">
        <v>517</v>
      </c>
      <c r="F380" s="17">
        <v>42251</v>
      </c>
      <c r="G380" s="8" t="s">
        <v>518</v>
      </c>
      <c r="H380" s="8" t="s">
        <v>519</v>
      </c>
      <c r="I380" s="8" t="s">
        <v>73</v>
      </c>
      <c r="J380" s="16" t="s">
        <v>20406</v>
      </c>
      <c r="K380" s="2" t="s">
        <v>1626</v>
      </c>
      <c r="L380" s="8" t="s">
        <v>20407</v>
      </c>
      <c r="M380" s="8" t="s">
        <v>27</v>
      </c>
      <c r="N380" s="2" t="s">
        <v>20408</v>
      </c>
      <c r="O380" s="8" t="s">
        <v>400</v>
      </c>
      <c r="P380" s="8" t="s">
        <v>401</v>
      </c>
      <c r="Q380" s="12" t="s">
        <v>20409</v>
      </c>
      <c r="R380" s="8" t="s">
        <v>29</v>
      </c>
      <c r="S380" s="8" t="s">
        <v>28</v>
      </c>
      <c r="T380" s="8"/>
      <c r="U380" s="8"/>
      <c r="AN380" s="8"/>
      <c r="AO380" s="8"/>
      <c r="AP380" s="8"/>
      <c r="AQ380" s="8"/>
      <c r="AR380" s="8"/>
      <c r="AS380" s="8"/>
      <c r="AT380" s="8"/>
    </row>
    <row r="381" spans="1:46" ht="13" customHeight="1">
      <c r="A381" s="8" t="s">
        <v>508</v>
      </c>
      <c r="B381" s="16">
        <v>33</v>
      </c>
      <c r="C381" s="8" t="s">
        <v>20</v>
      </c>
      <c r="D381" s="8" t="s">
        <v>37</v>
      </c>
      <c r="E381" s="8" t="s">
        <v>509</v>
      </c>
      <c r="F381" s="17">
        <v>42251</v>
      </c>
      <c r="G381" s="8" t="s">
        <v>20397</v>
      </c>
      <c r="H381" s="8" t="s">
        <v>510</v>
      </c>
      <c r="I381" s="8" t="s">
        <v>404</v>
      </c>
      <c r="J381" s="16" t="s">
        <v>20398</v>
      </c>
      <c r="K381" s="2" t="s">
        <v>8102</v>
      </c>
      <c r="L381" s="8" t="s">
        <v>511</v>
      </c>
      <c r="M381" s="8" t="s">
        <v>391</v>
      </c>
      <c r="N381" s="2" t="s">
        <v>20399</v>
      </c>
      <c r="O381" s="8" t="s">
        <v>400</v>
      </c>
      <c r="P381" s="8" t="s">
        <v>401</v>
      </c>
      <c r="Q381" s="12" t="s">
        <v>20400</v>
      </c>
      <c r="R381" s="8" t="s">
        <v>100</v>
      </c>
      <c r="S381" s="8" t="s">
        <v>18</v>
      </c>
      <c r="T381" s="8"/>
      <c r="U381" s="8"/>
      <c r="AN381" s="13"/>
      <c r="AO381" s="13"/>
      <c r="AP381" s="13"/>
      <c r="AQ381" s="13"/>
      <c r="AR381" s="13"/>
      <c r="AS381" s="13"/>
      <c r="AT381" s="13"/>
    </row>
    <row r="382" spans="1:46" ht="13" customHeight="1">
      <c r="A382" s="8" t="s">
        <v>503</v>
      </c>
      <c r="B382" s="16">
        <v>23</v>
      </c>
      <c r="C382" s="8" t="s">
        <v>20</v>
      </c>
      <c r="D382" s="8" t="s">
        <v>37</v>
      </c>
      <c r="E382" s="8" t="s">
        <v>504</v>
      </c>
      <c r="F382" s="17">
        <v>42250</v>
      </c>
      <c r="G382" s="8" t="s">
        <v>20410</v>
      </c>
      <c r="H382" s="8" t="s">
        <v>505</v>
      </c>
      <c r="I382" s="8" t="s">
        <v>506</v>
      </c>
      <c r="J382" s="16" t="s">
        <v>20411</v>
      </c>
      <c r="K382" s="2" t="s">
        <v>640</v>
      </c>
      <c r="L382" s="8" t="s">
        <v>507</v>
      </c>
      <c r="M382" s="8" t="s">
        <v>27</v>
      </c>
      <c r="N382" s="2" t="s">
        <v>20412</v>
      </c>
      <c r="O382" s="8" t="s">
        <v>400</v>
      </c>
      <c r="P382" s="8" t="s">
        <v>401</v>
      </c>
      <c r="Q382" s="12" t="s">
        <v>20413</v>
      </c>
      <c r="R382" s="8" t="s">
        <v>100</v>
      </c>
      <c r="S382" s="8" t="s">
        <v>28</v>
      </c>
      <c r="T382" s="8"/>
      <c r="U382" s="8"/>
      <c r="AN382" s="8"/>
      <c r="AO382" s="8"/>
      <c r="AP382" s="8"/>
      <c r="AQ382" s="8"/>
      <c r="AR382" s="8"/>
      <c r="AS382" s="8"/>
      <c r="AT382" s="8"/>
    </row>
    <row r="383" spans="1:46" ht="13" customHeight="1">
      <c r="A383" s="8" t="s">
        <v>521</v>
      </c>
      <c r="B383" s="16">
        <v>45</v>
      </c>
      <c r="C383" s="8" t="s">
        <v>20</v>
      </c>
      <c r="D383" s="8" t="s">
        <v>37</v>
      </c>
      <c r="F383" s="17">
        <v>42249</v>
      </c>
      <c r="G383" s="8" t="s">
        <v>20414</v>
      </c>
      <c r="H383" s="8" t="s">
        <v>522</v>
      </c>
      <c r="I383" s="8" t="s">
        <v>123</v>
      </c>
      <c r="J383" s="16" t="s">
        <v>20415</v>
      </c>
      <c r="K383" s="2" t="s">
        <v>179</v>
      </c>
      <c r="L383" s="8" t="s">
        <v>180</v>
      </c>
      <c r="M383" s="8" t="s">
        <v>27</v>
      </c>
      <c r="N383" s="2" t="s">
        <v>20416</v>
      </c>
      <c r="O383" s="8" t="s">
        <v>400</v>
      </c>
      <c r="P383" s="8" t="s">
        <v>401</v>
      </c>
      <c r="Q383" s="12" t="s">
        <v>20417</v>
      </c>
      <c r="R383" s="8" t="s">
        <v>100</v>
      </c>
      <c r="S383" s="8" t="s">
        <v>28</v>
      </c>
      <c r="T383" s="8"/>
      <c r="U383" s="8"/>
      <c r="AN383" s="8"/>
      <c r="AO383" s="8"/>
      <c r="AP383" s="8"/>
      <c r="AQ383" s="8"/>
      <c r="AR383" s="8"/>
      <c r="AS383" s="8"/>
      <c r="AT383" s="8"/>
    </row>
    <row r="384" spans="1:46" ht="13" customHeight="1">
      <c r="A384" s="8" t="s">
        <v>541</v>
      </c>
      <c r="B384" s="16">
        <v>33</v>
      </c>
      <c r="C384" s="8" t="s">
        <v>20</v>
      </c>
      <c r="D384" s="8" t="s">
        <v>85</v>
      </c>
      <c r="E384" s="8" t="s">
        <v>542</v>
      </c>
      <c r="F384" s="17">
        <v>42248</v>
      </c>
      <c r="G384" s="8" t="s">
        <v>20418</v>
      </c>
      <c r="H384" s="8" t="s">
        <v>543</v>
      </c>
      <c r="I384" s="8" t="s">
        <v>150</v>
      </c>
      <c r="J384" s="16" t="s">
        <v>544</v>
      </c>
      <c r="K384" s="2" t="s">
        <v>2914</v>
      </c>
      <c r="L384" s="8" t="s">
        <v>545</v>
      </c>
      <c r="M384" s="8" t="s">
        <v>27</v>
      </c>
      <c r="N384" s="2" t="s">
        <v>20419</v>
      </c>
      <c r="O384" s="8" t="s">
        <v>400</v>
      </c>
      <c r="P384" s="8" t="s">
        <v>401</v>
      </c>
      <c r="Q384" s="12" t="s">
        <v>20420</v>
      </c>
      <c r="R384" s="8" t="s">
        <v>100</v>
      </c>
      <c r="S384" s="7" t="s">
        <v>28</v>
      </c>
      <c r="T384" s="8"/>
      <c r="U384" s="8"/>
      <c r="AI384" s="8"/>
      <c r="AJ384" s="8"/>
      <c r="AK384" s="8"/>
      <c r="AL384" s="8"/>
      <c r="AM384" s="8"/>
    </row>
    <row r="385" spans="1:46" ht="13" customHeight="1">
      <c r="A385" s="8" t="s">
        <v>523</v>
      </c>
      <c r="B385" s="16">
        <v>18</v>
      </c>
      <c r="C385" s="8" t="s">
        <v>20</v>
      </c>
      <c r="D385" s="8" t="s">
        <v>85</v>
      </c>
      <c r="E385" s="8" t="s">
        <v>524</v>
      </c>
      <c r="F385" s="17">
        <v>42248</v>
      </c>
      <c r="G385" s="8" t="s">
        <v>525</v>
      </c>
      <c r="H385" s="8" t="s">
        <v>526</v>
      </c>
      <c r="I385" s="8" t="s">
        <v>81</v>
      </c>
      <c r="J385" s="16" t="s">
        <v>527</v>
      </c>
      <c r="K385" s="2" t="s">
        <v>528</v>
      </c>
      <c r="L385" s="8" t="s">
        <v>529</v>
      </c>
      <c r="M385" s="8" t="s">
        <v>379</v>
      </c>
      <c r="N385" s="2" t="s">
        <v>20428</v>
      </c>
      <c r="O385" s="8" t="s">
        <v>400</v>
      </c>
      <c r="P385" s="8" t="s">
        <v>401</v>
      </c>
      <c r="Q385" s="12" t="s">
        <v>530</v>
      </c>
      <c r="R385" s="8" t="s">
        <v>100</v>
      </c>
      <c r="S385" s="7" t="s">
        <v>18</v>
      </c>
      <c r="T385" s="8"/>
      <c r="U385" s="8"/>
      <c r="AI385" s="8"/>
      <c r="AJ385" s="8"/>
      <c r="AK385" s="8"/>
      <c r="AL385" s="8"/>
      <c r="AM385" s="8"/>
    </row>
    <row r="386" spans="1:46" ht="13" customHeight="1">
      <c r="A386" s="8" t="s">
        <v>536</v>
      </c>
      <c r="B386" s="16">
        <v>76</v>
      </c>
      <c r="C386" s="8" t="s">
        <v>20</v>
      </c>
      <c r="D386" s="8" t="s">
        <v>37</v>
      </c>
      <c r="F386" s="17">
        <v>42248</v>
      </c>
      <c r="G386" s="8" t="s">
        <v>20421</v>
      </c>
      <c r="H386" s="8" t="s">
        <v>537</v>
      </c>
      <c r="I386" s="8" t="s">
        <v>69</v>
      </c>
      <c r="J386" s="16" t="s">
        <v>20422</v>
      </c>
      <c r="K386" s="2" t="s">
        <v>3485</v>
      </c>
      <c r="L386" s="8" t="s">
        <v>538</v>
      </c>
      <c r="M386" s="8" t="s">
        <v>27</v>
      </c>
      <c r="N386" s="2" t="s">
        <v>20423</v>
      </c>
      <c r="O386" s="8" t="s">
        <v>400</v>
      </c>
      <c r="P386" s="8" t="s">
        <v>401</v>
      </c>
      <c r="Q386" s="12" t="s">
        <v>20424</v>
      </c>
      <c r="R386" s="8" t="s">
        <v>100</v>
      </c>
      <c r="S386" s="8" t="s">
        <v>28</v>
      </c>
      <c r="T386" s="8"/>
      <c r="U386" s="8"/>
    </row>
    <row r="387" spans="1:46" ht="13" customHeight="1">
      <c r="A387" s="8" t="s">
        <v>539</v>
      </c>
      <c r="B387" s="16">
        <v>23</v>
      </c>
      <c r="C387" s="8" t="s">
        <v>20</v>
      </c>
      <c r="D387" s="8" t="s">
        <v>37</v>
      </c>
      <c r="E387" s="8" t="s">
        <v>540</v>
      </c>
      <c r="F387" s="17">
        <v>42248</v>
      </c>
      <c r="G387" s="39" t="s">
        <v>594</v>
      </c>
      <c r="H387" s="39" t="s">
        <v>595</v>
      </c>
      <c r="I387" s="39" t="s">
        <v>73</v>
      </c>
      <c r="J387" s="39"/>
      <c r="L387" s="39" t="s">
        <v>597</v>
      </c>
      <c r="M387" s="8" t="s">
        <v>27</v>
      </c>
      <c r="N387" s="62" t="s">
        <v>21549</v>
      </c>
      <c r="P387" s="8" t="s">
        <v>401</v>
      </c>
      <c r="Q387" s="12" t="str">
        <f>HYPERLINK("http://www.kltv.com/story/29931923/man-shot-by-longview-officer-dies","http://www.kltv.com/story/29931923/man-shot-by-longview-officer-dies")</f>
        <v>http://www.kltv.com/story/29931923/man-shot-by-longview-officer-dies</v>
      </c>
      <c r="S387" s="8" t="s">
        <v>28</v>
      </c>
      <c r="T387" s="8"/>
      <c r="U387" s="8"/>
      <c r="AN387" s="8"/>
      <c r="AO387" s="8"/>
      <c r="AP387" s="8"/>
      <c r="AQ387" s="8"/>
      <c r="AR387" s="8"/>
      <c r="AS387" s="8"/>
      <c r="AT387" s="8"/>
    </row>
    <row r="388" spans="1:46" ht="13" customHeight="1">
      <c r="A388" s="8" t="s">
        <v>531</v>
      </c>
      <c r="B388" s="16">
        <v>47</v>
      </c>
      <c r="C388" s="8" t="s">
        <v>20</v>
      </c>
      <c r="D388" s="8" t="s">
        <v>37</v>
      </c>
      <c r="E388" s="8" t="s">
        <v>532</v>
      </c>
      <c r="F388" s="17">
        <v>42248</v>
      </c>
      <c r="G388" s="8" t="s">
        <v>533</v>
      </c>
      <c r="H388" s="8" t="s">
        <v>534</v>
      </c>
      <c r="I388" s="8" t="s">
        <v>195</v>
      </c>
      <c r="J388" s="16" t="s">
        <v>20425</v>
      </c>
      <c r="K388" s="2" t="s">
        <v>9350</v>
      </c>
      <c r="L388" s="8" t="s">
        <v>535</v>
      </c>
      <c r="M388" s="8" t="s">
        <v>27</v>
      </c>
      <c r="N388" s="2" t="s">
        <v>20426</v>
      </c>
      <c r="O388" s="8" t="s">
        <v>400</v>
      </c>
      <c r="P388" s="8" t="s">
        <v>401</v>
      </c>
      <c r="Q388" s="12" t="s">
        <v>20427</v>
      </c>
      <c r="R388" s="8" t="s">
        <v>100</v>
      </c>
      <c r="S388" s="8" t="s">
        <v>28</v>
      </c>
      <c r="T388" s="8"/>
      <c r="U388" s="8"/>
      <c r="V388" s="8"/>
      <c r="W388" s="8"/>
      <c r="X388" s="8"/>
      <c r="AN388" s="8"/>
      <c r="AO388" s="8"/>
      <c r="AP388" s="8"/>
      <c r="AQ388" s="8"/>
      <c r="AR388" s="8"/>
      <c r="AS388" s="8"/>
      <c r="AT388" s="8"/>
    </row>
    <row r="389" spans="1:46" ht="13" customHeight="1">
      <c r="A389" s="8" t="s">
        <v>546</v>
      </c>
      <c r="B389" s="16">
        <v>48</v>
      </c>
      <c r="C389" s="8" t="s">
        <v>20</v>
      </c>
      <c r="D389" s="8" t="s">
        <v>85</v>
      </c>
      <c r="E389" s="8" t="s">
        <v>19739</v>
      </c>
      <c r="F389" s="17">
        <v>42247</v>
      </c>
      <c r="G389" s="8" t="s">
        <v>19986</v>
      </c>
      <c r="H389" s="8" t="s">
        <v>547</v>
      </c>
      <c r="I389" s="8" t="s">
        <v>69</v>
      </c>
      <c r="J389" s="16" t="s">
        <v>19987</v>
      </c>
      <c r="K389" s="2" t="s">
        <v>548</v>
      </c>
      <c r="L389" s="8" t="s">
        <v>549</v>
      </c>
      <c r="M389" s="8" t="s">
        <v>391</v>
      </c>
      <c r="N389" s="2" t="s">
        <v>19803</v>
      </c>
      <c r="O389" s="8" t="s">
        <v>400</v>
      </c>
      <c r="P389" s="8" t="s">
        <v>401</v>
      </c>
      <c r="Q389" s="12" t="s">
        <v>19804</v>
      </c>
      <c r="R389" s="8" t="s">
        <v>100</v>
      </c>
      <c r="S389" s="8" t="s">
        <v>18</v>
      </c>
      <c r="T389" s="8"/>
      <c r="U389" s="8"/>
      <c r="AI389" s="8"/>
      <c r="AJ389" s="8"/>
      <c r="AK389" s="8"/>
      <c r="AL389" s="8"/>
      <c r="AM389" s="8"/>
    </row>
    <row r="390" spans="1:46" ht="13" customHeight="1">
      <c r="A390" s="8" t="s">
        <v>551</v>
      </c>
      <c r="B390" s="16">
        <v>46</v>
      </c>
      <c r="C390" s="8" t="s">
        <v>20</v>
      </c>
      <c r="D390" s="8" t="s">
        <v>37</v>
      </c>
      <c r="E390" s="8" t="s">
        <v>19741</v>
      </c>
      <c r="F390" s="17">
        <v>42247</v>
      </c>
      <c r="G390" s="8" t="s">
        <v>19989</v>
      </c>
      <c r="H390" s="8" t="s">
        <v>552</v>
      </c>
      <c r="I390" s="8" t="s">
        <v>209</v>
      </c>
      <c r="J390" s="16" t="s">
        <v>19990</v>
      </c>
      <c r="K390" s="2" t="s">
        <v>553</v>
      </c>
      <c r="L390" s="8" t="s">
        <v>554</v>
      </c>
      <c r="M390" s="8" t="s">
        <v>27</v>
      </c>
      <c r="N390" s="2" t="s">
        <v>19806</v>
      </c>
      <c r="O390" s="8" t="s">
        <v>400</v>
      </c>
      <c r="P390" s="8" t="s">
        <v>401</v>
      </c>
      <c r="Q390" s="12" t="s">
        <v>19807</v>
      </c>
      <c r="R390" s="8" t="s">
        <v>100</v>
      </c>
      <c r="S390" s="8" t="s">
        <v>28</v>
      </c>
      <c r="T390" s="8"/>
      <c r="U390" s="8"/>
      <c r="AN390" s="8"/>
      <c r="AO390" s="8"/>
      <c r="AP390" s="8"/>
      <c r="AQ390" s="8"/>
      <c r="AR390" s="8"/>
      <c r="AS390" s="8"/>
      <c r="AT390" s="8"/>
    </row>
    <row r="391" spans="1:46" ht="13" customHeight="1">
      <c r="A391" s="8" t="s">
        <v>556</v>
      </c>
      <c r="B391" s="16">
        <v>18</v>
      </c>
      <c r="C391" s="8" t="s">
        <v>20</v>
      </c>
      <c r="D391" s="8" t="s">
        <v>37</v>
      </c>
      <c r="E391" s="8" t="s">
        <v>19740</v>
      </c>
      <c r="F391" s="17">
        <v>42247</v>
      </c>
      <c r="G391" s="8" t="s">
        <v>557</v>
      </c>
      <c r="H391" s="8" t="s">
        <v>548</v>
      </c>
      <c r="I391" s="8" t="s">
        <v>173</v>
      </c>
      <c r="J391" s="16" t="s">
        <v>19988</v>
      </c>
      <c r="K391" s="2" t="s">
        <v>558</v>
      </c>
      <c r="L391" s="8" t="s">
        <v>559</v>
      </c>
      <c r="M391" s="8" t="s">
        <v>391</v>
      </c>
      <c r="N391" s="2" t="s">
        <v>21527</v>
      </c>
      <c r="O391" s="8" t="s">
        <v>400</v>
      </c>
      <c r="P391" s="8" t="s">
        <v>401</v>
      </c>
      <c r="Q391" s="12" t="s">
        <v>19805</v>
      </c>
      <c r="R391" s="8" t="s">
        <v>100</v>
      </c>
      <c r="S391" s="8" t="s">
        <v>18</v>
      </c>
      <c r="T391" s="8"/>
      <c r="U391" s="8"/>
      <c r="AN391" s="8"/>
      <c r="AO391" s="8"/>
      <c r="AP391" s="8"/>
      <c r="AQ391" s="8"/>
      <c r="AR391" s="8"/>
      <c r="AS391" s="8"/>
      <c r="AT391" s="8"/>
    </row>
    <row r="392" spans="1:46" ht="13" customHeight="1">
      <c r="A392" s="8" t="s">
        <v>560</v>
      </c>
      <c r="B392" s="16">
        <v>40</v>
      </c>
      <c r="C392" s="8" t="s">
        <v>20</v>
      </c>
      <c r="D392" s="8" t="s">
        <v>48</v>
      </c>
      <c r="F392" s="17">
        <v>42246</v>
      </c>
      <c r="G392" s="8" t="s">
        <v>19991</v>
      </c>
      <c r="H392" s="8" t="s">
        <v>561</v>
      </c>
      <c r="I392" s="8" t="s">
        <v>123</v>
      </c>
      <c r="J392" s="16" t="s">
        <v>19992</v>
      </c>
      <c r="K392" s="2" t="s">
        <v>562</v>
      </c>
      <c r="L392" s="8" t="s">
        <v>563</v>
      </c>
      <c r="M392" s="8" t="s">
        <v>27</v>
      </c>
      <c r="N392" s="2" t="s">
        <v>19808</v>
      </c>
      <c r="O392" s="8" t="s">
        <v>400</v>
      </c>
      <c r="P392" s="8" t="s">
        <v>401</v>
      </c>
      <c r="Q392" s="12" t="s">
        <v>19809</v>
      </c>
      <c r="R392" s="8" t="s">
        <v>100</v>
      </c>
      <c r="S392" s="8" t="s">
        <v>28</v>
      </c>
      <c r="T392" s="8"/>
      <c r="U392" s="8"/>
      <c r="AI392" s="8"/>
      <c r="AJ392" s="8"/>
      <c r="AK392" s="8"/>
      <c r="AL392" s="8"/>
      <c r="AM392" s="8"/>
    </row>
    <row r="393" spans="1:46" ht="13" customHeight="1">
      <c r="A393" s="8" t="s">
        <v>564</v>
      </c>
      <c r="B393" s="16">
        <v>20</v>
      </c>
      <c r="C393" s="8" t="s">
        <v>20</v>
      </c>
      <c r="D393" s="8" t="s">
        <v>37</v>
      </c>
      <c r="F393" s="17">
        <v>42246</v>
      </c>
      <c r="G393" s="8" t="s">
        <v>19993</v>
      </c>
      <c r="H393" s="8" t="s">
        <v>565</v>
      </c>
      <c r="I393" s="8" t="s">
        <v>395</v>
      </c>
      <c r="J393" s="16" t="s">
        <v>18816</v>
      </c>
      <c r="K393" s="2" t="s">
        <v>566</v>
      </c>
      <c r="L393" s="8" t="s">
        <v>567</v>
      </c>
      <c r="M393" s="8" t="s">
        <v>27</v>
      </c>
      <c r="N393" s="2" t="s">
        <v>19810</v>
      </c>
      <c r="O393" s="8" t="s">
        <v>550</v>
      </c>
      <c r="P393" s="8" t="s">
        <v>401</v>
      </c>
      <c r="Q393" s="12" t="s">
        <v>19811</v>
      </c>
      <c r="R393" s="8" t="s">
        <v>100</v>
      </c>
      <c r="S393" s="8" t="s">
        <v>28</v>
      </c>
      <c r="T393" s="8"/>
      <c r="U393" s="8"/>
      <c r="AN393" s="8"/>
      <c r="AO393" s="8"/>
      <c r="AP393" s="8"/>
      <c r="AQ393" s="8"/>
      <c r="AR393" s="8"/>
      <c r="AS393" s="8"/>
      <c r="AT393" s="8"/>
    </row>
    <row r="394" spans="1:46" ht="13" customHeight="1">
      <c r="A394" s="8" t="s">
        <v>568</v>
      </c>
      <c r="B394" s="16">
        <v>25</v>
      </c>
      <c r="C394" s="8" t="s">
        <v>20</v>
      </c>
      <c r="D394" s="8" t="s">
        <v>85</v>
      </c>
      <c r="E394" s="8" t="s">
        <v>19742</v>
      </c>
      <c r="F394" s="17">
        <v>42245</v>
      </c>
      <c r="G394" s="8" t="s">
        <v>569</v>
      </c>
      <c r="H394" s="8" t="s">
        <v>268</v>
      </c>
      <c r="I394" s="8" t="s">
        <v>269</v>
      </c>
      <c r="J394" s="16" t="s">
        <v>6865</v>
      </c>
      <c r="K394" s="2" t="s">
        <v>570</v>
      </c>
      <c r="L394" s="8" t="s">
        <v>571</v>
      </c>
      <c r="M394" s="8" t="s">
        <v>27</v>
      </c>
      <c r="N394" s="2" t="s">
        <v>19812</v>
      </c>
      <c r="O394" s="8" t="s">
        <v>400</v>
      </c>
      <c r="P394" s="8" t="s">
        <v>401</v>
      </c>
      <c r="Q394" s="12" t="s">
        <v>19813</v>
      </c>
      <c r="R394" s="8" t="s">
        <v>100</v>
      </c>
      <c r="S394" s="8" t="s">
        <v>28</v>
      </c>
      <c r="T394" s="8"/>
      <c r="U394" s="8"/>
      <c r="AI394" s="8"/>
      <c r="AJ394" s="8"/>
      <c r="AK394" s="8"/>
      <c r="AL394" s="8"/>
      <c r="AM394" s="8"/>
    </row>
    <row r="395" spans="1:46" ht="13" customHeight="1">
      <c r="A395" s="8" t="s">
        <v>572</v>
      </c>
      <c r="B395" s="16" t="s">
        <v>29</v>
      </c>
      <c r="C395" s="8" t="s">
        <v>20</v>
      </c>
      <c r="D395" s="8" t="s">
        <v>48</v>
      </c>
      <c r="F395" s="17">
        <v>42245</v>
      </c>
      <c r="G395" s="8" t="s">
        <v>19994</v>
      </c>
      <c r="H395" s="8" t="s">
        <v>87</v>
      </c>
      <c r="I395" s="8" t="s">
        <v>44</v>
      </c>
      <c r="J395" s="16" t="s">
        <v>13702</v>
      </c>
      <c r="K395" s="2" t="s">
        <v>88</v>
      </c>
      <c r="L395" s="8" t="s">
        <v>89</v>
      </c>
      <c r="M395" s="8" t="s">
        <v>27</v>
      </c>
      <c r="N395" s="2" t="s">
        <v>19814</v>
      </c>
      <c r="O395" s="8" t="s">
        <v>1013</v>
      </c>
      <c r="P395" s="8" t="s">
        <v>401</v>
      </c>
      <c r="Q395" s="12" t="s">
        <v>19815</v>
      </c>
      <c r="R395" s="8" t="s">
        <v>100</v>
      </c>
      <c r="S395" s="8" t="s">
        <v>379</v>
      </c>
      <c r="T395" s="8"/>
      <c r="U395" s="8"/>
      <c r="AI395" s="8"/>
      <c r="AJ395" s="8"/>
      <c r="AK395" s="8"/>
      <c r="AL395" s="8"/>
      <c r="AM395" s="8"/>
    </row>
    <row r="396" spans="1:46" ht="13" customHeight="1">
      <c r="A396" s="8" t="s">
        <v>573</v>
      </c>
      <c r="B396" s="16">
        <v>43</v>
      </c>
      <c r="C396" s="8" t="s">
        <v>20</v>
      </c>
      <c r="D396" s="8" t="s">
        <v>37</v>
      </c>
      <c r="E396" s="8" t="s">
        <v>19743</v>
      </c>
      <c r="F396" s="17">
        <v>42245</v>
      </c>
      <c r="G396" s="8" t="s">
        <v>574</v>
      </c>
      <c r="H396" s="8" t="s">
        <v>575</v>
      </c>
      <c r="I396" s="8" t="s">
        <v>73</v>
      </c>
      <c r="J396" s="16" t="s">
        <v>19995</v>
      </c>
      <c r="K396" s="2" t="s">
        <v>576</v>
      </c>
      <c r="L396" s="8" t="s">
        <v>577</v>
      </c>
      <c r="M396" s="8" t="s">
        <v>27</v>
      </c>
      <c r="N396" s="2" t="s">
        <v>19816</v>
      </c>
      <c r="O396" s="8" t="s">
        <v>400</v>
      </c>
      <c r="P396" s="8" t="s">
        <v>401</v>
      </c>
      <c r="Q396" s="12" t="s">
        <v>19817</v>
      </c>
      <c r="R396" s="8" t="s">
        <v>100</v>
      </c>
      <c r="S396" s="8" t="s">
        <v>28</v>
      </c>
      <c r="T396" s="8"/>
      <c r="U396" s="8"/>
      <c r="AN396" s="8"/>
      <c r="AO396" s="8"/>
      <c r="AP396" s="8"/>
      <c r="AQ396" s="8"/>
      <c r="AR396" s="8"/>
      <c r="AS396" s="8"/>
      <c r="AT396" s="8"/>
    </row>
    <row r="397" spans="1:46" ht="13" customHeight="1">
      <c r="A397" s="8" t="s">
        <v>578</v>
      </c>
      <c r="B397" s="16">
        <v>61</v>
      </c>
      <c r="C397" s="8" t="s">
        <v>20</v>
      </c>
      <c r="D397" s="8" t="s">
        <v>85</v>
      </c>
      <c r="E397" s="8" t="s">
        <v>21233</v>
      </c>
      <c r="F397" s="17">
        <v>42244</v>
      </c>
      <c r="G397" s="8" t="s">
        <v>579</v>
      </c>
      <c r="H397" s="8" t="s">
        <v>19997</v>
      </c>
      <c r="I397" s="8" t="s">
        <v>423</v>
      </c>
      <c r="J397" s="16" t="s">
        <v>19998</v>
      </c>
      <c r="K397" s="2" t="s">
        <v>581</v>
      </c>
      <c r="L397" s="8" t="s">
        <v>582</v>
      </c>
      <c r="M397" s="8" t="s">
        <v>27</v>
      </c>
      <c r="N397" s="2" t="s">
        <v>19821</v>
      </c>
      <c r="O397" s="8" t="s">
        <v>400</v>
      </c>
      <c r="P397" s="8" t="s">
        <v>401</v>
      </c>
      <c r="Q397" s="12" t="s">
        <v>19822</v>
      </c>
      <c r="R397" s="8" t="s">
        <v>100</v>
      </c>
      <c r="S397" s="8" t="s">
        <v>18</v>
      </c>
      <c r="T397" s="8"/>
      <c r="U397" s="8"/>
    </row>
    <row r="398" spans="1:46" ht="13" customHeight="1">
      <c r="A398" s="8" t="s">
        <v>583</v>
      </c>
      <c r="B398" s="16">
        <v>41</v>
      </c>
      <c r="C398" s="8" t="s">
        <v>20</v>
      </c>
      <c r="D398" s="8" t="s">
        <v>48</v>
      </c>
      <c r="E398" s="8" t="s">
        <v>19745</v>
      </c>
      <c r="F398" s="17">
        <v>42244</v>
      </c>
      <c r="G398" s="8" t="s">
        <v>584</v>
      </c>
      <c r="H398" s="8" t="s">
        <v>575</v>
      </c>
      <c r="I398" s="8" t="s">
        <v>73</v>
      </c>
      <c r="J398" s="16" t="s">
        <v>19999</v>
      </c>
      <c r="K398" s="2" t="s">
        <v>576</v>
      </c>
      <c r="L398" s="8" t="s">
        <v>585</v>
      </c>
      <c r="M398" s="8" t="s">
        <v>27</v>
      </c>
      <c r="N398" s="2" t="s">
        <v>19823</v>
      </c>
      <c r="O398" s="8" t="s">
        <v>19819</v>
      </c>
      <c r="P398" s="8" t="s">
        <v>401</v>
      </c>
      <c r="Q398" s="12" t="s">
        <v>19824</v>
      </c>
      <c r="R398" s="8" t="s">
        <v>555</v>
      </c>
      <c r="S398" s="8" t="s">
        <v>35</v>
      </c>
      <c r="T398" s="8"/>
      <c r="U398" s="8"/>
      <c r="AI398" s="8"/>
      <c r="AJ398" s="8"/>
      <c r="AK398" s="8"/>
      <c r="AL398" s="8"/>
      <c r="AM398" s="8"/>
    </row>
    <row r="399" spans="1:46" ht="13" customHeight="1">
      <c r="A399" s="8" t="s">
        <v>593</v>
      </c>
      <c r="B399" s="16">
        <v>23</v>
      </c>
      <c r="C399" s="8" t="s">
        <v>20</v>
      </c>
      <c r="D399" s="8" t="s">
        <v>37</v>
      </c>
      <c r="E399" s="8" t="s">
        <v>19744</v>
      </c>
      <c r="F399" s="17">
        <v>42244</v>
      </c>
      <c r="G399" s="8" t="s">
        <v>594</v>
      </c>
      <c r="H399" s="8" t="s">
        <v>595</v>
      </c>
      <c r="I399" s="8" t="s">
        <v>73</v>
      </c>
      <c r="J399" s="16" t="s">
        <v>19996</v>
      </c>
      <c r="K399" s="2" t="s">
        <v>596</v>
      </c>
      <c r="L399" s="8" t="s">
        <v>597</v>
      </c>
      <c r="M399" s="8" t="s">
        <v>27</v>
      </c>
      <c r="N399" s="2" t="s">
        <v>19818</v>
      </c>
      <c r="O399" s="8" t="s">
        <v>19819</v>
      </c>
      <c r="P399" s="8" t="s">
        <v>401</v>
      </c>
      <c r="Q399" s="12" t="s">
        <v>19820</v>
      </c>
      <c r="R399" s="8" t="s">
        <v>29</v>
      </c>
      <c r="S399" s="8" t="s">
        <v>28</v>
      </c>
      <c r="T399" s="8"/>
      <c r="U399" s="8"/>
      <c r="AN399" s="8"/>
      <c r="AO399" s="8"/>
      <c r="AP399" s="8"/>
      <c r="AQ399" s="8"/>
      <c r="AR399" s="8"/>
      <c r="AS399" s="8"/>
      <c r="AT399" s="8"/>
    </row>
    <row r="400" spans="1:46" ht="13" customHeight="1">
      <c r="A400" s="8" t="s">
        <v>588</v>
      </c>
      <c r="B400" s="16">
        <v>28</v>
      </c>
      <c r="C400" s="8" t="s">
        <v>20</v>
      </c>
      <c r="D400" s="8" t="s">
        <v>37</v>
      </c>
      <c r="E400" s="8" t="s">
        <v>19746</v>
      </c>
      <c r="F400" s="17">
        <v>42244</v>
      </c>
      <c r="G400" s="8" t="s">
        <v>20001</v>
      </c>
      <c r="H400" s="8" t="s">
        <v>589</v>
      </c>
      <c r="I400" s="8" t="s">
        <v>240</v>
      </c>
      <c r="J400" s="16" t="s">
        <v>12085</v>
      </c>
      <c r="K400" s="2" t="s">
        <v>590</v>
      </c>
      <c r="L400" s="8" t="s">
        <v>591</v>
      </c>
      <c r="M400" s="8" t="s">
        <v>27</v>
      </c>
      <c r="N400" s="2" t="s">
        <v>19827</v>
      </c>
      <c r="O400" s="8" t="s">
        <v>19819</v>
      </c>
      <c r="P400" s="8" t="s">
        <v>401</v>
      </c>
      <c r="Q400" s="12" t="s">
        <v>19828</v>
      </c>
      <c r="R400" s="8" t="s">
        <v>555</v>
      </c>
      <c r="S400" s="8" t="s">
        <v>28</v>
      </c>
      <c r="T400" s="8"/>
      <c r="U400" s="8"/>
      <c r="AN400" s="8"/>
      <c r="AO400" s="8"/>
      <c r="AP400" s="8"/>
      <c r="AQ400" s="8"/>
      <c r="AR400" s="8"/>
      <c r="AS400" s="8"/>
      <c r="AT400" s="8"/>
    </row>
    <row r="401" spans="1:46" ht="13" customHeight="1">
      <c r="A401" s="8" t="s">
        <v>586</v>
      </c>
      <c r="B401" s="16">
        <v>54</v>
      </c>
      <c r="C401" s="8" t="s">
        <v>20</v>
      </c>
      <c r="D401" s="8" t="s">
        <v>37</v>
      </c>
      <c r="F401" s="17">
        <v>42244</v>
      </c>
      <c r="G401" s="8" t="s">
        <v>587</v>
      </c>
      <c r="H401" s="8" t="s">
        <v>156</v>
      </c>
      <c r="I401" s="8" t="s">
        <v>45</v>
      </c>
      <c r="J401" s="16" t="s">
        <v>20000</v>
      </c>
      <c r="K401" s="2" t="s">
        <v>156</v>
      </c>
      <c r="L401" s="8" t="s">
        <v>157</v>
      </c>
      <c r="M401" s="8" t="s">
        <v>27</v>
      </c>
      <c r="N401" s="2" t="s">
        <v>19825</v>
      </c>
      <c r="O401" s="8" t="s">
        <v>400</v>
      </c>
      <c r="P401" s="8" t="s">
        <v>401</v>
      </c>
      <c r="Q401" s="12" t="s">
        <v>19826</v>
      </c>
      <c r="R401" s="8" t="s">
        <v>100</v>
      </c>
      <c r="S401" s="8" t="s">
        <v>28</v>
      </c>
      <c r="T401" s="8"/>
      <c r="U401" s="8"/>
      <c r="AN401" s="8"/>
      <c r="AO401" s="8"/>
      <c r="AP401" s="8"/>
      <c r="AQ401" s="8"/>
      <c r="AR401" s="8"/>
      <c r="AS401" s="8"/>
      <c r="AT401" s="8"/>
    </row>
    <row r="402" spans="1:46" ht="13" customHeight="1">
      <c r="A402" s="8" t="s">
        <v>602</v>
      </c>
      <c r="B402" s="16">
        <v>30</v>
      </c>
      <c r="C402" s="8" t="s">
        <v>20</v>
      </c>
      <c r="D402" s="8" t="s">
        <v>85</v>
      </c>
      <c r="E402" s="8" t="s">
        <v>21206</v>
      </c>
      <c r="F402" s="17">
        <v>42243</v>
      </c>
      <c r="G402" s="8" t="s">
        <v>20007</v>
      </c>
      <c r="H402" s="8" t="s">
        <v>603</v>
      </c>
      <c r="I402" s="8" t="s">
        <v>45</v>
      </c>
      <c r="J402" s="16" t="s">
        <v>1915</v>
      </c>
      <c r="K402" s="2" t="s">
        <v>604</v>
      </c>
      <c r="L402" s="8" t="s">
        <v>605</v>
      </c>
      <c r="M402" s="8" t="s">
        <v>27</v>
      </c>
      <c r="N402" s="2" t="s">
        <v>19835</v>
      </c>
      <c r="O402" s="8" t="s">
        <v>19819</v>
      </c>
      <c r="P402" s="8" t="s">
        <v>401</v>
      </c>
      <c r="Q402" s="12" t="s">
        <v>19836</v>
      </c>
      <c r="R402" s="8" t="s">
        <v>29</v>
      </c>
      <c r="S402" s="8" t="s">
        <v>28</v>
      </c>
      <c r="T402" s="8"/>
      <c r="U402" s="8"/>
    </row>
    <row r="403" spans="1:46" ht="13" customHeight="1">
      <c r="A403" s="8" t="s">
        <v>598</v>
      </c>
      <c r="B403" s="16">
        <v>43</v>
      </c>
      <c r="C403" s="8" t="s">
        <v>20</v>
      </c>
      <c r="D403" s="8" t="s">
        <v>85</v>
      </c>
      <c r="E403" s="8" t="s">
        <v>19747</v>
      </c>
      <c r="F403" s="17">
        <v>42243</v>
      </c>
      <c r="G403" s="8" t="s">
        <v>20002</v>
      </c>
      <c r="H403" s="8" t="s">
        <v>285</v>
      </c>
      <c r="I403" s="8" t="s">
        <v>73</v>
      </c>
      <c r="J403" s="16" t="s">
        <v>20003</v>
      </c>
      <c r="K403" s="2" t="s">
        <v>285</v>
      </c>
      <c r="L403" s="8" t="s">
        <v>286</v>
      </c>
      <c r="M403" s="8" t="s">
        <v>27</v>
      </c>
      <c r="N403" s="2" t="s">
        <v>19829</v>
      </c>
      <c r="O403" s="8" t="s">
        <v>400</v>
      </c>
      <c r="P403" s="8" t="s">
        <v>401</v>
      </c>
      <c r="Q403" s="12" t="s">
        <v>19830</v>
      </c>
      <c r="R403" s="8" t="s">
        <v>100</v>
      </c>
      <c r="S403" s="8" t="s">
        <v>28</v>
      </c>
      <c r="T403" s="8"/>
      <c r="U403" s="8"/>
    </row>
    <row r="404" spans="1:46" ht="13" customHeight="1">
      <c r="A404" s="8" t="s">
        <v>599</v>
      </c>
      <c r="B404" s="16">
        <v>50</v>
      </c>
      <c r="C404" s="8" t="s">
        <v>20</v>
      </c>
      <c r="D404" s="8" t="s">
        <v>85</v>
      </c>
      <c r="F404" s="17">
        <v>42243</v>
      </c>
      <c r="G404" s="8" t="s">
        <v>20006</v>
      </c>
      <c r="H404" s="8" t="s">
        <v>430</v>
      </c>
      <c r="I404" s="8" t="s">
        <v>363</v>
      </c>
      <c r="J404" s="16" t="s">
        <v>9715</v>
      </c>
      <c r="K404" s="2" t="s">
        <v>600</v>
      </c>
      <c r="L404" s="8" t="s">
        <v>2126</v>
      </c>
      <c r="M404" s="8" t="s">
        <v>379</v>
      </c>
      <c r="N404" s="2" t="s">
        <v>19833</v>
      </c>
      <c r="O404" s="8" t="s">
        <v>400</v>
      </c>
      <c r="P404" s="8" t="s">
        <v>401</v>
      </c>
      <c r="Q404" s="12" t="s">
        <v>19834</v>
      </c>
      <c r="R404" s="8" t="s">
        <v>100</v>
      </c>
      <c r="S404" s="8" t="s">
        <v>18</v>
      </c>
      <c r="T404" s="8"/>
      <c r="U404" s="8"/>
    </row>
    <row r="405" spans="1:46" ht="13" customHeight="1">
      <c r="A405" s="8" t="s">
        <v>601</v>
      </c>
      <c r="B405" s="16">
        <v>29</v>
      </c>
      <c r="C405" s="8" t="s">
        <v>20</v>
      </c>
      <c r="D405" s="8" t="s">
        <v>48</v>
      </c>
      <c r="F405" s="17">
        <v>42243</v>
      </c>
      <c r="G405" s="8" t="s">
        <v>20004</v>
      </c>
      <c r="H405" s="8" t="s">
        <v>98</v>
      </c>
      <c r="I405" s="8" t="s">
        <v>45</v>
      </c>
      <c r="J405" s="16" t="s">
        <v>20005</v>
      </c>
      <c r="K405" s="2" t="s">
        <v>98</v>
      </c>
      <c r="L405" s="8" t="s">
        <v>99</v>
      </c>
      <c r="M405" s="8" t="s">
        <v>27</v>
      </c>
      <c r="N405" s="2" t="s">
        <v>19831</v>
      </c>
      <c r="O405" s="8" t="s">
        <v>19819</v>
      </c>
      <c r="P405" s="8" t="s">
        <v>401</v>
      </c>
      <c r="Q405" s="12" t="s">
        <v>19832</v>
      </c>
      <c r="R405" s="8" t="s">
        <v>29</v>
      </c>
      <c r="S405" s="8" t="s">
        <v>28</v>
      </c>
      <c r="T405" s="8"/>
      <c r="U405" s="8"/>
      <c r="AI405" s="8"/>
      <c r="AJ405" s="8"/>
      <c r="AK405" s="8"/>
      <c r="AL405" s="8"/>
      <c r="AM405" s="8"/>
    </row>
    <row r="406" spans="1:46" ht="13" customHeight="1">
      <c r="A406" s="8" t="s">
        <v>606</v>
      </c>
      <c r="B406" s="16">
        <v>31</v>
      </c>
      <c r="C406" s="8" t="s">
        <v>20</v>
      </c>
      <c r="D406" s="8" t="s">
        <v>37</v>
      </c>
      <c r="E406" s="8" t="s">
        <v>20624</v>
      </c>
      <c r="F406" s="17">
        <v>42243</v>
      </c>
      <c r="G406" s="8" t="s">
        <v>607</v>
      </c>
      <c r="H406" s="8" t="s">
        <v>608</v>
      </c>
      <c r="I406" s="8" t="s">
        <v>45</v>
      </c>
      <c r="J406" s="27">
        <v>95110</v>
      </c>
      <c r="K406" s="26" t="s">
        <v>609</v>
      </c>
      <c r="L406" s="28" t="s">
        <v>21387</v>
      </c>
      <c r="M406" s="42" t="s">
        <v>3169</v>
      </c>
      <c r="N406" s="64"/>
      <c r="O406" s="26"/>
      <c r="P406" s="8" t="s">
        <v>401</v>
      </c>
      <c r="Q406" s="29" t="s">
        <v>20625</v>
      </c>
      <c r="R406" s="26" t="s">
        <v>610</v>
      </c>
      <c r="S406" s="26" t="s">
        <v>18</v>
      </c>
      <c r="T406" s="26"/>
      <c r="U406" s="26"/>
      <c r="V406" s="26"/>
      <c r="W406" s="26"/>
      <c r="X406" s="26"/>
      <c r="Y406" s="26"/>
      <c r="Z406" s="26"/>
      <c r="AA406" s="26"/>
      <c r="AB406" s="26"/>
      <c r="AC406" s="26"/>
      <c r="AD406" s="26"/>
      <c r="AE406" s="26"/>
      <c r="AF406" s="26"/>
      <c r="AG406" s="26"/>
      <c r="AH406" s="26"/>
      <c r="AN406" s="8"/>
      <c r="AO406" s="8"/>
      <c r="AP406" s="8"/>
      <c r="AQ406" s="8"/>
      <c r="AR406" s="8"/>
      <c r="AS406" s="8"/>
      <c r="AT406" s="8"/>
    </row>
    <row r="407" spans="1:46" ht="13" customHeight="1">
      <c r="A407" s="8" t="s">
        <v>619</v>
      </c>
      <c r="B407" s="16">
        <v>22</v>
      </c>
      <c r="C407" s="8" t="s">
        <v>20</v>
      </c>
      <c r="D407" s="8" t="s">
        <v>37</v>
      </c>
      <c r="E407" s="8" t="s">
        <v>19750</v>
      </c>
      <c r="F407" s="17">
        <v>42242</v>
      </c>
      <c r="G407" s="8" t="s">
        <v>620</v>
      </c>
      <c r="H407" s="8" t="s">
        <v>621</v>
      </c>
      <c r="I407" s="8" t="s">
        <v>319</v>
      </c>
      <c r="J407" s="16" t="s">
        <v>20012</v>
      </c>
      <c r="K407" s="2" t="s">
        <v>622</v>
      </c>
      <c r="L407" s="8" t="s">
        <v>623</v>
      </c>
      <c r="M407" s="8" t="s">
        <v>27</v>
      </c>
      <c r="N407" s="2" t="s">
        <v>19841</v>
      </c>
      <c r="O407" s="8" t="s">
        <v>550</v>
      </c>
      <c r="P407" s="8" t="s">
        <v>401</v>
      </c>
      <c r="Q407" s="12" t="s">
        <v>19842</v>
      </c>
      <c r="R407" s="8" t="s">
        <v>555</v>
      </c>
      <c r="S407" s="8" t="s">
        <v>28</v>
      </c>
      <c r="T407" s="8"/>
      <c r="U407" s="8"/>
      <c r="AN407" s="8"/>
      <c r="AO407" s="8"/>
      <c r="AP407" s="8"/>
      <c r="AQ407" s="8"/>
      <c r="AR407" s="8"/>
      <c r="AS407" s="8"/>
      <c r="AT407" s="8"/>
    </row>
    <row r="408" spans="1:46" ht="13" customHeight="1">
      <c r="A408" s="8" t="s">
        <v>611</v>
      </c>
      <c r="B408" s="16">
        <v>27</v>
      </c>
      <c r="C408" s="8" t="s">
        <v>20</v>
      </c>
      <c r="D408" s="8" t="s">
        <v>37</v>
      </c>
      <c r="E408" s="8" t="s">
        <v>19749</v>
      </c>
      <c r="F408" s="17">
        <v>42242</v>
      </c>
      <c r="G408" s="8" t="s">
        <v>20010</v>
      </c>
      <c r="H408" s="8" t="s">
        <v>612</v>
      </c>
      <c r="I408" s="8" t="s">
        <v>240</v>
      </c>
      <c r="J408" s="16" t="s">
        <v>20011</v>
      </c>
      <c r="K408" s="2" t="s">
        <v>613</v>
      </c>
      <c r="L408" s="8" t="s">
        <v>614</v>
      </c>
      <c r="M408" s="8" t="s">
        <v>27</v>
      </c>
      <c r="N408" s="2" t="s">
        <v>19839</v>
      </c>
      <c r="O408" s="8" t="s">
        <v>19819</v>
      </c>
      <c r="P408" s="8" t="s">
        <v>401</v>
      </c>
      <c r="Q408" s="12" t="s">
        <v>19840</v>
      </c>
      <c r="R408" s="8" t="s">
        <v>555</v>
      </c>
      <c r="S408" s="8" t="s">
        <v>28</v>
      </c>
      <c r="T408" s="8"/>
      <c r="U408" s="8"/>
      <c r="AN408" s="8"/>
      <c r="AO408" s="8"/>
      <c r="AP408" s="8"/>
      <c r="AQ408" s="8"/>
      <c r="AR408" s="8"/>
      <c r="AS408" s="8"/>
      <c r="AT408" s="8"/>
    </row>
    <row r="409" spans="1:46" ht="13" customHeight="1">
      <c r="A409" s="8" t="s">
        <v>616</v>
      </c>
      <c r="B409" s="16">
        <v>46</v>
      </c>
      <c r="C409" s="8" t="s">
        <v>20</v>
      </c>
      <c r="D409" s="8" t="s">
        <v>37</v>
      </c>
      <c r="E409" s="8" t="s">
        <v>19748</v>
      </c>
      <c r="F409" s="17">
        <v>42242</v>
      </c>
      <c r="G409" s="8" t="s">
        <v>20008</v>
      </c>
      <c r="H409" s="8" t="s">
        <v>617</v>
      </c>
      <c r="I409" s="8" t="s">
        <v>319</v>
      </c>
      <c r="J409" s="16" t="s">
        <v>20009</v>
      </c>
      <c r="K409" s="2" t="s">
        <v>548</v>
      </c>
      <c r="L409" s="8" t="s">
        <v>618</v>
      </c>
      <c r="M409" s="8" t="s">
        <v>27</v>
      </c>
      <c r="N409" s="2" t="s">
        <v>19837</v>
      </c>
      <c r="O409" s="8" t="s">
        <v>19819</v>
      </c>
      <c r="P409" s="8" t="s">
        <v>401</v>
      </c>
      <c r="Q409" s="12" t="s">
        <v>19838</v>
      </c>
      <c r="R409" s="8" t="s">
        <v>29</v>
      </c>
      <c r="S409" s="8" t="s">
        <v>28</v>
      </c>
      <c r="T409" s="8"/>
      <c r="U409" s="8"/>
      <c r="AN409" s="8"/>
      <c r="AO409" s="8"/>
      <c r="AP409" s="8"/>
      <c r="AQ409" s="8"/>
      <c r="AR409" s="8"/>
      <c r="AS409" s="8"/>
      <c r="AT409" s="8"/>
    </row>
    <row r="410" spans="1:46" ht="13" customHeight="1">
      <c r="A410" s="8" t="s">
        <v>624</v>
      </c>
      <c r="B410" s="16">
        <v>34</v>
      </c>
      <c r="C410" s="8" t="s">
        <v>20</v>
      </c>
      <c r="D410" s="8" t="s">
        <v>85</v>
      </c>
      <c r="E410" s="8" t="s">
        <v>19751</v>
      </c>
      <c r="F410" s="17">
        <v>42241</v>
      </c>
      <c r="G410" s="8" t="s">
        <v>625</v>
      </c>
      <c r="H410" s="8" t="s">
        <v>626</v>
      </c>
      <c r="I410" s="8" t="s">
        <v>404</v>
      </c>
      <c r="J410" s="16" t="s">
        <v>20013</v>
      </c>
      <c r="K410" s="2" t="s">
        <v>403</v>
      </c>
      <c r="L410" s="8" t="s">
        <v>627</v>
      </c>
      <c r="M410" s="8" t="s">
        <v>27</v>
      </c>
      <c r="N410" s="2" t="s">
        <v>628</v>
      </c>
      <c r="O410" s="8" t="s">
        <v>550</v>
      </c>
      <c r="P410" s="8" t="s">
        <v>401</v>
      </c>
      <c r="Q410" s="12" t="s">
        <v>19843</v>
      </c>
      <c r="R410" s="8" t="s">
        <v>29</v>
      </c>
      <c r="S410" s="8" t="s">
        <v>28</v>
      </c>
      <c r="T410" s="8"/>
      <c r="U410" s="8"/>
    </row>
    <row r="411" spans="1:46" ht="13" customHeight="1">
      <c r="A411" s="8" t="s">
        <v>631</v>
      </c>
      <c r="B411" s="16">
        <v>22</v>
      </c>
      <c r="C411" s="8" t="s">
        <v>20</v>
      </c>
      <c r="D411" s="8" t="s">
        <v>48</v>
      </c>
      <c r="F411" s="17">
        <v>42241</v>
      </c>
      <c r="G411" s="8" t="s">
        <v>20016</v>
      </c>
      <c r="H411" s="8" t="s">
        <v>213</v>
      </c>
      <c r="I411" s="8" t="s">
        <v>62</v>
      </c>
      <c r="J411" s="16" t="s">
        <v>4275</v>
      </c>
      <c r="K411" s="2" t="s">
        <v>161</v>
      </c>
      <c r="L411" s="8" t="s">
        <v>162</v>
      </c>
      <c r="M411" s="8" t="s">
        <v>27</v>
      </c>
      <c r="N411" s="2" t="s">
        <v>19846</v>
      </c>
      <c r="O411" s="8" t="s">
        <v>19819</v>
      </c>
      <c r="P411" s="8" t="s">
        <v>401</v>
      </c>
      <c r="Q411" s="12" t="s">
        <v>19847</v>
      </c>
      <c r="R411" s="8" t="s">
        <v>29</v>
      </c>
      <c r="S411" s="8" t="s">
        <v>28</v>
      </c>
      <c r="T411" s="8"/>
      <c r="U411" s="8"/>
    </row>
    <row r="412" spans="1:46" ht="13" customHeight="1">
      <c r="A412" s="8" t="s">
        <v>629</v>
      </c>
      <c r="B412" s="16">
        <v>30</v>
      </c>
      <c r="C412" s="8" t="s">
        <v>20</v>
      </c>
      <c r="D412" s="8" t="s">
        <v>48</v>
      </c>
      <c r="E412" s="8" t="s">
        <v>19752</v>
      </c>
      <c r="F412" s="17">
        <v>42241</v>
      </c>
      <c r="G412" s="8" t="s">
        <v>20014</v>
      </c>
      <c r="H412" s="8" t="s">
        <v>630</v>
      </c>
      <c r="I412" s="8" t="s">
        <v>195</v>
      </c>
      <c r="J412" s="16" t="s">
        <v>13230</v>
      </c>
      <c r="K412" s="2" t="s">
        <v>630</v>
      </c>
      <c r="L412" s="8" t="s">
        <v>20015</v>
      </c>
      <c r="M412" s="8" t="s">
        <v>27</v>
      </c>
      <c r="N412" s="2" t="s">
        <v>19844</v>
      </c>
      <c r="O412" s="8" t="s">
        <v>19819</v>
      </c>
      <c r="P412" s="8" t="s">
        <v>401</v>
      </c>
      <c r="Q412" s="12" t="s">
        <v>19845</v>
      </c>
      <c r="R412" s="8" t="s">
        <v>29</v>
      </c>
      <c r="S412" s="8" t="s">
        <v>28</v>
      </c>
      <c r="T412" s="8"/>
      <c r="U412" s="8"/>
    </row>
    <row r="413" spans="1:46" ht="13" customHeight="1">
      <c r="A413" s="8" t="s">
        <v>637</v>
      </c>
      <c r="B413" s="16">
        <v>51</v>
      </c>
      <c r="C413" s="8" t="s">
        <v>20</v>
      </c>
      <c r="D413" s="8" t="s">
        <v>37</v>
      </c>
      <c r="F413" s="17">
        <v>42241</v>
      </c>
      <c r="G413" s="8" t="s">
        <v>638</v>
      </c>
      <c r="H413" s="8" t="s">
        <v>639</v>
      </c>
      <c r="I413" s="8" t="s">
        <v>62</v>
      </c>
      <c r="J413" s="16" t="s">
        <v>20017</v>
      </c>
      <c r="K413" s="2" t="s">
        <v>640</v>
      </c>
      <c r="L413" s="8" t="s">
        <v>641</v>
      </c>
      <c r="M413" s="8" t="s">
        <v>27</v>
      </c>
      <c r="N413" s="2" t="s">
        <v>19850</v>
      </c>
      <c r="O413" s="8" t="s">
        <v>19819</v>
      </c>
      <c r="P413" s="8" t="s">
        <v>401</v>
      </c>
      <c r="Q413" s="12" t="s">
        <v>19851</v>
      </c>
      <c r="R413" s="8" t="s">
        <v>29</v>
      </c>
      <c r="S413" s="8" t="s">
        <v>28</v>
      </c>
      <c r="T413" s="8"/>
      <c r="U413" s="8"/>
      <c r="AN413" s="8"/>
      <c r="AO413" s="8"/>
      <c r="AP413" s="8"/>
      <c r="AQ413" s="8"/>
      <c r="AR413" s="8"/>
      <c r="AS413" s="8"/>
      <c r="AT413" s="8"/>
    </row>
    <row r="414" spans="1:46" ht="13" customHeight="1">
      <c r="A414" s="8" t="s">
        <v>632</v>
      </c>
      <c r="B414" s="16" t="s">
        <v>29</v>
      </c>
      <c r="C414" s="8" t="s">
        <v>20</v>
      </c>
      <c r="D414" s="8" t="s">
        <v>37</v>
      </c>
      <c r="F414" s="17">
        <v>42241</v>
      </c>
      <c r="G414" s="8" t="s">
        <v>633</v>
      </c>
      <c r="H414" s="8" t="s">
        <v>634</v>
      </c>
      <c r="I414" s="8" t="s">
        <v>123</v>
      </c>
      <c r="J414" s="16" t="s">
        <v>12751</v>
      </c>
      <c r="K414" s="2" t="s">
        <v>635</v>
      </c>
      <c r="L414" s="8" t="s">
        <v>636</v>
      </c>
      <c r="M414" s="8" t="s">
        <v>27</v>
      </c>
      <c r="N414" s="2" t="s">
        <v>19848</v>
      </c>
      <c r="O414" s="8" t="s">
        <v>19819</v>
      </c>
      <c r="P414" s="8" t="s">
        <v>401</v>
      </c>
      <c r="Q414" s="12" t="s">
        <v>19849</v>
      </c>
      <c r="R414" s="8" t="s">
        <v>29</v>
      </c>
      <c r="S414" s="8" t="s">
        <v>28</v>
      </c>
      <c r="T414" s="8"/>
      <c r="U414" s="8"/>
      <c r="AN414" s="8"/>
      <c r="AO414" s="8"/>
      <c r="AP414" s="8"/>
      <c r="AQ414" s="8"/>
      <c r="AR414" s="8"/>
      <c r="AS414" s="8"/>
      <c r="AT414" s="8"/>
    </row>
    <row r="415" spans="1:46" ht="13" customHeight="1">
      <c r="A415" s="8" t="s">
        <v>642</v>
      </c>
      <c r="B415" s="16">
        <v>21</v>
      </c>
      <c r="C415" s="8" t="s">
        <v>20</v>
      </c>
      <c r="D415" s="8" t="s">
        <v>37</v>
      </c>
      <c r="F415" s="17">
        <v>42239</v>
      </c>
      <c r="G415" s="8" t="s">
        <v>643</v>
      </c>
      <c r="H415" s="8" t="s">
        <v>644</v>
      </c>
      <c r="I415" s="8" t="s">
        <v>81</v>
      </c>
      <c r="J415" s="16" t="s">
        <v>20021</v>
      </c>
      <c r="K415" s="2" t="s">
        <v>645</v>
      </c>
      <c r="L415" s="8" t="s">
        <v>646</v>
      </c>
      <c r="M415" s="8" t="s">
        <v>27</v>
      </c>
      <c r="N415" s="2" t="s">
        <v>19856</v>
      </c>
      <c r="O415" s="8" t="s">
        <v>400</v>
      </c>
      <c r="P415" s="8" t="s">
        <v>401</v>
      </c>
      <c r="Q415" s="12" t="s">
        <v>19857</v>
      </c>
      <c r="R415" s="8" t="s">
        <v>29</v>
      </c>
      <c r="S415" s="8" t="s">
        <v>28</v>
      </c>
      <c r="T415" s="8"/>
      <c r="U415" s="8"/>
      <c r="AN415" s="8"/>
      <c r="AO415" s="8"/>
      <c r="AP415" s="8"/>
      <c r="AQ415" s="8"/>
      <c r="AR415" s="8"/>
      <c r="AS415" s="8"/>
      <c r="AT415" s="8"/>
    </row>
    <row r="416" spans="1:46" ht="13" customHeight="1">
      <c r="A416" s="8" t="s">
        <v>651</v>
      </c>
      <c r="B416" s="16">
        <v>36</v>
      </c>
      <c r="C416" s="8" t="s">
        <v>20</v>
      </c>
      <c r="D416" s="8" t="s">
        <v>37</v>
      </c>
      <c r="E416" s="8" t="s">
        <v>19754</v>
      </c>
      <c r="F416" s="17">
        <v>42239</v>
      </c>
      <c r="G416" s="8" t="s">
        <v>652</v>
      </c>
      <c r="H416" s="8" t="s">
        <v>653</v>
      </c>
      <c r="I416" s="8" t="s">
        <v>62</v>
      </c>
      <c r="J416" s="16" t="s">
        <v>20022</v>
      </c>
      <c r="K416" s="2" t="s">
        <v>654</v>
      </c>
      <c r="L416" s="8" t="s">
        <v>655</v>
      </c>
      <c r="M416" s="8" t="s">
        <v>27</v>
      </c>
      <c r="N416" s="2" t="s">
        <v>19858</v>
      </c>
      <c r="O416" s="8" t="s">
        <v>400</v>
      </c>
      <c r="P416" s="8" t="s">
        <v>401</v>
      </c>
      <c r="Q416" s="12" t="s">
        <v>19859</v>
      </c>
      <c r="R416" s="8" t="s">
        <v>29</v>
      </c>
      <c r="S416" s="8" t="s">
        <v>28</v>
      </c>
      <c r="T416" s="8"/>
      <c r="U416" s="8"/>
      <c r="AN416" s="8"/>
      <c r="AO416" s="8"/>
      <c r="AP416" s="8"/>
      <c r="AQ416" s="8"/>
      <c r="AR416" s="8"/>
      <c r="AS416" s="8"/>
      <c r="AT416" s="8"/>
    </row>
    <row r="417" spans="1:46" ht="13" customHeight="1">
      <c r="A417" s="8" t="s">
        <v>647</v>
      </c>
      <c r="B417" s="16">
        <v>53</v>
      </c>
      <c r="C417" s="8" t="s">
        <v>20</v>
      </c>
      <c r="D417" s="8" t="s">
        <v>37</v>
      </c>
      <c r="F417" s="17">
        <v>42239</v>
      </c>
      <c r="G417" s="8" t="s">
        <v>20018</v>
      </c>
      <c r="H417" s="8" t="s">
        <v>648</v>
      </c>
      <c r="I417" s="8" t="s">
        <v>366</v>
      </c>
      <c r="J417" s="16" t="s">
        <v>20019</v>
      </c>
      <c r="K417" s="2" t="s">
        <v>16205</v>
      </c>
      <c r="L417" s="8" t="s">
        <v>650</v>
      </c>
      <c r="M417" s="8" t="s">
        <v>27</v>
      </c>
      <c r="N417" s="2" t="s">
        <v>19852</v>
      </c>
      <c r="O417" s="8" t="s">
        <v>400</v>
      </c>
      <c r="P417" s="8" t="s">
        <v>401</v>
      </c>
      <c r="Q417" s="12" t="s">
        <v>19853</v>
      </c>
      <c r="R417" s="8" t="s">
        <v>29</v>
      </c>
      <c r="S417" s="8" t="s">
        <v>28</v>
      </c>
      <c r="T417" s="8"/>
      <c r="U417" s="8"/>
      <c r="AN417" s="8"/>
      <c r="AO417" s="8"/>
      <c r="AP417" s="8"/>
      <c r="AQ417" s="8"/>
      <c r="AR417" s="8"/>
      <c r="AS417" s="8"/>
      <c r="AT417" s="8"/>
    </row>
    <row r="418" spans="1:46" ht="13" customHeight="1">
      <c r="A418" s="8" t="s">
        <v>656</v>
      </c>
      <c r="B418" s="16">
        <v>57</v>
      </c>
      <c r="C418" s="8" t="s">
        <v>20</v>
      </c>
      <c r="D418" s="8" t="s">
        <v>37</v>
      </c>
      <c r="E418" s="8" t="s">
        <v>19755</v>
      </c>
      <c r="F418" s="17">
        <v>42239</v>
      </c>
      <c r="G418" s="8" t="s">
        <v>20023</v>
      </c>
      <c r="H418" s="8" t="s">
        <v>657</v>
      </c>
      <c r="I418" s="8" t="s">
        <v>269</v>
      </c>
      <c r="J418" s="16" t="s">
        <v>20024</v>
      </c>
      <c r="K418" s="2" t="s">
        <v>570</v>
      </c>
      <c r="L418" s="8" t="s">
        <v>571</v>
      </c>
      <c r="M418" s="8" t="s">
        <v>27</v>
      </c>
      <c r="N418" s="2" t="s">
        <v>19860</v>
      </c>
      <c r="O418" s="8" t="s">
        <v>19819</v>
      </c>
      <c r="P418" s="8" t="s">
        <v>401</v>
      </c>
      <c r="Q418" s="12" t="s">
        <v>19861</v>
      </c>
      <c r="R418" s="8" t="s">
        <v>29</v>
      </c>
      <c r="S418" s="8" t="s">
        <v>28</v>
      </c>
      <c r="T418" s="8"/>
      <c r="U418" s="8"/>
      <c r="AN418" s="8"/>
      <c r="AO418" s="8"/>
      <c r="AP418" s="8"/>
      <c r="AQ418" s="8"/>
      <c r="AR418" s="8"/>
      <c r="AS418" s="8"/>
      <c r="AT418" s="8"/>
    </row>
    <row r="419" spans="1:46" ht="13" customHeight="1">
      <c r="A419" s="8" t="s">
        <v>658</v>
      </c>
      <c r="B419" s="16">
        <v>36</v>
      </c>
      <c r="C419" s="8" t="s">
        <v>20</v>
      </c>
      <c r="D419" s="8" t="s">
        <v>37</v>
      </c>
      <c r="E419" s="8" t="s">
        <v>19753</v>
      </c>
      <c r="F419" s="17">
        <v>42239</v>
      </c>
      <c r="G419" s="8" t="s">
        <v>659</v>
      </c>
      <c r="H419" s="8" t="s">
        <v>660</v>
      </c>
      <c r="I419" s="8" t="s">
        <v>94</v>
      </c>
      <c r="J419" s="16" t="s">
        <v>20020</v>
      </c>
      <c r="K419" s="2" t="s">
        <v>661</v>
      </c>
      <c r="L419" s="8" t="s">
        <v>662</v>
      </c>
      <c r="M419" s="8" t="s">
        <v>27</v>
      </c>
      <c r="N419" s="2" t="s">
        <v>19854</v>
      </c>
      <c r="O419" s="8" t="s">
        <v>400</v>
      </c>
      <c r="P419" s="8" t="s">
        <v>401</v>
      </c>
      <c r="Q419" s="12" t="s">
        <v>19855</v>
      </c>
      <c r="R419" s="8" t="s">
        <v>29</v>
      </c>
      <c r="S419" s="8" t="s">
        <v>35</v>
      </c>
      <c r="T419" s="8"/>
      <c r="U419" s="8"/>
      <c r="AN419" s="8"/>
      <c r="AO419" s="8"/>
      <c r="AP419" s="8"/>
      <c r="AQ419" s="8"/>
      <c r="AR419" s="8"/>
      <c r="AS419" s="8"/>
      <c r="AT419" s="8"/>
    </row>
    <row r="420" spans="1:46" ht="13" customHeight="1">
      <c r="A420" s="8" t="s">
        <v>663</v>
      </c>
      <c r="B420" s="16">
        <v>39</v>
      </c>
      <c r="C420" s="8" t="s">
        <v>20</v>
      </c>
      <c r="D420" s="8" t="s">
        <v>85</v>
      </c>
      <c r="E420" s="8" t="s">
        <v>19759</v>
      </c>
      <c r="F420" s="17">
        <v>42238</v>
      </c>
      <c r="G420" s="8" t="s">
        <v>664</v>
      </c>
      <c r="H420" s="8" t="s">
        <v>665</v>
      </c>
      <c r="I420" s="8" t="s">
        <v>423</v>
      </c>
      <c r="J420" s="16" t="s">
        <v>20033</v>
      </c>
      <c r="K420" s="2" t="s">
        <v>666</v>
      </c>
      <c r="L420" s="8" t="s">
        <v>667</v>
      </c>
      <c r="M420" s="8" t="s">
        <v>27</v>
      </c>
      <c r="N420" s="2" t="s">
        <v>19870</v>
      </c>
      <c r="O420" s="8" t="s">
        <v>1013</v>
      </c>
      <c r="P420" s="8" t="s">
        <v>401</v>
      </c>
      <c r="Q420" s="12" t="s">
        <v>19871</v>
      </c>
      <c r="R420" s="8" t="s">
        <v>29</v>
      </c>
      <c r="S420" s="8" t="s">
        <v>28</v>
      </c>
      <c r="T420" s="8"/>
      <c r="U420" s="8"/>
    </row>
    <row r="421" spans="1:46" ht="13" customHeight="1">
      <c r="A421" s="8" t="s">
        <v>680</v>
      </c>
      <c r="B421" s="16">
        <v>29</v>
      </c>
      <c r="C421" s="8" t="s">
        <v>20</v>
      </c>
      <c r="D421" s="8" t="s">
        <v>37</v>
      </c>
      <c r="F421" s="17">
        <v>42238</v>
      </c>
      <c r="G421" s="8" t="s">
        <v>20028</v>
      </c>
      <c r="H421" s="8" t="s">
        <v>681</v>
      </c>
      <c r="I421" s="8" t="s">
        <v>45</v>
      </c>
      <c r="J421" s="16" t="s">
        <v>3499</v>
      </c>
      <c r="K421" s="2" t="s">
        <v>682</v>
      </c>
      <c r="L421" s="8" t="s">
        <v>683</v>
      </c>
      <c r="M421" s="8" t="s">
        <v>27</v>
      </c>
      <c r="N421" s="2" t="s">
        <v>19864</v>
      </c>
      <c r="O421" s="8" t="s">
        <v>400</v>
      </c>
      <c r="P421" s="8" t="s">
        <v>401</v>
      </c>
      <c r="Q421" s="12" t="s">
        <v>19865</v>
      </c>
      <c r="R421" s="8" t="s">
        <v>100</v>
      </c>
      <c r="S421" s="8" t="s">
        <v>28</v>
      </c>
      <c r="T421" s="8"/>
      <c r="U421" s="8"/>
      <c r="AN421" s="8"/>
      <c r="AO421" s="8"/>
      <c r="AP421" s="8"/>
      <c r="AQ421" s="8"/>
      <c r="AR421" s="8"/>
      <c r="AS421" s="8"/>
      <c r="AT421" s="8"/>
    </row>
    <row r="422" spans="1:46" ht="13" customHeight="1">
      <c r="A422" s="8" t="s">
        <v>674</v>
      </c>
      <c r="B422" s="16">
        <v>31</v>
      </c>
      <c r="C422" s="8" t="s">
        <v>20</v>
      </c>
      <c r="D422" s="8" t="s">
        <v>37</v>
      </c>
      <c r="E422" s="8" t="s">
        <v>19756</v>
      </c>
      <c r="F422" s="17">
        <v>42238</v>
      </c>
      <c r="G422" s="8" t="s">
        <v>20025</v>
      </c>
      <c r="H422" s="8" t="s">
        <v>675</v>
      </c>
      <c r="I422" s="8" t="s">
        <v>133</v>
      </c>
      <c r="J422" s="16" t="s">
        <v>20026</v>
      </c>
      <c r="K422" s="2" t="s">
        <v>676</v>
      </c>
      <c r="L422" s="8" t="s">
        <v>20027</v>
      </c>
      <c r="M422" s="8" t="s">
        <v>27</v>
      </c>
      <c r="N422" s="2" t="s">
        <v>19862</v>
      </c>
      <c r="O422" s="8" t="s">
        <v>400</v>
      </c>
      <c r="P422" s="8" t="s">
        <v>401</v>
      </c>
      <c r="Q422" s="12" t="s">
        <v>19863</v>
      </c>
      <c r="R422" s="8" t="s">
        <v>100</v>
      </c>
      <c r="S422" s="8" t="s">
        <v>28</v>
      </c>
      <c r="T422" s="8"/>
      <c r="U422" s="8"/>
      <c r="AN422" s="8"/>
      <c r="AO422" s="8"/>
      <c r="AP422" s="8"/>
      <c r="AQ422" s="8"/>
      <c r="AR422" s="8"/>
      <c r="AS422" s="8"/>
      <c r="AT422" s="8"/>
    </row>
    <row r="423" spans="1:46" ht="13" customHeight="1">
      <c r="A423" s="8" t="s">
        <v>677</v>
      </c>
      <c r="B423" s="16">
        <v>64</v>
      </c>
      <c r="C423" s="8" t="s">
        <v>20</v>
      </c>
      <c r="D423" s="8" t="s">
        <v>37</v>
      </c>
      <c r="E423" s="8" t="s">
        <v>19757</v>
      </c>
      <c r="F423" s="17">
        <v>42238</v>
      </c>
      <c r="G423" s="8" t="s">
        <v>20029</v>
      </c>
      <c r="H423" s="8" t="s">
        <v>678</v>
      </c>
      <c r="I423" s="8" t="s">
        <v>244</v>
      </c>
      <c r="J423" s="16" t="s">
        <v>20030</v>
      </c>
      <c r="K423" s="2" t="s">
        <v>678</v>
      </c>
      <c r="L423" s="8" t="s">
        <v>679</v>
      </c>
      <c r="M423" s="8" t="s">
        <v>27</v>
      </c>
      <c r="N423" s="2" t="s">
        <v>19866</v>
      </c>
      <c r="O423" s="8" t="s">
        <v>400</v>
      </c>
      <c r="P423" s="8" t="s">
        <v>401</v>
      </c>
      <c r="Q423" s="12" t="s">
        <v>19867</v>
      </c>
      <c r="R423" s="8" t="s">
        <v>29</v>
      </c>
      <c r="S423" s="8" t="s">
        <v>28</v>
      </c>
      <c r="T423" s="8"/>
      <c r="U423" s="8"/>
      <c r="Y423" s="8"/>
      <c r="Z423" s="8"/>
      <c r="AA423" s="8"/>
      <c r="AB423" s="8"/>
      <c r="AC423" s="8"/>
      <c r="AD423" s="8"/>
      <c r="AE423" s="8"/>
      <c r="AF423" s="8"/>
      <c r="AG423" s="8"/>
      <c r="AH423" s="8"/>
    </row>
    <row r="424" spans="1:46" ht="13" customHeight="1">
      <c r="A424" s="8" t="s">
        <v>684</v>
      </c>
      <c r="B424" s="16">
        <v>26</v>
      </c>
      <c r="C424" s="8" t="s">
        <v>20</v>
      </c>
      <c r="D424" s="8" t="s">
        <v>37</v>
      </c>
      <c r="E424" s="8" t="s">
        <v>19758</v>
      </c>
      <c r="F424" s="17">
        <v>42238</v>
      </c>
      <c r="G424" s="8" t="s">
        <v>20031</v>
      </c>
      <c r="H424" s="8" t="s">
        <v>685</v>
      </c>
      <c r="I424" s="8" t="s">
        <v>363</v>
      </c>
      <c r="J424" s="16" t="s">
        <v>20032</v>
      </c>
      <c r="K424" s="2" t="s">
        <v>686</v>
      </c>
      <c r="L424" s="8" t="s">
        <v>687</v>
      </c>
      <c r="M424" s="8" t="s">
        <v>27</v>
      </c>
      <c r="N424" s="2" t="s">
        <v>19868</v>
      </c>
      <c r="O424" s="8" t="s">
        <v>400</v>
      </c>
      <c r="P424" s="8" t="s">
        <v>401</v>
      </c>
      <c r="Q424" s="12" t="s">
        <v>19869</v>
      </c>
      <c r="R424" s="8" t="s">
        <v>967</v>
      </c>
      <c r="S424" s="8" t="s">
        <v>379</v>
      </c>
      <c r="T424" s="8"/>
      <c r="U424" s="8"/>
    </row>
    <row r="425" spans="1:46" ht="13" customHeight="1">
      <c r="A425" s="8" t="s">
        <v>668</v>
      </c>
      <c r="B425" s="16">
        <v>38</v>
      </c>
      <c r="C425" s="8" t="s">
        <v>20</v>
      </c>
      <c r="D425" s="8" t="s">
        <v>37</v>
      </c>
      <c r="E425" s="8" t="str">
        <f>HYPERLINK("http://www.killedbypolice.net/victims/150755.jpg","http://www.killedbypolice.net/victims/150755.jpg")</f>
        <v>http://www.killedbypolice.net/victims/150755.jpg</v>
      </c>
      <c r="F425" s="17">
        <v>42238</v>
      </c>
      <c r="G425" s="8" t="s">
        <v>669</v>
      </c>
      <c r="H425" s="8" t="s">
        <v>670</v>
      </c>
      <c r="I425" s="8" t="s">
        <v>671</v>
      </c>
      <c r="J425" s="16">
        <v>38652</v>
      </c>
      <c r="K425" s="8" t="s">
        <v>672</v>
      </c>
      <c r="L425" s="8" t="s">
        <v>673</v>
      </c>
      <c r="M425" s="8" t="s">
        <v>27</v>
      </c>
      <c r="P425" s="8" t="s">
        <v>401</v>
      </c>
      <c r="Q425" s="11" t="str">
        <f>HYPERLINK("https://djournal.com/news/man-dies-after-police-chase-2/","https://djournal.com/news/man-dies-after-police-chase-2/")</f>
        <v>https://djournal.com/news/man-dies-after-police-chase-2/</v>
      </c>
      <c r="S425" s="8" t="s">
        <v>379</v>
      </c>
      <c r="T425" s="8"/>
      <c r="U425" s="8"/>
      <c r="AN425" s="8"/>
      <c r="AO425" s="8"/>
      <c r="AP425" s="8"/>
      <c r="AQ425" s="8"/>
      <c r="AR425" s="8"/>
      <c r="AS425" s="8"/>
      <c r="AT425" s="8"/>
    </row>
    <row r="426" spans="1:46" ht="13" customHeight="1">
      <c r="A426" s="8" t="s">
        <v>691</v>
      </c>
      <c r="B426" s="16">
        <v>38</v>
      </c>
      <c r="C426" s="8" t="s">
        <v>20</v>
      </c>
      <c r="D426" s="8" t="s">
        <v>37</v>
      </c>
      <c r="E426" s="8" t="s">
        <v>19760</v>
      </c>
      <c r="F426" s="17">
        <v>42237</v>
      </c>
      <c r="G426" s="8" t="s">
        <v>20034</v>
      </c>
      <c r="H426" s="8" t="s">
        <v>692</v>
      </c>
      <c r="I426" s="8" t="s">
        <v>366</v>
      </c>
      <c r="J426" s="16" t="s">
        <v>20035</v>
      </c>
      <c r="K426" s="2" t="s">
        <v>693</v>
      </c>
      <c r="L426" s="8" t="s">
        <v>694</v>
      </c>
      <c r="M426" s="8" t="s">
        <v>27</v>
      </c>
      <c r="N426" s="2" t="s">
        <v>19872</v>
      </c>
      <c r="O426" s="8" t="s">
        <v>400</v>
      </c>
      <c r="P426" s="8" t="s">
        <v>401</v>
      </c>
      <c r="Q426" s="12" t="s">
        <v>19873</v>
      </c>
      <c r="R426" s="8" t="s">
        <v>100</v>
      </c>
      <c r="S426" s="8" t="s">
        <v>28</v>
      </c>
      <c r="T426" s="8"/>
      <c r="U426" s="8"/>
    </row>
    <row r="427" spans="1:46" ht="13" customHeight="1">
      <c r="A427" s="8" t="s">
        <v>695</v>
      </c>
      <c r="B427" s="16">
        <v>30</v>
      </c>
      <c r="C427" s="8" t="s">
        <v>20</v>
      </c>
      <c r="D427" s="8" t="s">
        <v>37</v>
      </c>
      <c r="F427" s="17">
        <v>42237</v>
      </c>
      <c r="G427" s="8" t="s">
        <v>20036</v>
      </c>
      <c r="H427" s="8" t="s">
        <v>696</v>
      </c>
      <c r="I427" s="8" t="s">
        <v>52</v>
      </c>
      <c r="J427" s="16" t="s">
        <v>20037</v>
      </c>
      <c r="K427" s="2" t="s">
        <v>697</v>
      </c>
      <c r="L427" s="8" t="s">
        <v>698</v>
      </c>
      <c r="M427" s="8" t="s">
        <v>27</v>
      </c>
      <c r="N427" s="2" t="s">
        <v>19874</v>
      </c>
      <c r="O427" s="8" t="s">
        <v>400</v>
      </c>
      <c r="P427" s="8" t="s">
        <v>401</v>
      </c>
      <c r="Q427" s="12" t="s">
        <v>19875</v>
      </c>
      <c r="R427" s="8" t="s">
        <v>100</v>
      </c>
      <c r="S427" s="8" t="s">
        <v>18</v>
      </c>
      <c r="T427" s="8"/>
      <c r="U427" s="8"/>
    </row>
    <row r="428" spans="1:46" ht="13" customHeight="1">
      <c r="A428" s="8" t="s">
        <v>699</v>
      </c>
      <c r="B428" s="16">
        <v>57</v>
      </c>
      <c r="C428" s="8" t="s">
        <v>20</v>
      </c>
      <c r="D428" s="8" t="s">
        <v>37</v>
      </c>
      <c r="F428" s="17">
        <v>42237</v>
      </c>
      <c r="G428" s="8" t="s">
        <v>20038</v>
      </c>
      <c r="H428" s="8" t="s">
        <v>700</v>
      </c>
      <c r="I428" s="8" t="s">
        <v>303</v>
      </c>
      <c r="J428" s="16" t="s">
        <v>20039</v>
      </c>
      <c r="K428" s="2" t="s">
        <v>701</v>
      </c>
      <c r="L428" s="8" t="s">
        <v>702</v>
      </c>
      <c r="M428" s="8" t="s">
        <v>27</v>
      </c>
      <c r="N428" s="2" t="s">
        <v>21528</v>
      </c>
      <c r="O428" s="8" t="s">
        <v>400</v>
      </c>
      <c r="P428" s="8" t="s">
        <v>401</v>
      </c>
      <c r="Q428" s="12" t="s">
        <v>19876</v>
      </c>
      <c r="R428" s="8" t="s">
        <v>100</v>
      </c>
      <c r="S428" s="8" t="s">
        <v>35</v>
      </c>
      <c r="T428" s="8"/>
      <c r="U428" s="8"/>
    </row>
    <row r="429" spans="1:46" ht="13" customHeight="1">
      <c r="A429" s="8" t="s">
        <v>21207</v>
      </c>
      <c r="B429" s="16">
        <v>57</v>
      </c>
      <c r="C429" s="8" t="s">
        <v>20</v>
      </c>
      <c r="D429" s="8" t="s">
        <v>37</v>
      </c>
      <c r="E429" s="8" t="s">
        <v>21208</v>
      </c>
      <c r="F429" s="17">
        <v>42237</v>
      </c>
      <c r="G429" s="8" t="s">
        <v>688</v>
      </c>
      <c r="H429" s="8" t="s">
        <v>689</v>
      </c>
      <c r="I429" s="8" t="s">
        <v>123</v>
      </c>
      <c r="J429" s="16">
        <v>85258</v>
      </c>
      <c r="K429" s="8" t="s">
        <v>635</v>
      </c>
      <c r="L429" s="8" t="s">
        <v>690</v>
      </c>
      <c r="M429" s="8" t="s">
        <v>391</v>
      </c>
      <c r="P429" s="8" t="s">
        <v>401</v>
      </c>
      <c r="Q429" s="8" t="s">
        <v>20628</v>
      </c>
      <c r="S429" s="8" t="s">
        <v>18</v>
      </c>
      <c r="T429" s="8"/>
      <c r="U429" s="8"/>
    </row>
    <row r="430" spans="1:46" ht="13" customHeight="1">
      <c r="A430" s="8" t="s">
        <v>703</v>
      </c>
      <c r="B430" s="16">
        <v>17</v>
      </c>
      <c r="C430" s="8" t="s">
        <v>20</v>
      </c>
      <c r="D430" s="8" t="s">
        <v>48</v>
      </c>
      <c r="E430" s="8" t="s">
        <v>19761</v>
      </c>
      <c r="F430" s="17">
        <v>42236</v>
      </c>
      <c r="G430" s="8" t="s">
        <v>20042</v>
      </c>
      <c r="H430" s="8" t="s">
        <v>485</v>
      </c>
      <c r="I430" s="8" t="s">
        <v>45</v>
      </c>
      <c r="J430" s="16" t="s">
        <v>20043</v>
      </c>
      <c r="K430" s="2" t="s">
        <v>309</v>
      </c>
      <c r="L430" s="8" t="s">
        <v>486</v>
      </c>
      <c r="M430" s="8" t="s">
        <v>27</v>
      </c>
      <c r="N430" s="2" t="s">
        <v>19879</v>
      </c>
      <c r="O430" s="8" t="s">
        <v>400</v>
      </c>
      <c r="P430" s="8" t="s">
        <v>401</v>
      </c>
      <c r="Q430" s="12" t="s">
        <v>19880</v>
      </c>
      <c r="R430" s="8" t="s">
        <v>100</v>
      </c>
      <c r="S430" s="8" t="s">
        <v>28</v>
      </c>
      <c r="T430" s="6"/>
      <c r="U430" s="8"/>
      <c r="Y430" s="8"/>
      <c r="Z430" s="8"/>
      <c r="AA430" s="8"/>
      <c r="AB430" s="8"/>
      <c r="AC430" s="8"/>
      <c r="AD430" s="8"/>
      <c r="AE430" s="8"/>
      <c r="AF430" s="8"/>
      <c r="AG430" s="8"/>
      <c r="AH430" s="8"/>
    </row>
    <row r="431" spans="1:46" ht="13" customHeight="1">
      <c r="A431" s="8" t="s">
        <v>704</v>
      </c>
      <c r="B431" s="16">
        <v>19</v>
      </c>
      <c r="C431" s="8" t="s">
        <v>20</v>
      </c>
      <c r="D431" s="8" t="s">
        <v>37</v>
      </c>
      <c r="F431" s="17">
        <v>42236</v>
      </c>
      <c r="G431" s="8" t="s">
        <v>705</v>
      </c>
      <c r="H431" s="8" t="s">
        <v>706</v>
      </c>
      <c r="I431" s="8" t="s">
        <v>69</v>
      </c>
      <c r="J431" s="16" t="s">
        <v>20044</v>
      </c>
      <c r="K431" s="2" t="s">
        <v>118</v>
      </c>
      <c r="L431" s="8" t="s">
        <v>119</v>
      </c>
      <c r="M431" s="8" t="s">
        <v>27</v>
      </c>
      <c r="N431" s="2" t="s">
        <v>19881</v>
      </c>
      <c r="O431" s="8" t="s">
        <v>19819</v>
      </c>
      <c r="P431" s="8" t="s">
        <v>401</v>
      </c>
      <c r="Q431" s="12" t="s">
        <v>19882</v>
      </c>
      <c r="R431" s="8" t="s">
        <v>29</v>
      </c>
      <c r="S431" s="8" t="s">
        <v>28</v>
      </c>
      <c r="T431" s="8"/>
      <c r="U431" s="8"/>
    </row>
    <row r="432" spans="1:46" ht="13" customHeight="1">
      <c r="A432" s="8" t="s">
        <v>707</v>
      </c>
      <c r="B432" s="16">
        <v>50</v>
      </c>
      <c r="C432" s="8" t="s">
        <v>20</v>
      </c>
      <c r="D432" s="8" t="s">
        <v>37</v>
      </c>
      <c r="F432" s="17">
        <v>42236</v>
      </c>
      <c r="G432" s="8" t="s">
        <v>20040</v>
      </c>
      <c r="H432" s="8" t="s">
        <v>708</v>
      </c>
      <c r="I432" s="8" t="s">
        <v>94</v>
      </c>
      <c r="J432" s="16" t="s">
        <v>20041</v>
      </c>
      <c r="K432" s="2" t="s">
        <v>708</v>
      </c>
      <c r="L432" s="8" t="s">
        <v>709</v>
      </c>
      <c r="M432" s="8" t="s">
        <v>27</v>
      </c>
      <c r="N432" s="2" t="s">
        <v>19877</v>
      </c>
      <c r="O432" s="8" t="s">
        <v>400</v>
      </c>
      <c r="P432" s="8" t="s">
        <v>401</v>
      </c>
      <c r="Q432" s="12" t="s">
        <v>19878</v>
      </c>
      <c r="R432" s="8" t="s">
        <v>100</v>
      </c>
      <c r="S432" s="8" t="s">
        <v>18</v>
      </c>
      <c r="T432" s="8"/>
      <c r="U432" s="8"/>
    </row>
    <row r="433" spans="1:34" ht="13" customHeight="1">
      <c r="A433" s="8" t="s">
        <v>714</v>
      </c>
      <c r="B433" s="16">
        <v>24</v>
      </c>
      <c r="C433" s="8" t="s">
        <v>20</v>
      </c>
      <c r="D433" s="8" t="s">
        <v>85</v>
      </c>
      <c r="E433" s="8" t="s">
        <v>19762</v>
      </c>
      <c r="F433" s="17">
        <v>42235</v>
      </c>
      <c r="G433" s="8" t="s">
        <v>20045</v>
      </c>
      <c r="H433" s="8" t="s">
        <v>20046</v>
      </c>
      <c r="I433" s="8" t="s">
        <v>57</v>
      </c>
      <c r="J433" s="16" t="s">
        <v>20047</v>
      </c>
      <c r="K433" s="2" t="s">
        <v>603</v>
      </c>
      <c r="L433" s="8" t="s">
        <v>20048</v>
      </c>
      <c r="M433" s="8" t="s">
        <v>27</v>
      </c>
      <c r="N433" s="2" t="s">
        <v>19883</v>
      </c>
      <c r="O433" s="8" t="s">
        <v>400</v>
      </c>
      <c r="P433" s="8" t="s">
        <v>401</v>
      </c>
      <c r="Q433" s="12" t="s">
        <v>19884</v>
      </c>
      <c r="R433" s="8" t="s">
        <v>100</v>
      </c>
      <c r="S433" s="8" t="s">
        <v>28</v>
      </c>
      <c r="T433" s="8"/>
      <c r="U433" s="8"/>
    </row>
    <row r="434" spans="1:34" ht="13" customHeight="1">
      <c r="A434" s="8" t="s">
        <v>710</v>
      </c>
      <c r="B434" s="16">
        <v>18</v>
      </c>
      <c r="C434" s="8" t="s">
        <v>20</v>
      </c>
      <c r="D434" s="8" t="s">
        <v>85</v>
      </c>
      <c r="E434" s="8" t="s">
        <v>19763</v>
      </c>
      <c r="F434" s="17">
        <v>42235</v>
      </c>
      <c r="G434" s="8" t="s">
        <v>711</v>
      </c>
      <c r="H434" s="8" t="s">
        <v>20051</v>
      </c>
      <c r="I434" s="8" t="s">
        <v>431</v>
      </c>
      <c r="J434" s="16" t="s">
        <v>4774</v>
      </c>
      <c r="K434" s="2" t="s">
        <v>712</v>
      </c>
      <c r="L434" s="8" t="s">
        <v>4545</v>
      </c>
      <c r="M434" s="8" t="s">
        <v>27</v>
      </c>
      <c r="N434" s="2" t="s">
        <v>713</v>
      </c>
      <c r="O434" s="8" t="s">
        <v>400</v>
      </c>
      <c r="P434" s="8" t="s">
        <v>401</v>
      </c>
      <c r="Q434" s="12" t="s">
        <v>19887</v>
      </c>
      <c r="R434" s="8" t="s">
        <v>29</v>
      </c>
      <c r="S434" s="8" t="s">
        <v>35</v>
      </c>
      <c r="T434" s="8"/>
      <c r="U434" s="8"/>
    </row>
    <row r="435" spans="1:34" ht="13" customHeight="1">
      <c r="A435" s="8" t="s">
        <v>715</v>
      </c>
      <c r="B435" s="16">
        <v>29</v>
      </c>
      <c r="C435" s="8" t="s">
        <v>20</v>
      </c>
      <c r="D435" s="8" t="s">
        <v>37</v>
      </c>
      <c r="F435" s="17">
        <v>42235</v>
      </c>
      <c r="G435" s="8" t="s">
        <v>20049</v>
      </c>
      <c r="H435" s="8" t="s">
        <v>716</v>
      </c>
      <c r="I435" s="8" t="s">
        <v>303</v>
      </c>
      <c r="J435" s="16" t="s">
        <v>20050</v>
      </c>
      <c r="K435" s="2" t="s">
        <v>717</v>
      </c>
      <c r="L435" s="8" t="s">
        <v>718</v>
      </c>
      <c r="M435" s="8" t="s">
        <v>27</v>
      </c>
      <c r="N435" s="2" t="s">
        <v>19885</v>
      </c>
      <c r="O435" s="8" t="s">
        <v>400</v>
      </c>
      <c r="P435" s="8" t="s">
        <v>401</v>
      </c>
      <c r="Q435" s="12" t="s">
        <v>19886</v>
      </c>
      <c r="R435" s="8" t="s">
        <v>592</v>
      </c>
      <c r="S435" s="8" t="s">
        <v>28</v>
      </c>
      <c r="T435" s="8"/>
      <c r="U435" s="8"/>
    </row>
    <row r="436" spans="1:34" ht="13" customHeight="1">
      <c r="A436" s="8" t="s">
        <v>719</v>
      </c>
      <c r="B436" s="16">
        <v>44</v>
      </c>
      <c r="C436" s="8" t="s">
        <v>20</v>
      </c>
      <c r="D436" s="8" t="s">
        <v>37</v>
      </c>
      <c r="E436" s="8" t="s">
        <v>19764</v>
      </c>
      <c r="F436" s="17">
        <v>42235</v>
      </c>
      <c r="G436" s="8" t="s">
        <v>720</v>
      </c>
      <c r="H436" s="8" t="s">
        <v>721</v>
      </c>
      <c r="I436" s="8" t="s">
        <v>366</v>
      </c>
      <c r="J436" s="16" t="s">
        <v>20052</v>
      </c>
      <c r="K436" s="2" t="s">
        <v>722</v>
      </c>
      <c r="L436" s="8" t="s">
        <v>723</v>
      </c>
      <c r="M436" s="8" t="s">
        <v>27</v>
      </c>
      <c r="N436" s="2" t="s">
        <v>19888</v>
      </c>
      <c r="O436" s="8" t="s">
        <v>400</v>
      </c>
      <c r="P436" s="8" t="s">
        <v>401</v>
      </c>
      <c r="Q436" s="12" t="s">
        <v>19889</v>
      </c>
      <c r="R436" s="8" t="s">
        <v>29</v>
      </c>
      <c r="S436" s="8" t="s">
        <v>28</v>
      </c>
      <c r="T436" s="8"/>
      <c r="U436" s="8"/>
    </row>
    <row r="437" spans="1:34" ht="13" customHeight="1">
      <c r="A437" s="8" t="s">
        <v>724</v>
      </c>
      <c r="B437" s="16">
        <v>35</v>
      </c>
      <c r="C437" s="8" t="s">
        <v>20</v>
      </c>
      <c r="D437" s="8" t="s">
        <v>85</v>
      </c>
      <c r="E437" s="8" t="s">
        <v>19765</v>
      </c>
      <c r="F437" s="17">
        <v>42233</v>
      </c>
      <c r="G437" s="8" t="s">
        <v>725</v>
      </c>
      <c r="H437" s="8" t="s">
        <v>726</v>
      </c>
      <c r="I437" s="8" t="s">
        <v>73</v>
      </c>
      <c r="J437" s="16" t="s">
        <v>20053</v>
      </c>
      <c r="K437" s="2" t="s">
        <v>558</v>
      </c>
      <c r="L437" s="8" t="s">
        <v>727</v>
      </c>
      <c r="M437" s="8" t="s">
        <v>27</v>
      </c>
      <c r="N437" s="2" t="s">
        <v>19890</v>
      </c>
      <c r="O437" s="8" t="s">
        <v>400</v>
      </c>
      <c r="P437" s="8" t="s">
        <v>401</v>
      </c>
      <c r="Q437" s="12" t="s">
        <v>728</v>
      </c>
      <c r="R437" s="8" t="s">
        <v>967</v>
      </c>
      <c r="S437" s="8" t="s">
        <v>28</v>
      </c>
      <c r="T437" s="8"/>
      <c r="U437" s="8"/>
    </row>
    <row r="438" spans="1:34" ht="13" customHeight="1">
      <c r="A438" s="8" t="s">
        <v>729</v>
      </c>
      <c r="B438" s="16">
        <v>40</v>
      </c>
      <c r="C438" s="8" t="s">
        <v>20</v>
      </c>
      <c r="D438" s="8" t="s">
        <v>48</v>
      </c>
      <c r="E438" s="8" t="s">
        <v>19766</v>
      </c>
      <c r="F438" s="17">
        <v>42233</v>
      </c>
      <c r="G438" s="8" t="s">
        <v>20054</v>
      </c>
      <c r="H438" s="8" t="s">
        <v>608</v>
      </c>
      <c r="I438" s="8" t="s">
        <v>45</v>
      </c>
      <c r="J438" s="16" t="s">
        <v>3349</v>
      </c>
      <c r="K438" s="2" t="s">
        <v>609</v>
      </c>
      <c r="L438" s="8" t="s">
        <v>730</v>
      </c>
      <c r="M438" s="8" t="s">
        <v>27</v>
      </c>
      <c r="N438" s="2" t="s">
        <v>19891</v>
      </c>
      <c r="O438" s="8" t="s">
        <v>400</v>
      </c>
      <c r="P438" s="8" t="s">
        <v>401</v>
      </c>
      <c r="Q438" s="12" t="s">
        <v>19892</v>
      </c>
      <c r="R438" s="8" t="s">
        <v>100</v>
      </c>
      <c r="S438" s="8" t="s">
        <v>18</v>
      </c>
      <c r="T438" s="6"/>
      <c r="U438" s="8"/>
    </row>
    <row r="439" spans="1:34" ht="13" customHeight="1">
      <c r="A439" s="8" t="s">
        <v>731</v>
      </c>
      <c r="B439" s="16">
        <v>29</v>
      </c>
      <c r="C439" s="8" t="s">
        <v>20</v>
      </c>
      <c r="D439" s="8" t="s">
        <v>48</v>
      </c>
      <c r="E439" s="8" t="s">
        <v>19767</v>
      </c>
      <c r="F439" s="17">
        <v>42232</v>
      </c>
      <c r="G439" s="8" t="s">
        <v>20055</v>
      </c>
      <c r="H439" s="8" t="s">
        <v>608</v>
      </c>
      <c r="I439" s="8" t="s">
        <v>45</v>
      </c>
      <c r="J439" s="16" t="s">
        <v>3349</v>
      </c>
      <c r="K439" s="2" t="s">
        <v>609</v>
      </c>
      <c r="L439" s="8" t="s">
        <v>730</v>
      </c>
      <c r="M439" s="8" t="s">
        <v>27</v>
      </c>
      <c r="N439" s="2" t="s">
        <v>19893</v>
      </c>
      <c r="O439" s="8" t="s">
        <v>400</v>
      </c>
      <c r="P439" s="8" t="s">
        <v>401</v>
      </c>
      <c r="Q439" s="12" t="s">
        <v>19894</v>
      </c>
      <c r="R439" s="8" t="s">
        <v>29</v>
      </c>
      <c r="S439" s="8" t="s">
        <v>28</v>
      </c>
      <c r="T439" s="8"/>
      <c r="U439" s="8"/>
    </row>
    <row r="440" spans="1:34" ht="13" customHeight="1">
      <c r="A440" s="8" t="s">
        <v>732</v>
      </c>
      <c r="B440" s="16">
        <v>23</v>
      </c>
      <c r="C440" s="8" t="s">
        <v>20</v>
      </c>
      <c r="D440" s="8" t="s">
        <v>48</v>
      </c>
      <c r="F440" s="17">
        <v>42232</v>
      </c>
      <c r="G440" s="8" t="s">
        <v>733</v>
      </c>
      <c r="H440" s="8" t="s">
        <v>734</v>
      </c>
      <c r="I440" s="8" t="s">
        <v>45</v>
      </c>
      <c r="J440" s="16">
        <v>96130</v>
      </c>
      <c r="K440" s="8" t="s">
        <v>735</v>
      </c>
      <c r="L440" s="8" t="s">
        <v>736</v>
      </c>
      <c r="M440" s="8" t="s">
        <v>27</v>
      </c>
      <c r="N440" s="2" t="s">
        <v>21525</v>
      </c>
      <c r="P440" s="8" t="s">
        <v>401</v>
      </c>
      <c r="Q440" s="8" t="s">
        <v>20627</v>
      </c>
      <c r="R440" s="8" t="s">
        <v>29</v>
      </c>
      <c r="S440" s="8" t="s">
        <v>28</v>
      </c>
      <c r="T440" s="8"/>
      <c r="U440" s="8"/>
      <c r="Y440" s="8"/>
      <c r="Z440" s="8"/>
      <c r="AA440" s="8"/>
      <c r="AB440" s="8"/>
      <c r="AC440" s="8"/>
      <c r="AD440" s="8"/>
      <c r="AE440" s="8"/>
      <c r="AF440" s="8"/>
      <c r="AG440" s="8"/>
      <c r="AH440" s="8"/>
    </row>
    <row r="441" spans="1:34" ht="13" customHeight="1">
      <c r="A441" s="8" t="s">
        <v>737</v>
      </c>
      <c r="B441" s="16">
        <v>47</v>
      </c>
      <c r="C441" s="8" t="s">
        <v>20</v>
      </c>
      <c r="D441" s="8" t="s">
        <v>37</v>
      </c>
      <c r="E441" s="8" t="s">
        <v>19768</v>
      </c>
      <c r="F441" s="17">
        <v>42232</v>
      </c>
      <c r="G441" s="8" t="s">
        <v>738</v>
      </c>
      <c r="H441" s="8" t="s">
        <v>739</v>
      </c>
      <c r="I441" s="8" t="s">
        <v>73</v>
      </c>
      <c r="J441" s="16" t="s">
        <v>20056</v>
      </c>
      <c r="K441" s="2" t="s">
        <v>740</v>
      </c>
      <c r="L441" s="8" t="s">
        <v>741</v>
      </c>
      <c r="M441" s="8" t="s">
        <v>27</v>
      </c>
      <c r="N441" s="2" t="s">
        <v>19895</v>
      </c>
      <c r="O441" s="8" t="s">
        <v>400</v>
      </c>
      <c r="P441" s="8" t="s">
        <v>401</v>
      </c>
      <c r="Q441" s="12" t="s">
        <v>19896</v>
      </c>
      <c r="R441" s="8" t="s">
        <v>29</v>
      </c>
      <c r="S441" s="8" t="s">
        <v>28</v>
      </c>
      <c r="T441" s="8"/>
      <c r="U441" s="8"/>
    </row>
    <row r="442" spans="1:34" ht="13" customHeight="1">
      <c r="A442" s="8" t="s">
        <v>742</v>
      </c>
      <c r="B442" s="16">
        <v>44</v>
      </c>
      <c r="C442" s="8" t="s">
        <v>20</v>
      </c>
      <c r="D442" s="8" t="s">
        <v>48</v>
      </c>
      <c r="E442" s="8" t="s">
        <v>19771</v>
      </c>
      <c r="F442" s="17">
        <v>42231</v>
      </c>
      <c r="G442" s="8" t="s">
        <v>20062</v>
      </c>
      <c r="H442" s="8" t="s">
        <v>743</v>
      </c>
      <c r="I442" s="8" t="s">
        <v>45</v>
      </c>
      <c r="J442" s="16" t="s">
        <v>20063</v>
      </c>
      <c r="K442" s="2" t="s">
        <v>98</v>
      </c>
      <c r="L442" s="8" t="s">
        <v>20064</v>
      </c>
      <c r="M442" s="8" t="s">
        <v>391</v>
      </c>
      <c r="N442" s="2" t="s">
        <v>19905</v>
      </c>
      <c r="O442" s="8" t="s">
        <v>400</v>
      </c>
      <c r="P442" s="8" t="s">
        <v>401</v>
      </c>
      <c r="Q442" s="12" t="s">
        <v>19906</v>
      </c>
      <c r="R442" s="8" t="s">
        <v>29</v>
      </c>
      <c r="S442" s="8" t="s">
        <v>18</v>
      </c>
      <c r="T442" s="8"/>
      <c r="U442" s="8"/>
    </row>
    <row r="443" spans="1:34" ht="13" customHeight="1">
      <c r="A443" s="8" t="s">
        <v>751</v>
      </c>
      <c r="B443" s="16">
        <v>30</v>
      </c>
      <c r="C443" s="8" t="s">
        <v>20</v>
      </c>
      <c r="D443" s="8" t="s">
        <v>37</v>
      </c>
      <c r="F443" s="17">
        <v>42231</v>
      </c>
      <c r="G443" s="8" t="s">
        <v>752</v>
      </c>
      <c r="H443" s="8" t="s">
        <v>753</v>
      </c>
      <c r="I443" s="8" t="s">
        <v>269</v>
      </c>
      <c r="J443" s="16" t="s">
        <v>20061</v>
      </c>
      <c r="K443" s="2" t="s">
        <v>753</v>
      </c>
      <c r="L443" s="8" t="s">
        <v>754</v>
      </c>
      <c r="M443" s="8" t="s">
        <v>27</v>
      </c>
      <c r="N443" s="2" t="s">
        <v>19903</v>
      </c>
      <c r="O443" s="8" t="s">
        <v>400</v>
      </c>
      <c r="P443" s="8" t="s">
        <v>401</v>
      </c>
      <c r="Q443" s="12" t="s">
        <v>19904</v>
      </c>
      <c r="R443" s="8" t="s">
        <v>29</v>
      </c>
      <c r="S443" s="8" t="s">
        <v>28</v>
      </c>
      <c r="T443" s="8"/>
      <c r="U443" s="8"/>
    </row>
    <row r="444" spans="1:34" ht="13" customHeight="1">
      <c r="A444" s="8" t="s">
        <v>747</v>
      </c>
      <c r="B444" s="16">
        <v>34</v>
      </c>
      <c r="C444" s="8" t="s">
        <v>20</v>
      </c>
      <c r="D444" s="8" t="s">
        <v>37</v>
      </c>
      <c r="E444" s="8" t="s">
        <v>19770</v>
      </c>
      <c r="F444" s="17">
        <v>42231</v>
      </c>
      <c r="G444" s="8" t="s">
        <v>748</v>
      </c>
      <c r="H444" s="8" t="s">
        <v>749</v>
      </c>
      <c r="I444" s="8" t="s">
        <v>45</v>
      </c>
      <c r="J444" s="16" t="s">
        <v>20058</v>
      </c>
      <c r="K444" s="2" t="s">
        <v>682</v>
      </c>
      <c r="L444" s="8" t="s">
        <v>750</v>
      </c>
      <c r="M444" s="8" t="s">
        <v>27</v>
      </c>
      <c r="N444" s="2" t="s">
        <v>19899</v>
      </c>
      <c r="O444" s="8" t="s">
        <v>400</v>
      </c>
      <c r="P444" s="8" t="s">
        <v>401</v>
      </c>
      <c r="Q444" s="12" t="s">
        <v>19900</v>
      </c>
      <c r="R444" s="8" t="s">
        <v>29</v>
      </c>
      <c r="S444" s="8" t="s">
        <v>28</v>
      </c>
      <c r="T444" s="8"/>
      <c r="U444" s="8"/>
    </row>
    <row r="445" spans="1:34" ht="13" customHeight="1">
      <c r="A445" s="8" t="s">
        <v>744</v>
      </c>
      <c r="B445" s="16">
        <v>43</v>
      </c>
      <c r="C445" s="8" t="s">
        <v>20</v>
      </c>
      <c r="D445" s="8" t="s">
        <v>37</v>
      </c>
      <c r="F445" s="17">
        <v>42231</v>
      </c>
      <c r="G445" s="8" t="s">
        <v>20059</v>
      </c>
      <c r="H445" s="8" t="s">
        <v>745</v>
      </c>
      <c r="I445" s="8" t="s">
        <v>217</v>
      </c>
      <c r="J445" s="16" t="s">
        <v>20060</v>
      </c>
      <c r="K445" s="2" t="s">
        <v>1781</v>
      </c>
      <c r="L445" s="8" t="s">
        <v>746</v>
      </c>
      <c r="M445" s="8" t="s">
        <v>27</v>
      </c>
      <c r="N445" s="2" t="s">
        <v>19901</v>
      </c>
      <c r="O445" s="8" t="s">
        <v>400</v>
      </c>
      <c r="P445" s="8" t="s">
        <v>401</v>
      </c>
      <c r="Q445" s="12" t="s">
        <v>19902</v>
      </c>
      <c r="R445" s="8" t="s">
        <v>29</v>
      </c>
      <c r="S445" s="8" t="s">
        <v>18</v>
      </c>
      <c r="T445" s="6"/>
      <c r="U445" s="8"/>
    </row>
    <row r="446" spans="1:34" ht="13" customHeight="1">
      <c r="A446" s="8" t="s">
        <v>755</v>
      </c>
      <c r="B446" s="16">
        <v>38</v>
      </c>
      <c r="C446" s="8" t="s">
        <v>20</v>
      </c>
      <c r="D446" s="8" t="s">
        <v>85</v>
      </c>
      <c r="E446" s="8" t="s">
        <v>19773</v>
      </c>
      <c r="F446" s="17">
        <v>42230</v>
      </c>
      <c r="G446" s="8" t="s">
        <v>756</v>
      </c>
      <c r="H446" s="8" t="s">
        <v>757</v>
      </c>
      <c r="I446" s="8" t="s">
        <v>423</v>
      </c>
      <c r="J446" s="16" t="s">
        <v>13972</v>
      </c>
      <c r="K446" s="2" t="s">
        <v>877</v>
      </c>
      <c r="L446" s="8" t="s">
        <v>582</v>
      </c>
      <c r="M446" s="8" t="s">
        <v>27</v>
      </c>
      <c r="N446" s="2" t="s">
        <v>758</v>
      </c>
      <c r="O446" s="8" t="s">
        <v>400</v>
      </c>
      <c r="P446" s="8" t="s">
        <v>401</v>
      </c>
      <c r="Q446" s="12" t="s">
        <v>759</v>
      </c>
      <c r="R446" s="8" t="s">
        <v>29</v>
      </c>
      <c r="S446" s="8" t="s">
        <v>28</v>
      </c>
      <c r="T446" s="8"/>
      <c r="U446" s="8"/>
    </row>
    <row r="447" spans="1:34" ht="13" customHeight="1">
      <c r="A447" s="8" t="s">
        <v>760</v>
      </c>
      <c r="B447" s="16">
        <v>30</v>
      </c>
      <c r="C447" s="8" t="s">
        <v>20</v>
      </c>
      <c r="D447" s="8" t="s">
        <v>85</v>
      </c>
      <c r="F447" s="17">
        <v>42230</v>
      </c>
      <c r="G447" s="8" t="s">
        <v>20065</v>
      </c>
      <c r="H447" s="8" t="s">
        <v>20066</v>
      </c>
      <c r="I447" s="8" t="s">
        <v>52</v>
      </c>
      <c r="J447" s="16" t="s">
        <v>20067</v>
      </c>
      <c r="K447" s="2" t="s">
        <v>2387</v>
      </c>
      <c r="L447" s="8" t="s">
        <v>20068</v>
      </c>
      <c r="M447" s="8" t="s">
        <v>27</v>
      </c>
      <c r="N447" s="2" t="s">
        <v>19907</v>
      </c>
      <c r="O447" s="8" t="s">
        <v>400</v>
      </c>
      <c r="P447" s="8" t="s">
        <v>401</v>
      </c>
      <c r="Q447" s="12" t="s">
        <v>19908</v>
      </c>
      <c r="R447" s="8" t="s">
        <v>100</v>
      </c>
      <c r="S447" s="8" t="s">
        <v>18</v>
      </c>
      <c r="T447" s="8"/>
      <c r="U447" s="8"/>
    </row>
    <row r="448" spans="1:34" ht="13" customHeight="1">
      <c r="A448" s="8" t="s">
        <v>763</v>
      </c>
      <c r="B448" s="16">
        <v>26</v>
      </c>
      <c r="C448" s="8" t="s">
        <v>20</v>
      </c>
      <c r="D448" s="8" t="s">
        <v>48</v>
      </c>
      <c r="F448" s="17">
        <v>42230</v>
      </c>
      <c r="G448" s="8" t="s">
        <v>764</v>
      </c>
      <c r="H448" s="8" t="s">
        <v>765</v>
      </c>
      <c r="I448" s="8" t="s">
        <v>73</v>
      </c>
      <c r="J448" s="16" t="s">
        <v>20070</v>
      </c>
      <c r="K448" s="2" t="s">
        <v>766</v>
      </c>
      <c r="L448" s="8" t="s">
        <v>767</v>
      </c>
      <c r="M448" s="8" t="s">
        <v>27</v>
      </c>
      <c r="N448" s="2" t="s">
        <v>19911</v>
      </c>
      <c r="O448" s="8" t="s">
        <v>400</v>
      </c>
      <c r="P448" s="8" t="s">
        <v>401</v>
      </c>
      <c r="Q448" s="12" t="s">
        <v>19912</v>
      </c>
      <c r="R448" s="8" t="s">
        <v>29</v>
      </c>
      <c r="S448" s="8" t="s">
        <v>28</v>
      </c>
      <c r="T448" s="6"/>
      <c r="U448" s="8"/>
    </row>
    <row r="449" spans="1:34" ht="13" customHeight="1">
      <c r="A449" s="8" t="s">
        <v>768</v>
      </c>
      <c r="B449" s="16">
        <v>53</v>
      </c>
      <c r="C449" s="8" t="s">
        <v>20</v>
      </c>
      <c r="D449" s="8" t="s">
        <v>37</v>
      </c>
      <c r="E449" s="8" t="s">
        <v>19772</v>
      </c>
      <c r="F449" s="17">
        <v>42230</v>
      </c>
      <c r="G449" s="8" t="s">
        <v>769</v>
      </c>
      <c r="H449" s="8" t="s">
        <v>770</v>
      </c>
      <c r="I449" s="8" t="s">
        <v>41</v>
      </c>
      <c r="J449" s="16" t="s">
        <v>20069</v>
      </c>
      <c r="K449" s="2" t="s">
        <v>771</v>
      </c>
      <c r="L449" s="8" t="s">
        <v>772</v>
      </c>
      <c r="M449" s="8" t="s">
        <v>27</v>
      </c>
      <c r="N449" s="2" t="s">
        <v>19909</v>
      </c>
      <c r="O449" s="8" t="s">
        <v>400</v>
      </c>
      <c r="P449" s="8" t="s">
        <v>401</v>
      </c>
      <c r="Q449" s="12" t="s">
        <v>19910</v>
      </c>
      <c r="R449" s="8" t="s">
        <v>29</v>
      </c>
      <c r="S449" s="8" t="s">
        <v>28</v>
      </c>
      <c r="T449" s="8"/>
      <c r="U449" s="8"/>
    </row>
    <row r="450" spans="1:34" ht="13" customHeight="1">
      <c r="A450" s="8" t="s">
        <v>773</v>
      </c>
      <c r="B450" s="16">
        <v>23</v>
      </c>
      <c r="C450" s="8" t="s">
        <v>20</v>
      </c>
      <c r="D450" s="8" t="s">
        <v>85</v>
      </c>
      <c r="E450" s="8" t="s">
        <v>19769</v>
      </c>
      <c r="F450" s="17">
        <v>42229</v>
      </c>
      <c r="G450" s="8" t="s">
        <v>20057</v>
      </c>
      <c r="H450" s="8" t="s">
        <v>774</v>
      </c>
      <c r="I450" s="8" t="s">
        <v>45</v>
      </c>
      <c r="J450" s="16" t="s">
        <v>9435</v>
      </c>
      <c r="K450" s="2" t="s">
        <v>609</v>
      </c>
      <c r="L450" s="8" t="s">
        <v>775</v>
      </c>
      <c r="M450" s="8" t="s">
        <v>27</v>
      </c>
      <c r="N450" s="2" t="s">
        <v>19897</v>
      </c>
      <c r="O450" s="8" t="s">
        <v>400</v>
      </c>
      <c r="P450" s="8" t="s">
        <v>401</v>
      </c>
      <c r="Q450" s="12" t="s">
        <v>19898</v>
      </c>
      <c r="R450" s="8" t="s">
        <v>29</v>
      </c>
      <c r="S450" s="8" t="s">
        <v>28</v>
      </c>
      <c r="T450" s="8"/>
      <c r="U450" s="8"/>
    </row>
    <row r="451" spans="1:34" ht="13" customHeight="1">
      <c r="A451" s="8" t="s">
        <v>776</v>
      </c>
      <c r="B451" s="16">
        <v>24</v>
      </c>
      <c r="C451" s="8" t="s">
        <v>20</v>
      </c>
      <c r="D451" s="8" t="s">
        <v>85</v>
      </c>
      <c r="E451" s="8" t="s">
        <v>19774</v>
      </c>
      <c r="F451" s="17">
        <v>42228</v>
      </c>
      <c r="G451" s="8" t="s">
        <v>20073</v>
      </c>
      <c r="H451" s="8" t="s">
        <v>603</v>
      </c>
      <c r="I451" s="8" t="s">
        <v>45</v>
      </c>
      <c r="J451" s="16" t="s">
        <v>20074</v>
      </c>
      <c r="K451" s="2" t="s">
        <v>604</v>
      </c>
      <c r="L451" s="8" t="s">
        <v>605</v>
      </c>
      <c r="M451" s="8" t="s">
        <v>27</v>
      </c>
      <c r="N451" s="2" t="s">
        <v>19915</v>
      </c>
      <c r="O451" s="8" t="s">
        <v>400</v>
      </c>
      <c r="P451" s="8" t="s">
        <v>401</v>
      </c>
      <c r="Q451" s="12" t="s">
        <v>19916</v>
      </c>
      <c r="R451" s="8" t="s">
        <v>100</v>
      </c>
      <c r="S451" s="8" t="s">
        <v>28</v>
      </c>
      <c r="T451" s="8"/>
      <c r="U451" s="8"/>
    </row>
    <row r="452" spans="1:34" ht="13" customHeight="1">
      <c r="A452" s="8" t="s">
        <v>777</v>
      </c>
      <c r="B452" s="16">
        <v>27</v>
      </c>
      <c r="C452" s="8" t="s">
        <v>20</v>
      </c>
      <c r="D452" s="8" t="s">
        <v>85</v>
      </c>
      <c r="E452" s="8" t="s">
        <v>19775</v>
      </c>
      <c r="F452" s="17">
        <v>42228</v>
      </c>
      <c r="G452" s="8" t="s">
        <v>20075</v>
      </c>
      <c r="H452" s="8" t="s">
        <v>778</v>
      </c>
      <c r="I452" s="8" t="s">
        <v>69</v>
      </c>
      <c r="J452" s="16" t="s">
        <v>20076</v>
      </c>
      <c r="K452" s="2" t="s">
        <v>779</v>
      </c>
      <c r="L452" s="8" t="s">
        <v>780</v>
      </c>
      <c r="M452" s="8" t="s">
        <v>27</v>
      </c>
      <c r="N452" s="2" t="s">
        <v>19918</v>
      </c>
      <c r="O452" s="8" t="s">
        <v>400</v>
      </c>
      <c r="P452" s="8" t="s">
        <v>401</v>
      </c>
      <c r="Q452" s="12" t="s">
        <v>19919</v>
      </c>
      <c r="R452" s="8" t="s">
        <v>100</v>
      </c>
      <c r="S452" s="8" t="s">
        <v>28</v>
      </c>
      <c r="T452" s="8"/>
      <c r="U452" s="8"/>
      <c r="Y452" s="8"/>
      <c r="Z452" s="8"/>
      <c r="AA452" s="8"/>
      <c r="AB452" s="8"/>
      <c r="AC452" s="8"/>
      <c r="AD452" s="8"/>
      <c r="AE452" s="8"/>
      <c r="AF452" s="8"/>
      <c r="AG452" s="8"/>
      <c r="AH452" s="8"/>
    </row>
    <row r="453" spans="1:34" ht="13" customHeight="1">
      <c r="A453" s="8" t="s">
        <v>781</v>
      </c>
      <c r="B453" s="16">
        <v>30</v>
      </c>
      <c r="C453" s="8" t="s">
        <v>114</v>
      </c>
      <c r="D453" s="8" t="s">
        <v>85</v>
      </c>
      <c r="F453" s="17">
        <v>42228</v>
      </c>
      <c r="G453" s="8" t="s">
        <v>782</v>
      </c>
      <c r="H453" s="8" t="s">
        <v>98</v>
      </c>
      <c r="I453" s="8" t="s">
        <v>45</v>
      </c>
      <c r="J453" s="16" t="s">
        <v>8995</v>
      </c>
      <c r="K453" s="2" t="s">
        <v>98</v>
      </c>
      <c r="L453" s="8" t="s">
        <v>99</v>
      </c>
      <c r="M453" s="8" t="s">
        <v>27</v>
      </c>
      <c r="N453" s="2" t="s">
        <v>783</v>
      </c>
      <c r="O453" s="8" t="s">
        <v>400</v>
      </c>
      <c r="P453" s="8" t="s">
        <v>401</v>
      </c>
      <c r="Q453" s="12" t="s">
        <v>19917</v>
      </c>
      <c r="R453" s="8" t="s">
        <v>100</v>
      </c>
      <c r="S453" s="8" t="s">
        <v>28</v>
      </c>
      <c r="T453" s="8"/>
      <c r="U453" s="8"/>
    </row>
    <row r="454" spans="1:34" ht="13" customHeight="1">
      <c r="A454" s="8" t="s">
        <v>784</v>
      </c>
      <c r="B454" s="16">
        <v>27</v>
      </c>
      <c r="C454" s="8" t="s">
        <v>20</v>
      </c>
      <c r="D454" s="8" t="s">
        <v>48</v>
      </c>
      <c r="F454" s="17">
        <v>42228</v>
      </c>
      <c r="G454" s="8" t="s">
        <v>20071</v>
      </c>
      <c r="H454" s="8" t="s">
        <v>785</v>
      </c>
      <c r="I454" s="8" t="s">
        <v>45</v>
      </c>
      <c r="J454" s="16" t="s">
        <v>20072</v>
      </c>
      <c r="K454" s="2" t="s">
        <v>786</v>
      </c>
      <c r="L454" s="8" t="s">
        <v>4481</v>
      </c>
      <c r="M454" s="8" t="s">
        <v>27</v>
      </c>
      <c r="N454" s="2" t="s">
        <v>19913</v>
      </c>
      <c r="O454" s="8" t="s">
        <v>1013</v>
      </c>
      <c r="P454" s="8" t="s">
        <v>401</v>
      </c>
      <c r="Q454" s="12" t="s">
        <v>19914</v>
      </c>
      <c r="R454" s="8" t="s">
        <v>29</v>
      </c>
      <c r="S454" s="8" t="s">
        <v>28</v>
      </c>
      <c r="T454" s="8"/>
      <c r="U454" s="8"/>
    </row>
    <row r="455" spans="1:34" ht="13" customHeight="1">
      <c r="A455" s="8" t="s">
        <v>788</v>
      </c>
      <c r="B455" s="16">
        <v>49</v>
      </c>
      <c r="C455" s="8" t="s">
        <v>20</v>
      </c>
      <c r="D455" s="8" t="s">
        <v>37</v>
      </c>
      <c r="F455" s="17">
        <v>42228</v>
      </c>
      <c r="G455" s="8" t="s">
        <v>20077</v>
      </c>
      <c r="H455" s="8" t="s">
        <v>449</v>
      </c>
      <c r="I455" s="8" t="s">
        <v>195</v>
      </c>
      <c r="J455" s="16" t="s">
        <v>20078</v>
      </c>
      <c r="K455" s="2" t="s">
        <v>789</v>
      </c>
      <c r="L455" s="8" t="s">
        <v>20079</v>
      </c>
      <c r="M455" s="8" t="s">
        <v>27</v>
      </c>
      <c r="N455" s="2" t="s">
        <v>19920</v>
      </c>
      <c r="O455" s="8" t="s">
        <v>400</v>
      </c>
      <c r="P455" s="8" t="s">
        <v>401</v>
      </c>
      <c r="Q455" s="12" t="s">
        <v>19921</v>
      </c>
      <c r="R455" s="8" t="s">
        <v>29</v>
      </c>
      <c r="S455" s="8" t="s">
        <v>28</v>
      </c>
      <c r="T455" s="8"/>
      <c r="U455" s="8"/>
    </row>
    <row r="456" spans="1:34" ht="13" customHeight="1">
      <c r="A456" s="8" t="s">
        <v>796</v>
      </c>
      <c r="B456" s="16">
        <v>24</v>
      </c>
      <c r="C456" s="8" t="s">
        <v>20</v>
      </c>
      <c r="D456" s="8" t="s">
        <v>37</v>
      </c>
      <c r="E456" s="8" t="s">
        <v>19777</v>
      </c>
      <c r="F456" s="17">
        <v>42227</v>
      </c>
      <c r="G456" s="8" t="s">
        <v>797</v>
      </c>
      <c r="H456" s="8" t="s">
        <v>798</v>
      </c>
      <c r="I456" s="8" t="s">
        <v>73</v>
      </c>
      <c r="J456" s="16" t="s">
        <v>20081</v>
      </c>
      <c r="K456" s="2" t="s">
        <v>799</v>
      </c>
      <c r="L456" s="8" t="s">
        <v>281</v>
      </c>
      <c r="M456" s="8" t="s">
        <v>27</v>
      </c>
      <c r="N456" s="2" t="s">
        <v>19926</v>
      </c>
      <c r="O456" s="8" t="s">
        <v>400</v>
      </c>
      <c r="P456" s="8" t="s">
        <v>401</v>
      </c>
      <c r="Q456" s="12" t="s">
        <v>19927</v>
      </c>
      <c r="R456" s="8" t="s">
        <v>29</v>
      </c>
      <c r="S456" s="8" t="s">
        <v>28</v>
      </c>
      <c r="T456" s="8"/>
      <c r="U456" s="8"/>
    </row>
    <row r="457" spans="1:34" ht="13" customHeight="1">
      <c r="A457" s="8" t="s">
        <v>790</v>
      </c>
      <c r="B457" s="16">
        <v>34</v>
      </c>
      <c r="C457" s="8" t="s">
        <v>20</v>
      </c>
      <c r="D457" s="8" t="s">
        <v>37</v>
      </c>
      <c r="F457" s="17">
        <v>42227</v>
      </c>
      <c r="G457" s="8" t="s">
        <v>791</v>
      </c>
      <c r="H457" s="8" t="s">
        <v>792</v>
      </c>
      <c r="I457" s="8" t="s">
        <v>793</v>
      </c>
      <c r="J457" s="16" t="s">
        <v>8753</v>
      </c>
      <c r="K457" s="2" t="s">
        <v>794</v>
      </c>
      <c r="L457" s="8" t="s">
        <v>795</v>
      </c>
      <c r="M457" s="8" t="s">
        <v>27</v>
      </c>
      <c r="N457" s="2" t="s">
        <v>19922</v>
      </c>
      <c r="O457" s="8" t="s">
        <v>400</v>
      </c>
      <c r="P457" s="8" t="s">
        <v>401</v>
      </c>
      <c r="Q457" s="12" t="s">
        <v>19923</v>
      </c>
      <c r="R457" s="8" t="s">
        <v>29</v>
      </c>
      <c r="S457" s="8" t="s">
        <v>28</v>
      </c>
      <c r="T457" s="8"/>
      <c r="U457" s="8"/>
    </row>
    <row r="458" spans="1:34" ht="13" customHeight="1">
      <c r="A458" s="8" t="s">
        <v>800</v>
      </c>
      <c r="B458" s="16">
        <v>48</v>
      </c>
      <c r="C458" s="8" t="s">
        <v>20</v>
      </c>
      <c r="D458" s="8" t="s">
        <v>37</v>
      </c>
      <c r="E458" s="8" t="s">
        <v>19776</v>
      </c>
      <c r="F458" s="17">
        <v>42227</v>
      </c>
      <c r="G458" s="8" t="s">
        <v>801</v>
      </c>
      <c r="H458" s="8" t="s">
        <v>802</v>
      </c>
      <c r="I458" s="8" t="s">
        <v>73</v>
      </c>
      <c r="J458" s="16" t="s">
        <v>20080</v>
      </c>
      <c r="K458" s="2" t="s">
        <v>803</v>
      </c>
      <c r="L458" s="8" t="s">
        <v>804</v>
      </c>
      <c r="M458" s="8" t="s">
        <v>27</v>
      </c>
      <c r="N458" s="2" t="s">
        <v>19924</v>
      </c>
      <c r="O458" s="8" t="s">
        <v>400</v>
      </c>
      <c r="P458" s="8" t="s">
        <v>401</v>
      </c>
      <c r="Q458" s="12" t="s">
        <v>19925</v>
      </c>
      <c r="R458" s="8" t="s">
        <v>29</v>
      </c>
      <c r="S458" s="8" t="s">
        <v>28</v>
      </c>
      <c r="T458" s="8"/>
      <c r="U458" s="8"/>
    </row>
    <row r="459" spans="1:34" ht="13" customHeight="1">
      <c r="A459" s="8" t="s">
        <v>805</v>
      </c>
      <c r="B459" s="16">
        <v>15</v>
      </c>
      <c r="C459" s="8" t="s">
        <v>20</v>
      </c>
      <c r="D459" s="8" t="s">
        <v>85</v>
      </c>
      <c r="E459" s="8" t="s">
        <v>19779</v>
      </c>
      <c r="F459" s="17">
        <v>42226</v>
      </c>
      <c r="G459" s="8" t="s">
        <v>20084</v>
      </c>
      <c r="H459" s="8" t="s">
        <v>216</v>
      </c>
      <c r="I459" s="8" t="s">
        <v>217</v>
      </c>
      <c r="J459" s="16" t="s">
        <v>1620</v>
      </c>
      <c r="K459" s="2" t="s">
        <v>420</v>
      </c>
      <c r="L459" s="8" t="s">
        <v>218</v>
      </c>
      <c r="M459" s="8" t="s">
        <v>27</v>
      </c>
      <c r="N459" s="2" t="s">
        <v>806</v>
      </c>
      <c r="O459" s="8" t="s">
        <v>400</v>
      </c>
      <c r="P459" s="8" t="s">
        <v>401</v>
      </c>
      <c r="Q459" s="12" t="s">
        <v>807</v>
      </c>
      <c r="R459" s="8" t="s">
        <v>29</v>
      </c>
      <c r="S459" s="8" t="s">
        <v>379</v>
      </c>
      <c r="T459" s="8"/>
      <c r="U459" s="8"/>
    </row>
    <row r="460" spans="1:34" ht="13" customHeight="1">
      <c r="A460" s="8" t="s">
        <v>808</v>
      </c>
      <c r="B460" s="16">
        <v>24</v>
      </c>
      <c r="C460" s="8" t="s">
        <v>20</v>
      </c>
      <c r="D460" s="8" t="s">
        <v>37</v>
      </c>
      <c r="E460" s="8" t="s">
        <v>19778</v>
      </c>
      <c r="F460" s="17">
        <v>42226</v>
      </c>
      <c r="G460" s="8" t="s">
        <v>20082</v>
      </c>
      <c r="H460" s="8" t="s">
        <v>809</v>
      </c>
      <c r="I460" s="8" t="s">
        <v>123</v>
      </c>
      <c r="J460" s="16" t="s">
        <v>20083</v>
      </c>
      <c r="K460" s="2" t="s">
        <v>635</v>
      </c>
      <c r="L460" s="8" t="s">
        <v>810</v>
      </c>
      <c r="M460" s="8" t="s">
        <v>27</v>
      </c>
      <c r="N460" s="2" t="s">
        <v>19928</v>
      </c>
      <c r="O460" s="8" t="s">
        <v>400</v>
      </c>
      <c r="P460" s="8" t="s">
        <v>401</v>
      </c>
      <c r="Q460" s="12" t="s">
        <v>19929</v>
      </c>
      <c r="R460" s="8" t="s">
        <v>29</v>
      </c>
      <c r="S460" s="8" t="s">
        <v>379</v>
      </c>
      <c r="T460" s="8"/>
      <c r="U460" s="8"/>
    </row>
    <row r="461" spans="1:34" ht="13" customHeight="1">
      <c r="A461" s="8" t="s">
        <v>811</v>
      </c>
      <c r="B461" s="16">
        <v>22</v>
      </c>
      <c r="C461" s="8" t="s">
        <v>20</v>
      </c>
      <c r="D461" s="8" t="s">
        <v>48</v>
      </c>
      <c r="F461" s="17">
        <v>42225</v>
      </c>
      <c r="G461" s="8" t="s">
        <v>812</v>
      </c>
      <c r="H461" s="8" t="s">
        <v>608</v>
      </c>
      <c r="I461" s="8" t="s">
        <v>45</v>
      </c>
      <c r="J461" s="16" t="s">
        <v>20085</v>
      </c>
      <c r="K461" s="2" t="s">
        <v>609</v>
      </c>
      <c r="L461" s="8" t="s">
        <v>730</v>
      </c>
      <c r="M461" s="8" t="s">
        <v>27</v>
      </c>
      <c r="N461" s="2" t="s">
        <v>19930</v>
      </c>
      <c r="O461" s="8" t="s">
        <v>400</v>
      </c>
      <c r="P461" s="8" t="s">
        <v>401</v>
      </c>
      <c r="Q461" s="12" t="s">
        <v>19931</v>
      </c>
      <c r="R461" s="8" t="s">
        <v>29</v>
      </c>
      <c r="S461" s="8" t="s">
        <v>28</v>
      </c>
      <c r="T461" s="8"/>
      <c r="U461" s="8"/>
      <c r="V461" s="8"/>
      <c r="W461" s="8"/>
      <c r="X461" s="8"/>
    </row>
    <row r="462" spans="1:34" ht="13" customHeight="1">
      <c r="A462" s="8" t="s">
        <v>813</v>
      </c>
      <c r="B462" s="16">
        <v>77</v>
      </c>
      <c r="C462" s="8" t="s">
        <v>20</v>
      </c>
      <c r="D462" s="8" t="s">
        <v>30</v>
      </c>
      <c r="F462" s="17">
        <v>42225</v>
      </c>
      <c r="G462" s="8" t="s">
        <v>20086</v>
      </c>
      <c r="H462" s="8" t="s">
        <v>814</v>
      </c>
      <c r="I462" s="8" t="s">
        <v>404</v>
      </c>
      <c r="J462" s="16" t="s">
        <v>20087</v>
      </c>
      <c r="K462" s="2" t="s">
        <v>815</v>
      </c>
      <c r="L462" s="8" t="s">
        <v>816</v>
      </c>
      <c r="M462" s="8" t="s">
        <v>27</v>
      </c>
      <c r="N462" s="2" t="s">
        <v>19934</v>
      </c>
      <c r="O462" s="8" t="s">
        <v>1013</v>
      </c>
      <c r="P462" s="8" t="s">
        <v>401</v>
      </c>
      <c r="Q462" s="12" t="s">
        <v>19935</v>
      </c>
      <c r="R462" s="8" t="s">
        <v>555</v>
      </c>
      <c r="S462" s="8" t="s">
        <v>18</v>
      </c>
      <c r="T462" s="8"/>
      <c r="U462" s="8"/>
    </row>
    <row r="463" spans="1:34" ht="13" customHeight="1">
      <c r="A463" s="8" t="s">
        <v>817</v>
      </c>
      <c r="B463" s="16">
        <v>41</v>
      </c>
      <c r="C463" s="8" t="s">
        <v>20</v>
      </c>
      <c r="D463" s="8" t="s">
        <v>37</v>
      </c>
      <c r="E463" s="8" t="s">
        <v>19780</v>
      </c>
      <c r="F463" s="17">
        <v>42225</v>
      </c>
      <c r="G463" s="8" t="s">
        <v>818</v>
      </c>
      <c r="H463" s="8" t="s">
        <v>819</v>
      </c>
      <c r="I463" s="8" t="s">
        <v>395</v>
      </c>
      <c r="J463" s="16" t="s">
        <v>7682</v>
      </c>
      <c r="K463" s="2" t="s">
        <v>820</v>
      </c>
      <c r="L463" s="8" t="s">
        <v>821</v>
      </c>
      <c r="M463" s="8" t="s">
        <v>27</v>
      </c>
      <c r="N463" s="2" t="s">
        <v>19932</v>
      </c>
      <c r="O463" s="8" t="s">
        <v>400</v>
      </c>
      <c r="P463" s="8" t="s">
        <v>401</v>
      </c>
      <c r="Q463" s="12" t="s">
        <v>19933</v>
      </c>
      <c r="R463" s="8" t="s">
        <v>555</v>
      </c>
      <c r="S463" s="8" t="s">
        <v>35</v>
      </c>
      <c r="T463" s="8"/>
      <c r="U463" s="8"/>
      <c r="V463" s="8"/>
      <c r="W463" s="8"/>
      <c r="X463" s="8"/>
    </row>
    <row r="464" spans="1:34" ht="13" customHeight="1">
      <c r="A464" s="8" t="s">
        <v>822</v>
      </c>
      <c r="B464" s="16">
        <v>24</v>
      </c>
      <c r="C464" s="8" t="s">
        <v>20</v>
      </c>
      <c r="D464" s="8" t="s">
        <v>85</v>
      </c>
      <c r="E464" s="8" t="s">
        <v>19783</v>
      </c>
      <c r="F464" s="17">
        <v>42224</v>
      </c>
      <c r="G464" s="8" t="s">
        <v>823</v>
      </c>
      <c r="H464" s="8" t="s">
        <v>824</v>
      </c>
      <c r="I464" s="8" t="s">
        <v>32</v>
      </c>
      <c r="J464" s="16" t="s">
        <v>20091</v>
      </c>
      <c r="K464" s="2" t="s">
        <v>825</v>
      </c>
      <c r="L464" s="8" t="s">
        <v>826</v>
      </c>
      <c r="M464" s="8" t="s">
        <v>27</v>
      </c>
      <c r="N464" s="2" t="s">
        <v>19942</v>
      </c>
      <c r="O464" s="8" t="s">
        <v>550</v>
      </c>
      <c r="P464" s="8" t="s">
        <v>401</v>
      </c>
      <c r="Q464" s="12" t="s">
        <v>19943</v>
      </c>
      <c r="R464" s="8" t="s">
        <v>29</v>
      </c>
      <c r="S464" s="8" t="s">
        <v>28</v>
      </c>
      <c r="T464" s="8"/>
      <c r="U464" s="8"/>
    </row>
    <row r="465" spans="1:21" ht="13" customHeight="1">
      <c r="A465" s="8" t="s">
        <v>827</v>
      </c>
      <c r="B465" s="16">
        <v>25</v>
      </c>
      <c r="C465" s="8" t="s">
        <v>20</v>
      </c>
      <c r="D465" s="8" t="s">
        <v>85</v>
      </c>
      <c r="E465" s="8" t="s">
        <v>19788</v>
      </c>
      <c r="F465" s="17">
        <v>42224</v>
      </c>
      <c r="G465" s="8" t="s">
        <v>828</v>
      </c>
      <c r="H465" s="8" t="s">
        <v>33</v>
      </c>
      <c r="I465" s="8" t="s">
        <v>366</v>
      </c>
      <c r="J465" s="16" t="s">
        <v>20099</v>
      </c>
      <c r="K465" s="2" t="s">
        <v>829</v>
      </c>
      <c r="L465" s="8" t="s">
        <v>830</v>
      </c>
      <c r="M465" s="8" t="s">
        <v>27</v>
      </c>
      <c r="N465" s="2" t="s">
        <v>19956</v>
      </c>
      <c r="O465" s="8" t="s">
        <v>550</v>
      </c>
      <c r="P465" s="8" t="s">
        <v>401</v>
      </c>
      <c r="Q465" s="12" t="s">
        <v>831</v>
      </c>
      <c r="R465" s="8" t="s">
        <v>29</v>
      </c>
      <c r="S465" s="8" t="s">
        <v>28</v>
      </c>
      <c r="T465" s="8"/>
      <c r="U465" s="8"/>
    </row>
    <row r="466" spans="1:21" ht="13" customHeight="1">
      <c r="A466" s="8" t="s">
        <v>832</v>
      </c>
      <c r="B466" s="16">
        <v>33</v>
      </c>
      <c r="C466" s="8" t="s">
        <v>20</v>
      </c>
      <c r="D466" s="8" t="s">
        <v>30</v>
      </c>
      <c r="F466" s="17">
        <v>42224</v>
      </c>
      <c r="G466" s="8" t="s">
        <v>20090</v>
      </c>
      <c r="H466" s="8" t="s">
        <v>833</v>
      </c>
      <c r="I466" s="8" t="s">
        <v>73</v>
      </c>
      <c r="J466" s="16" t="s">
        <v>11756</v>
      </c>
      <c r="K466" s="2" t="s">
        <v>834</v>
      </c>
      <c r="L466" s="8" t="s">
        <v>835</v>
      </c>
      <c r="M466" s="8" t="s">
        <v>27</v>
      </c>
      <c r="N466" s="2" t="s">
        <v>19940</v>
      </c>
      <c r="O466" s="8" t="s">
        <v>400</v>
      </c>
      <c r="P466" s="8" t="s">
        <v>401</v>
      </c>
      <c r="Q466" s="12" t="s">
        <v>19941</v>
      </c>
      <c r="R466" s="8" t="s">
        <v>29</v>
      </c>
      <c r="S466" s="8" t="s">
        <v>28</v>
      </c>
      <c r="T466" s="8"/>
      <c r="U466" s="8"/>
    </row>
    <row r="467" spans="1:21" ht="13" customHeight="1">
      <c r="A467" s="8" t="s">
        <v>840</v>
      </c>
      <c r="B467" s="16">
        <v>46</v>
      </c>
      <c r="C467" s="8" t="s">
        <v>20</v>
      </c>
      <c r="D467" s="8" t="s">
        <v>37</v>
      </c>
      <c r="E467" s="8" t="s">
        <v>19782</v>
      </c>
      <c r="F467" s="17">
        <v>42224</v>
      </c>
      <c r="G467" s="8" t="s">
        <v>20089</v>
      </c>
      <c r="H467" s="8" t="s">
        <v>841</v>
      </c>
      <c r="I467" s="8" t="s">
        <v>303</v>
      </c>
      <c r="J467" s="16" t="s">
        <v>2356</v>
      </c>
      <c r="K467" s="2" t="s">
        <v>841</v>
      </c>
      <c r="L467" s="8" t="s">
        <v>842</v>
      </c>
      <c r="M467" s="8" t="s">
        <v>27</v>
      </c>
      <c r="N467" s="2" t="s">
        <v>19938</v>
      </c>
      <c r="O467" s="8" t="s">
        <v>400</v>
      </c>
      <c r="P467" s="8" t="s">
        <v>401</v>
      </c>
      <c r="Q467" s="12" t="s">
        <v>19939</v>
      </c>
      <c r="R467" s="8" t="s">
        <v>29</v>
      </c>
      <c r="S467" s="8" t="s">
        <v>28</v>
      </c>
      <c r="T467" s="8"/>
      <c r="U467" s="8"/>
    </row>
    <row r="468" spans="1:21" ht="13" customHeight="1">
      <c r="A468" s="8" t="s">
        <v>836</v>
      </c>
      <c r="B468" s="16">
        <v>58</v>
      </c>
      <c r="C468" s="8" t="s">
        <v>20</v>
      </c>
      <c r="D468" s="8" t="s">
        <v>37</v>
      </c>
      <c r="E468" s="8" t="s">
        <v>19781</v>
      </c>
      <c r="F468" s="17">
        <v>42224</v>
      </c>
      <c r="G468" s="8" t="s">
        <v>20088</v>
      </c>
      <c r="H468" s="8" t="s">
        <v>837</v>
      </c>
      <c r="I468" s="8" t="s">
        <v>366</v>
      </c>
      <c r="J468" s="16" t="s">
        <v>3608</v>
      </c>
      <c r="K468" s="2" t="s">
        <v>838</v>
      </c>
      <c r="L468" s="8" t="s">
        <v>839</v>
      </c>
      <c r="M468" s="8" t="s">
        <v>27</v>
      </c>
      <c r="N468" s="2" t="s">
        <v>19936</v>
      </c>
      <c r="O468" s="8" t="s">
        <v>400</v>
      </c>
      <c r="P468" s="8" t="s">
        <v>401</v>
      </c>
      <c r="Q468" s="12" t="s">
        <v>19937</v>
      </c>
      <c r="R468" s="8" t="s">
        <v>29</v>
      </c>
      <c r="S468" s="8" t="s">
        <v>28</v>
      </c>
      <c r="T468" s="8"/>
      <c r="U468" s="8"/>
    </row>
    <row r="469" spans="1:21" ht="13" customHeight="1">
      <c r="A469" s="8" t="s">
        <v>843</v>
      </c>
      <c r="B469" s="16">
        <v>28</v>
      </c>
      <c r="C469" s="8" t="s">
        <v>20</v>
      </c>
      <c r="D469" s="8" t="s">
        <v>85</v>
      </c>
      <c r="E469" s="8" t="s">
        <v>19787</v>
      </c>
      <c r="F469" s="17">
        <v>42223</v>
      </c>
      <c r="G469" s="8" t="s">
        <v>844</v>
      </c>
      <c r="H469" s="8" t="s">
        <v>489</v>
      </c>
      <c r="I469" s="8" t="s">
        <v>45</v>
      </c>
      <c r="J469" s="16" t="s">
        <v>16701</v>
      </c>
      <c r="K469" s="2" t="s">
        <v>98</v>
      </c>
      <c r="L469" s="8" t="s">
        <v>490</v>
      </c>
      <c r="M469" s="8" t="s">
        <v>27</v>
      </c>
      <c r="N469" s="2" t="s">
        <v>19950</v>
      </c>
      <c r="O469" s="8" t="s">
        <v>400</v>
      </c>
      <c r="P469" s="8" t="s">
        <v>401</v>
      </c>
      <c r="Q469" s="12" t="s">
        <v>19951</v>
      </c>
      <c r="R469" s="8" t="s">
        <v>29</v>
      </c>
      <c r="S469" s="8" t="s">
        <v>28</v>
      </c>
      <c r="T469" s="8"/>
      <c r="U469" s="8"/>
    </row>
    <row r="470" spans="1:21" ht="13" customHeight="1">
      <c r="A470" s="8" t="s">
        <v>845</v>
      </c>
      <c r="B470" s="16">
        <v>19</v>
      </c>
      <c r="C470" s="8" t="s">
        <v>20</v>
      </c>
      <c r="D470" s="8" t="s">
        <v>85</v>
      </c>
      <c r="E470" s="8" t="s">
        <v>19786</v>
      </c>
      <c r="F470" s="17">
        <v>42223</v>
      </c>
      <c r="G470" s="8" t="s">
        <v>20095</v>
      </c>
      <c r="H470" s="8" t="s">
        <v>846</v>
      </c>
      <c r="I470" s="8" t="s">
        <v>73</v>
      </c>
      <c r="J470" s="16" t="s">
        <v>18526</v>
      </c>
      <c r="K470" s="2" t="s">
        <v>74</v>
      </c>
      <c r="L470" s="8" t="s">
        <v>847</v>
      </c>
      <c r="M470" s="8" t="s">
        <v>27</v>
      </c>
      <c r="N470" s="2" t="s">
        <v>19948</v>
      </c>
      <c r="O470" s="8" t="s">
        <v>400</v>
      </c>
      <c r="P470" s="8" t="s">
        <v>401</v>
      </c>
      <c r="Q470" s="12" t="s">
        <v>19949</v>
      </c>
      <c r="R470" s="8" t="s">
        <v>29</v>
      </c>
      <c r="S470" s="8" t="s">
        <v>18</v>
      </c>
      <c r="T470" s="8"/>
      <c r="U470" s="8"/>
    </row>
    <row r="471" spans="1:21" ht="13" customHeight="1">
      <c r="A471" s="8" t="s">
        <v>848</v>
      </c>
      <c r="B471" s="16">
        <v>24</v>
      </c>
      <c r="C471" s="8" t="s">
        <v>20</v>
      </c>
      <c r="D471" s="8" t="s">
        <v>48</v>
      </c>
      <c r="E471" s="8" t="s">
        <v>19785</v>
      </c>
      <c r="F471" s="17">
        <v>42223</v>
      </c>
      <c r="G471" s="8" t="s">
        <v>849</v>
      </c>
      <c r="H471" s="8" t="s">
        <v>657</v>
      </c>
      <c r="I471" s="8" t="s">
        <v>269</v>
      </c>
      <c r="J471" s="16" t="s">
        <v>20094</v>
      </c>
      <c r="K471" s="2" t="s">
        <v>570</v>
      </c>
      <c r="L471" s="8" t="s">
        <v>571</v>
      </c>
      <c r="M471" s="8" t="s">
        <v>27</v>
      </c>
      <c r="N471" s="2" t="s">
        <v>19946</v>
      </c>
      <c r="O471" s="8" t="s">
        <v>400</v>
      </c>
      <c r="P471" s="8" t="s">
        <v>401</v>
      </c>
      <c r="Q471" s="12" t="s">
        <v>19947</v>
      </c>
      <c r="R471" s="8" t="s">
        <v>100</v>
      </c>
      <c r="S471" s="8" t="s">
        <v>28</v>
      </c>
      <c r="T471" s="8"/>
      <c r="U471" s="8"/>
    </row>
    <row r="472" spans="1:21" ht="13" customHeight="1">
      <c r="A472" s="8" t="s">
        <v>854</v>
      </c>
      <c r="B472" s="16">
        <v>30</v>
      </c>
      <c r="C472" s="8" t="s">
        <v>20</v>
      </c>
      <c r="D472" s="8" t="s">
        <v>37</v>
      </c>
      <c r="E472" s="8" t="s">
        <v>19784</v>
      </c>
      <c r="F472" s="17">
        <v>42223</v>
      </c>
      <c r="G472" s="8" t="s">
        <v>20092</v>
      </c>
      <c r="H472" s="8" t="s">
        <v>200</v>
      </c>
      <c r="I472" s="8" t="s">
        <v>45</v>
      </c>
      <c r="J472" s="16" t="s">
        <v>20093</v>
      </c>
      <c r="K472" s="2" t="s">
        <v>200</v>
      </c>
      <c r="L472" s="8" t="s">
        <v>201</v>
      </c>
      <c r="M472" s="8" t="s">
        <v>27</v>
      </c>
      <c r="N472" s="2" t="s">
        <v>19944</v>
      </c>
      <c r="O472" s="8" t="s">
        <v>550</v>
      </c>
      <c r="P472" s="8" t="s">
        <v>401</v>
      </c>
      <c r="Q472" s="12" t="s">
        <v>19945</v>
      </c>
      <c r="R472" s="8" t="s">
        <v>555</v>
      </c>
      <c r="S472" s="8" t="s">
        <v>18</v>
      </c>
      <c r="T472" s="8"/>
      <c r="U472" s="8"/>
    </row>
    <row r="473" spans="1:21" ht="13" customHeight="1">
      <c r="A473" s="8" t="s">
        <v>855</v>
      </c>
      <c r="B473" s="16">
        <v>53</v>
      </c>
      <c r="C473" s="8" t="s">
        <v>20</v>
      </c>
      <c r="D473" s="8" t="s">
        <v>37</v>
      </c>
      <c r="F473" s="17">
        <v>42223</v>
      </c>
      <c r="G473" s="8" t="s">
        <v>20096</v>
      </c>
      <c r="H473" s="8" t="s">
        <v>856</v>
      </c>
      <c r="I473" s="8" t="s">
        <v>857</v>
      </c>
      <c r="J473" s="16" t="s">
        <v>20097</v>
      </c>
      <c r="K473" s="2" t="s">
        <v>858</v>
      </c>
      <c r="L473" s="8" t="s">
        <v>20098</v>
      </c>
      <c r="M473" s="8" t="s">
        <v>27</v>
      </c>
      <c r="N473" s="2" t="s">
        <v>19952</v>
      </c>
      <c r="O473" s="8" t="s">
        <v>400</v>
      </c>
      <c r="P473" s="8" t="s">
        <v>401</v>
      </c>
      <c r="Q473" s="12" t="s">
        <v>19953</v>
      </c>
      <c r="R473" s="8" t="s">
        <v>29</v>
      </c>
      <c r="S473" s="8" t="s">
        <v>379</v>
      </c>
      <c r="T473" s="8"/>
      <c r="U473" s="8"/>
    </row>
    <row r="474" spans="1:21" ht="13" customHeight="1">
      <c r="A474" s="8" t="s">
        <v>850</v>
      </c>
      <c r="B474" s="16">
        <v>26</v>
      </c>
      <c r="C474" s="8" t="s">
        <v>20</v>
      </c>
      <c r="D474" s="8" t="s">
        <v>37</v>
      </c>
      <c r="F474" s="17">
        <v>42223</v>
      </c>
      <c r="G474" s="8" t="s">
        <v>851</v>
      </c>
      <c r="H474" s="8" t="s">
        <v>852</v>
      </c>
      <c r="I474" s="8" t="s">
        <v>41</v>
      </c>
      <c r="J474" s="16" t="s">
        <v>16936</v>
      </c>
      <c r="K474" s="2" t="s">
        <v>852</v>
      </c>
      <c r="L474" s="8" t="s">
        <v>853</v>
      </c>
      <c r="M474" s="8" t="s">
        <v>391</v>
      </c>
      <c r="N474" s="2" t="s">
        <v>19954</v>
      </c>
      <c r="O474" s="8" t="s">
        <v>400</v>
      </c>
      <c r="P474" s="8" t="s">
        <v>401</v>
      </c>
      <c r="Q474" s="12" t="s">
        <v>19955</v>
      </c>
      <c r="R474" s="8" t="s">
        <v>29</v>
      </c>
      <c r="S474" s="8" t="s">
        <v>18</v>
      </c>
      <c r="T474" s="8"/>
      <c r="U474" s="8"/>
    </row>
    <row r="475" spans="1:21" ht="13" customHeight="1">
      <c r="A475" s="8" t="s">
        <v>859</v>
      </c>
      <c r="B475" s="16">
        <v>22</v>
      </c>
      <c r="C475" s="8" t="s">
        <v>20</v>
      </c>
      <c r="D475" s="8" t="s">
        <v>85</v>
      </c>
      <c r="E475" s="8" t="s">
        <v>19789</v>
      </c>
      <c r="F475" s="17">
        <v>42222</v>
      </c>
      <c r="G475" s="8" t="s">
        <v>20100</v>
      </c>
      <c r="H475" s="8" t="s">
        <v>860</v>
      </c>
      <c r="I475" s="8" t="s">
        <v>73</v>
      </c>
      <c r="J475" s="16" t="s">
        <v>20101</v>
      </c>
      <c r="K475" s="2" t="s">
        <v>860</v>
      </c>
      <c r="L475" s="8" t="s">
        <v>861</v>
      </c>
      <c r="M475" s="8" t="s">
        <v>27</v>
      </c>
      <c r="N475" s="2" t="s">
        <v>19957</v>
      </c>
      <c r="O475" s="8" t="s">
        <v>400</v>
      </c>
      <c r="P475" s="8" t="s">
        <v>401</v>
      </c>
      <c r="Q475" s="12" t="s">
        <v>862</v>
      </c>
      <c r="R475" s="8" t="s">
        <v>100</v>
      </c>
      <c r="S475" s="8" t="s">
        <v>28</v>
      </c>
      <c r="T475" s="8"/>
      <c r="U475" s="8"/>
    </row>
    <row r="476" spans="1:21" ht="13" customHeight="1">
      <c r="A476" s="8" t="s">
        <v>863</v>
      </c>
      <c r="B476" s="16">
        <v>32</v>
      </c>
      <c r="C476" s="8" t="s">
        <v>20</v>
      </c>
      <c r="D476" s="8" t="s">
        <v>85</v>
      </c>
      <c r="E476" s="8" t="s">
        <v>19791</v>
      </c>
      <c r="F476" s="17">
        <v>42222</v>
      </c>
      <c r="G476" s="8" t="s">
        <v>20103</v>
      </c>
      <c r="H476" s="8" t="s">
        <v>1037</v>
      </c>
      <c r="I476" s="8" t="s">
        <v>173</v>
      </c>
      <c r="J476" s="16" t="s">
        <v>20104</v>
      </c>
      <c r="K476" s="2" t="s">
        <v>864</v>
      </c>
      <c r="L476" s="8" t="s">
        <v>865</v>
      </c>
      <c r="M476" s="8" t="s">
        <v>391</v>
      </c>
      <c r="N476" s="2" t="s">
        <v>19960</v>
      </c>
      <c r="O476" s="8" t="s">
        <v>400</v>
      </c>
      <c r="P476" s="8" t="s">
        <v>401</v>
      </c>
      <c r="Q476" s="12" t="s">
        <v>19961</v>
      </c>
      <c r="R476" s="8" t="s">
        <v>100</v>
      </c>
      <c r="S476" s="8" t="s">
        <v>18</v>
      </c>
      <c r="T476" s="8"/>
      <c r="U476" s="8"/>
    </row>
    <row r="477" spans="1:21" ht="13" customHeight="1">
      <c r="A477" s="8" t="s">
        <v>866</v>
      </c>
      <c r="B477" s="16">
        <v>42</v>
      </c>
      <c r="C477" s="8" t="s">
        <v>20</v>
      </c>
      <c r="D477" s="8" t="s">
        <v>48</v>
      </c>
      <c r="E477" s="8" t="s">
        <v>19790</v>
      </c>
      <c r="F477" s="17">
        <v>42222</v>
      </c>
      <c r="G477" s="8" t="s">
        <v>867</v>
      </c>
      <c r="H477" s="8" t="s">
        <v>868</v>
      </c>
      <c r="I477" s="8" t="s">
        <v>315</v>
      </c>
      <c r="J477" s="16" t="s">
        <v>20102</v>
      </c>
      <c r="K477" s="2" t="s">
        <v>869</v>
      </c>
      <c r="L477" s="8" t="s">
        <v>870</v>
      </c>
      <c r="M477" s="8" t="s">
        <v>27</v>
      </c>
      <c r="N477" s="2" t="s">
        <v>19958</v>
      </c>
      <c r="O477" s="8" t="s">
        <v>400</v>
      </c>
      <c r="P477" s="8" t="s">
        <v>401</v>
      </c>
      <c r="Q477" s="12" t="s">
        <v>19959</v>
      </c>
      <c r="R477" s="8" t="s">
        <v>100</v>
      </c>
      <c r="S477" s="8" t="s">
        <v>28</v>
      </c>
      <c r="T477" s="8"/>
      <c r="U477" s="8"/>
    </row>
    <row r="478" spans="1:21" ht="13" customHeight="1">
      <c r="A478" s="8" t="s">
        <v>876</v>
      </c>
      <c r="B478" s="16">
        <v>20</v>
      </c>
      <c r="C478" s="8" t="s">
        <v>20</v>
      </c>
      <c r="D478" s="8" t="s">
        <v>85</v>
      </c>
      <c r="E478" s="8" t="s">
        <v>19793</v>
      </c>
      <c r="F478" s="17">
        <v>42221</v>
      </c>
      <c r="G478" s="8" t="s">
        <v>20108</v>
      </c>
      <c r="H478" s="8" t="s">
        <v>877</v>
      </c>
      <c r="I478" s="8" t="s">
        <v>244</v>
      </c>
      <c r="J478" s="16" t="s">
        <v>20109</v>
      </c>
      <c r="K478" s="2" t="s">
        <v>19297</v>
      </c>
      <c r="L478" s="8" t="s">
        <v>878</v>
      </c>
      <c r="M478" s="8" t="s">
        <v>27</v>
      </c>
      <c r="N478" s="2" t="s">
        <v>19964</v>
      </c>
      <c r="O478" s="8" t="s">
        <v>550</v>
      </c>
      <c r="P478" s="8" t="s">
        <v>401</v>
      </c>
      <c r="Q478" s="12" t="s">
        <v>19965</v>
      </c>
      <c r="R478" s="8" t="s">
        <v>29</v>
      </c>
      <c r="S478" s="8" t="s">
        <v>28</v>
      </c>
      <c r="T478" s="8"/>
      <c r="U478" s="8"/>
    </row>
    <row r="479" spans="1:21" ht="13" customHeight="1">
      <c r="A479" s="8" t="s">
        <v>871</v>
      </c>
      <c r="B479" s="16">
        <v>39</v>
      </c>
      <c r="C479" s="8" t="s">
        <v>20</v>
      </c>
      <c r="D479" s="8" t="s">
        <v>85</v>
      </c>
      <c r="E479" s="8" t="s">
        <v>19794</v>
      </c>
      <c r="F479" s="17">
        <v>42221</v>
      </c>
      <c r="G479" s="8" t="s">
        <v>20110</v>
      </c>
      <c r="H479" s="8" t="s">
        <v>872</v>
      </c>
      <c r="I479" s="8" t="s">
        <v>873</v>
      </c>
      <c r="J479" s="16" t="s">
        <v>20111</v>
      </c>
      <c r="K479" s="2" t="s">
        <v>874</v>
      </c>
      <c r="L479" s="8" t="s">
        <v>875</v>
      </c>
      <c r="M479" s="8" t="s">
        <v>27</v>
      </c>
      <c r="N479" s="2" t="s">
        <v>19966</v>
      </c>
      <c r="O479" s="8" t="s">
        <v>550</v>
      </c>
      <c r="P479" s="8" t="s">
        <v>401</v>
      </c>
      <c r="Q479" s="12" t="s">
        <v>19967</v>
      </c>
      <c r="R479" s="8" t="s">
        <v>100</v>
      </c>
      <c r="S479" s="8" t="s">
        <v>28</v>
      </c>
      <c r="T479" s="8"/>
      <c r="U479" s="8"/>
    </row>
    <row r="480" spans="1:21" ht="13" customHeight="1">
      <c r="A480" s="8" t="s">
        <v>879</v>
      </c>
      <c r="B480" s="16">
        <v>29</v>
      </c>
      <c r="C480" s="8" t="s">
        <v>20</v>
      </c>
      <c r="D480" s="8" t="s">
        <v>48</v>
      </c>
      <c r="E480" s="8" t="s">
        <v>19796</v>
      </c>
      <c r="F480" s="17">
        <v>42221</v>
      </c>
      <c r="G480" s="8" t="s">
        <v>880</v>
      </c>
      <c r="H480" s="8" t="s">
        <v>2031</v>
      </c>
      <c r="I480" s="8" t="s">
        <v>319</v>
      </c>
      <c r="J480" s="16" t="s">
        <v>11689</v>
      </c>
      <c r="K480" s="2" t="s">
        <v>882</v>
      </c>
      <c r="L480" s="8" t="s">
        <v>883</v>
      </c>
      <c r="M480" s="8" t="s">
        <v>27</v>
      </c>
      <c r="N480" s="2" t="s">
        <v>19970</v>
      </c>
      <c r="O480" s="8" t="s">
        <v>400</v>
      </c>
      <c r="P480" s="8" t="s">
        <v>401</v>
      </c>
      <c r="Q480" s="12" t="s">
        <v>19971</v>
      </c>
      <c r="R480" s="8" t="s">
        <v>555</v>
      </c>
      <c r="S480" s="8" t="s">
        <v>28</v>
      </c>
      <c r="T480" s="8"/>
      <c r="U480" s="8"/>
    </row>
    <row r="481" spans="1:34" ht="13" customHeight="1">
      <c r="A481" s="8" t="s">
        <v>892</v>
      </c>
      <c r="B481" s="16">
        <v>18</v>
      </c>
      <c r="C481" s="8" t="s">
        <v>20</v>
      </c>
      <c r="D481" s="8" t="s">
        <v>37</v>
      </c>
      <c r="E481" s="8" t="s">
        <v>19795</v>
      </c>
      <c r="F481" s="17">
        <v>42221</v>
      </c>
      <c r="G481" s="8" t="s">
        <v>20112</v>
      </c>
      <c r="H481" s="8" t="s">
        <v>893</v>
      </c>
      <c r="I481" s="8" t="s">
        <v>315</v>
      </c>
      <c r="J481" s="16" t="s">
        <v>20113</v>
      </c>
      <c r="K481" s="2" t="s">
        <v>1781</v>
      </c>
      <c r="L481" s="8" t="s">
        <v>894</v>
      </c>
      <c r="M481" s="8" t="s">
        <v>27</v>
      </c>
      <c r="N481" s="2" t="s">
        <v>19968</v>
      </c>
      <c r="O481" s="8" t="s">
        <v>400</v>
      </c>
      <c r="P481" s="8" t="s">
        <v>401</v>
      </c>
      <c r="Q481" s="12" t="s">
        <v>19969</v>
      </c>
      <c r="R481" s="8" t="s">
        <v>100</v>
      </c>
      <c r="S481" s="8" t="s">
        <v>28</v>
      </c>
      <c r="T481" s="8"/>
      <c r="U481" s="8"/>
    </row>
    <row r="482" spans="1:34" ht="13" customHeight="1">
      <c r="A482" s="8" t="s">
        <v>884</v>
      </c>
      <c r="B482" s="16">
        <v>40</v>
      </c>
      <c r="C482" s="8" t="s">
        <v>20</v>
      </c>
      <c r="D482" s="8" t="s">
        <v>37</v>
      </c>
      <c r="E482" s="8" t="s">
        <v>19792</v>
      </c>
      <c r="F482" s="17">
        <v>42221</v>
      </c>
      <c r="G482" s="8" t="s">
        <v>20105</v>
      </c>
      <c r="H482" s="8" t="s">
        <v>885</v>
      </c>
      <c r="I482" s="8" t="s">
        <v>303</v>
      </c>
      <c r="J482" s="16" t="s">
        <v>2419</v>
      </c>
      <c r="K482" s="2" t="s">
        <v>886</v>
      </c>
      <c r="L482" s="8" t="s">
        <v>887</v>
      </c>
      <c r="M482" s="8" t="s">
        <v>27</v>
      </c>
      <c r="N482" s="2" t="s">
        <v>19962</v>
      </c>
      <c r="O482" s="8" t="s">
        <v>1013</v>
      </c>
      <c r="P482" s="8" t="s">
        <v>401</v>
      </c>
      <c r="Q482" s="12" t="s">
        <v>21295</v>
      </c>
      <c r="R482" s="8" t="s">
        <v>100</v>
      </c>
      <c r="S482" s="8" t="s">
        <v>28</v>
      </c>
      <c r="T482" s="8"/>
      <c r="U482" s="8"/>
    </row>
    <row r="483" spans="1:34" ht="13" customHeight="1">
      <c r="A483" s="8" t="s">
        <v>888</v>
      </c>
      <c r="B483" s="16">
        <v>51</v>
      </c>
      <c r="C483" s="8" t="s">
        <v>20</v>
      </c>
      <c r="D483" s="8" t="s">
        <v>37</v>
      </c>
      <c r="F483" s="17">
        <v>42221</v>
      </c>
      <c r="G483" s="8" t="s">
        <v>20106</v>
      </c>
      <c r="H483" s="8" t="s">
        <v>889</v>
      </c>
      <c r="I483" s="8" t="s">
        <v>438</v>
      </c>
      <c r="J483" s="16" t="s">
        <v>20107</v>
      </c>
      <c r="K483" s="2" t="s">
        <v>890</v>
      </c>
      <c r="L483" s="8" t="s">
        <v>891</v>
      </c>
      <c r="M483" s="8" t="s">
        <v>27</v>
      </c>
      <c r="N483" s="2" t="s">
        <v>19963</v>
      </c>
      <c r="O483" s="8" t="s">
        <v>400</v>
      </c>
      <c r="P483" s="8" t="s">
        <v>401</v>
      </c>
      <c r="Q483" s="12" t="s">
        <v>21294</v>
      </c>
      <c r="R483" s="8" t="s">
        <v>555</v>
      </c>
      <c r="S483" s="8" t="s">
        <v>28</v>
      </c>
      <c r="T483" s="8"/>
      <c r="U483" s="8"/>
    </row>
    <row r="484" spans="1:34" ht="13" customHeight="1">
      <c r="A484" s="8" t="s">
        <v>895</v>
      </c>
      <c r="B484" s="16">
        <v>55</v>
      </c>
      <c r="C484" s="8" t="s">
        <v>20</v>
      </c>
      <c r="D484" s="8" t="s">
        <v>48</v>
      </c>
      <c r="F484" s="17">
        <v>42220</v>
      </c>
      <c r="G484" s="8" t="s">
        <v>20114</v>
      </c>
      <c r="H484" s="8" t="s">
        <v>896</v>
      </c>
      <c r="I484" s="8" t="s">
        <v>45</v>
      </c>
      <c r="J484" s="16" t="s">
        <v>20115</v>
      </c>
      <c r="K484" s="2" t="s">
        <v>156</v>
      </c>
      <c r="L484" s="8" t="s">
        <v>20116</v>
      </c>
      <c r="M484" s="8" t="s">
        <v>27</v>
      </c>
      <c r="N484" s="2" t="s">
        <v>19972</v>
      </c>
      <c r="O484" s="8" t="s">
        <v>400</v>
      </c>
      <c r="P484" s="8" t="s">
        <v>401</v>
      </c>
      <c r="Q484" s="12" t="s">
        <v>21293</v>
      </c>
      <c r="R484" s="8" t="s">
        <v>555</v>
      </c>
      <c r="S484" s="8" t="s">
        <v>35</v>
      </c>
      <c r="T484" s="8"/>
      <c r="U484" s="8"/>
    </row>
    <row r="485" spans="1:34" ht="13" customHeight="1">
      <c r="A485" s="8" t="s">
        <v>898</v>
      </c>
      <c r="B485" s="16">
        <v>31</v>
      </c>
      <c r="C485" s="8" t="s">
        <v>20</v>
      </c>
      <c r="D485" s="8" t="s">
        <v>85</v>
      </c>
      <c r="E485" s="8" t="s">
        <v>19797</v>
      </c>
      <c r="F485" s="17">
        <v>42219</v>
      </c>
      <c r="G485" s="8" t="s">
        <v>20117</v>
      </c>
      <c r="H485" s="8" t="s">
        <v>899</v>
      </c>
      <c r="I485" s="8" t="s">
        <v>44</v>
      </c>
      <c r="J485" s="16" t="s">
        <v>20118</v>
      </c>
      <c r="K485" s="2" t="s">
        <v>900</v>
      </c>
      <c r="L485" s="8" t="s">
        <v>901</v>
      </c>
      <c r="M485" s="8" t="s">
        <v>27</v>
      </c>
      <c r="N485" s="2" t="s">
        <v>19973</v>
      </c>
      <c r="O485" s="8" t="s">
        <v>550</v>
      </c>
      <c r="P485" s="8" t="s">
        <v>401</v>
      </c>
      <c r="Q485" s="12" t="s">
        <v>21291</v>
      </c>
      <c r="R485" s="8" t="s">
        <v>100</v>
      </c>
      <c r="S485" s="8" t="s">
        <v>28</v>
      </c>
      <c r="T485" s="8"/>
      <c r="U485" s="8"/>
      <c r="Y485" s="8"/>
      <c r="Z485" s="8"/>
      <c r="AA485" s="8"/>
      <c r="AB485" s="8"/>
      <c r="AC485" s="8"/>
      <c r="AD485" s="8"/>
      <c r="AE485" s="8"/>
      <c r="AF485" s="8"/>
      <c r="AG485" s="8"/>
      <c r="AH485" s="8"/>
    </row>
    <row r="486" spans="1:34" ht="13" customHeight="1">
      <c r="A486" s="8" t="s">
        <v>897</v>
      </c>
      <c r="B486" s="16">
        <v>49</v>
      </c>
      <c r="C486" s="8" t="s">
        <v>20</v>
      </c>
      <c r="D486" s="8" t="s">
        <v>85</v>
      </c>
      <c r="E486" s="8" t="s">
        <v>19798</v>
      </c>
      <c r="F486" s="17">
        <v>42219</v>
      </c>
      <c r="G486" s="8" t="s">
        <v>20119</v>
      </c>
      <c r="H486" s="8" t="s">
        <v>603</v>
      </c>
      <c r="I486" s="8" t="s">
        <v>45</v>
      </c>
      <c r="J486" s="16" t="s">
        <v>20120</v>
      </c>
      <c r="K486" s="2" t="s">
        <v>604</v>
      </c>
      <c r="L486" s="8" t="s">
        <v>605</v>
      </c>
      <c r="M486" s="8" t="s">
        <v>27</v>
      </c>
      <c r="N486" s="2" t="s">
        <v>19974</v>
      </c>
      <c r="O486" s="8" t="s">
        <v>400</v>
      </c>
      <c r="P486" s="8" t="s">
        <v>401</v>
      </c>
      <c r="Q486" s="12" t="s">
        <v>21289</v>
      </c>
      <c r="R486" s="8" t="s">
        <v>29</v>
      </c>
      <c r="S486" s="8" t="s">
        <v>28</v>
      </c>
      <c r="T486" s="8"/>
      <c r="U486" s="8"/>
    </row>
    <row r="487" spans="1:34" ht="13" customHeight="1">
      <c r="A487" s="8" t="s">
        <v>902</v>
      </c>
      <c r="B487" s="16">
        <v>18</v>
      </c>
      <c r="C487" s="8" t="s">
        <v>20</v>
      </c>
      <c r="D487" s="8" t="s">
        <v>37</v>
      </c>
      <c r="E487" s="8" t="s">
        <v>19800</v>
      </c>
      <c r="F487" s="17">
        <v>42219</v>
      </c>
      <c r="G487" s="8" t="s">
        <v>903</v>
      </c>
      <c r="H487" s="8" t="s">
        <v>904</v>
      </c>
      <c r="I487" s="8" t="s">
        <v>404</v>
      </c>
      <c r="J487" s="16" t="s">
        <v>20124</v>
      </c>
      <c r="K487" s="2" t="s">
        <v>905</v>
      </c>
      <c r="L487" s="8" t="s">
        <v>906</v>
      </c>
      <c r="M487" s="8" t="s">
        <v>27</v>
      </c>
      <c r="N487" s="2" t="s">
        <v>19978</v>
      </c>
      <c r="O487" s="8" t="s">
        <v>400</v>
      </c>
      <c r="P487" s="8" t="s">
        <v>401</v>
      </c>
      <c r="Q487" s="12" t="s">
        <v>21292</v>
      </c>
      <c r="R487" s="8" t="s">
        <v>29</v>
      </c>
      <c r="S487" s="8" t="s">
        <v>28</v>
      </c>
      <c r="T487" s="8"/>
      <c r="U487" s="8"/>
    </row>
    <row r="488" spans="1:34" ht="13" customHeight="1">
      <c r="A488" s="8" t="s">
        <v>907</v>
      </c>
      <c r="B488" s="16">
        <v>35</v>
      </c>
      <c r="C488" s="8" t="s">
        <v>20</v>
      </c>
      <c r="D488" s="8" t="s">
        <v>37</v>
      </c>
      <c r="E488" s="8" t="s">
        <v>19801</v>
      </c>
      <c r="F488" s="17">
        <v>42219</v>
      </c>
      <c r="G488" s="8" t="s">
        <v>20125</v>
      </c>
      <c r="H488" s="8" t="s">
        <v>908</v>
      </c>
      <c r="I488" s="8" t="s">
        <v>217</v>
      </c>
      <c r="J488" s="16" t="s">
        <v>20126</v>
      </c>
      <c r="K488" s="2" t="s">
        <v>909</v>
      </c>
      <c r="L488" s="8" t="s">
        <v>910</v>
      </c>
      <c r="M488" s="8" t="s">
        <v>27</v>
      </c>
      <c r="N488" s="2" t="s">
        <v>19979</v>
      </c>
      <c r="O488" s="8" t="s">
        <v>400</v>
      </c>
      <c r="P488" s="8" t="s">
        <v>401</v>
      </c>
      <c r="Q488" s="12" t="s">
        <v>21290</v>
      </c>
      <c r="R488" s="8" t="s">
        <v>29</v>
      </c>
      <c r="S488" s="8" t="s">
        <v>28</v>
      </c>
      <c r="T488" s="8"/>
      <c r="U488" s="8"/>
    </row>
    <row r="489" spans="1:34" ht="13" customHeight="1">
      <c r="A489" s="8" t="s">
        <v>911</v>
      </c>
      <c r="B489" s="16">
        <v>71</v>
      </c>
      <c r="C489" s="8" t="s">
        <v>20</v>
      </c>
      <c r="D489" s="8" t="s">
        <v>37</v>
      </c>
      <c r="E489" s="8" t="s">
        <v>19799</v>
      </c>
      <c r="F489" s="17">
        <v>42219</v>
      </c>
      <c r="G489" s="8" t="s">
        <v>20121</v>
      </c>
      <c r="H489" s="8" t="s">
        <v>912</v>
      </c>
      <c r="I489" s="8" t="s">
        <v>244</v>
      </c>
      <c r="J489" s="16" t="s">
        <v>20122</v>
      </c>
      <c r="K489" s="2" t="s">
        <v>912</v>
      </c>
      <c r="L489" s="8" t="s">
        <v>20123</v>
      </c>
      <c r="M489" s="8" t="s">
        <v>27</v>
      </c>
      <c r="N489" s="2" t="s">
        <v>19975</v>
      </c>
      <c r="O489" s="8" t="s">
        <v>19976</v>
      </c>
      <c r="P489" s="8" t="s">
        <v>401</v>
      </c>
      <c r="Q489" s="12" t="s">
        <v>19977</v>
      </c>
      <c r="R489" s="8" t="s">
        <v>29</v>
      </c>
      <c r="S489" s="8" t="s">
        <v>28</v>
      </c>
      <c r="T489" s="8"/>
      <c r="U489" s="8"/>
    </row>
    <row r="490" spans="1:34" ht="13" customHeight="1">
      <c r="A490" s="8" t="s">
        <v>913</v>
      </c>
      <c r="B490" s="16">
        <v>63</v>
      </c>
      <c r="C490" s="8" t="s">
        <v>20</v>
      </c>
      <c r="D490" s="8" t="s">
        <v>37</v>
      </c>
      <c r="E490" s="8" t="s">
        <v>19802</v>
      </c>
      <c r="F490" s="17">
        <v>42218</v>
      </c>
      <c r="G490" s="8" t="s">
        <v>20127</v>
      </c>
      <c r="H490" s="8" t="s">
        <v>726</v>
      </c>
      <c r="I490" s="8" t="s">
        <v>73</v>
      </c>
      <c r="J490" s="16" t="s">
        <v>6875</v>
      </c>
      <c r="K490" s="2" t="s">
        <v>558</v>
      </c>
      <c r="L490" s="8" t="s">
        <v>727</v>
      </c>
      <c r="M490" s="8" t="s">
        <v>27</v>
      </c>
      <c r="N490" s="2" t="s">
        <v>19980</v>
      </c>
      <c r="O490" s="8" t="s">
        <v>400</v>
      </c>
      <c r="P490" s="8" t="s">
        <v>401</v>
      </c>
      <c r="Q490" s="12" t="s">
        <v>19981</v>
      </c>
      <c r="R490" s="8" t="s">
        <v>555</v>
      </c>
      <c r="S490" s="8" t="s">
        <v>379</v>
      </c>
      <c r="T490" s="8"/>
      <c r="U490" s="8"/>
    </row>
    <row r="491" spans="1:34" ht="13" customHeight="1">
      <c r="A491" s="8" t="s">
        <v>914</v>
      </c>
      <c r="B491" s="16">
        <v>29</v>
      </c>
      <c r="C491" s="8" t="s">
        <v>20</v>
      </c>
      <c r="D491" s="8" t="s">
        <v>48</v>
      </c>
      <c r="F491" s="17">
        <v>42217</v>
      </c>
      <c r="G491" s="8" t="s">
        <v>915</v>
      </c>
      <c r="H491" s="8" t="s">
        <v>561</v>
      </c>
      <c r="I491" s="8" t="s">
        <v>123</v>
      </c>
      <c r="J491" s="16" t="s">
        <v>6363</v>
      </c>
      <c r="K491" s="2" t="s">
        <v>562</v>
      </c>
      <c r="L491" s="8" t="s">
        <v>563</v>
      </c>
      <c r="M491" s="8" t="s">
        <v>27</v>
      </c>
      <c r="N491" s="2" t="s">
        <v>19982</v>
      </c>
      <c r="O491" s="8" t="s">
        <v>400</v>
      </c>
      <c r="P491" s="8" t="s">
        <v>401</v>
      </c>
      <c r="Q491" s="12" t="s">
        <v>19983</v>
      </c>
      <c r="R491" s="8" t="s">
        <v>100</v>
      </c>
      <c r="S491" s="8" t="s">
        <v>28</v>
      </c>
      <c r="T491" s="8"/>
      <c r="U491" s="8"/>
    </row>
    <row r="492" spans="1:34" ht="13" customHeight="1">
      <c r="A492" s="8" t="s">
        <v>916</v>
      </c>
      <c r="B492" s="16">
        <v>52</v>
      </c>
      <c r="C492" s="8" t="s">
        <v>20</v>
      </c>
      <c r="D492" s="8" t="s">
        <v>30</v>
      </c>
      <c r="F492" s="17">
        <v>42217</v>
      </c>
      <c r="G492" s="8" t="s">
        <v>20128</v>
      </c>
      <c r="H492" s="8" t="s">
        <v>917</v>
      </c>
      <c r="I492" s="8" t="s">
        <v>150</v>
      </c>
      <c r="J492" s="16" t="s">
        <v>20129</v>
      </c>
      <c r="K492" s="2" t="s">
        <v>918</v>
      </c>
      <c r="L492" s="8" t="s">
        <v>919</v>
      </c>
      <c r="M492" s="8" t="s">
        <v>27</v>
      </c>
      <c r="N492" s="2" t="s">
        <v>19984</v>
      </c>
      <c r="O492" s="8" t="s">
        <v>400</v>
      </c>
      <c r="P492" s="8" t="s">
        <v>401</v>
      </c>
      <c r="Q492" s="12" t="s">
        <v>21287</v>
      </c>
      <c r="R492" s="8" t="s">
        <v>100</v>
      </c>
      <c r="S492" s="8" t="s">
        <v>28</v>
      </c>
      <c r="T492" s="8"/>
      <c r="U492" s="8"/>
    </row>
    <row r="493" spans="1:34" ht="13" customHeight="1">
      <c r="A493" s="8" t="s">
        <v>920</v>
      </c>
      <c r="B493" s="16">
        <v>48</v>
      </c>
      <c r="C493" s="8" t="s">
        <v>20</v>
      </c>
      <c r="D493" s="8" t="s">
        <v>37</v>
      </c>
      <c r="F493" s="17">
        <v>42217</v>
      </c>
      <c r="G493" s="8" t="s">
        <v>921</v>
      </c>
      <c r="H493" s="8" t="s">
        <v>285</v>
      </c>
      <c r="I493" s="8" t="s">
        <v>73</v>
      </c>
      <c r="J493" s="16" t="s">
        <v>20130</v>
      </c>
      <c r="K493" s="2" t="s">
        <v>285</v>
      </c>
      <c r="L493" s="8" t="s">
        <v>922</v>
      </c>
      <c r="M493" s="8" t="s">
        <v>12896</v>
      </c>
      <c r="N493" s="2" t="s">
        <v>19985</v>
      </c>
      <c r="O493" s="8" t="s">
        <v>400</v>
      </c>
      <c r="P493" s="8" t="s">
        <v>401</v>
      </c>
      <c r="Q493" s="12" t="s">
        <v>21288</v>
      </c>
      <c r="R493" s="8" t="s">
        <v>29</v>
      </c>
      <c r="S493" s="8" t="s">
        <v>18</v>
      </c>
      <c r="T493" s="8"/>
      <c r="U493" s="8"/>
    </row>
    <row r="494" spans="1:34" ht="13" customHeight="1">
      <c r="A494" s="8" t="s">
        <v>927</v>
      </c>
      <c r="B494" s="16">
        <v>30</v>
      </c>
      <c r="C494" s="8" t="s">
        <v>20</v>
      </c>
      <c r="D494" s="8" t="s">
        <v>48</v>
      </c>
      <c r="E494" s="8" t="str">
        <f>HYPERLINK("http://www.star-telegram.com/news/local/community/fort-worth/rat54p/picture29706625/ALTERNATES/FREE_640/Flip%20Vallejo","http://www.star-telegram.com/news/local/community/fort-worth/rat54p/picture29706625/ALTERNATES/FREE_640/Flip%20Vallejo")</f>
        <v>http://www.star-telegram.com/news/local/community/fort-worth/rat54p/picture29706625/ALTERNATES/FREE_640/Flip%20Vallejo</v>
      </c>
      <c r="F494" s="17">
        <v>42216</v>
      </c>
      <c r="G494" s="8" t="s">
        <v>928</v>
      </c>
      <c r="H494" s="8" t="s">
        <v>929</v>
      </c>
      <c r="I494" s="8" t="s">
        <v>73</v>
      </c>
      <c r="J494" s="16">
        <v>76102</v>
      </c>
      <c r="K494" s="2" t="s">
        <v>74</v>
      </c>
      <c r="L494" s="8" t="s">
        <v>930</v>
      </c>
      <c r="M494" s="8" t="s">
        <v>27</v>
      </c>
      <c r="N494" s="2" t="s">
        <v>931</v>
      </c>
      <c r="O494" s="8" t="s">
        <v>400</v>
      </c>
      <c r="P494" s="8" t="s">
        <v>401</v>
      </c>
      <c r="Q494" s="12" t="s">
        <v>21286</v>
      </c>
      <c r="R494" s="8" t="s">
        <v>100</v>
      </c>
      <c r="S494" s="8" t="s">
        <v>28</v>
      </c>
      <c r="T494" s="8"/>
      <c r="U494" s="8"/>
    </row>
    <row r="495" spans="1:34" ht="13" customHeight="1">
      <c r="A495" s="8" t="s">
        <v>923</v>
      </c>
      <c r="B495" s="16">
        <v>33</v>
      </c>
      <c r="C495" s="8" t="s">
        <v>20</v>
      </c>
      <c r="D495" s="8" t="s">
        <v>48</v>
      </c>
      <c r="E495" s="8" t="str">
        <f>HYPERLINK("http://www.killedbypolice.net/victims/150680.jpg","http://www.killedbypolice.net/victims/150680.jpg")</f>
        <v>http://www.killedbypolice.net/victims/150680.jpg</v>
      </c>
      <c r="F495" s="17">
        <v>42216</v>
      </c>
      <c r="G495" s="8" t="s">
        <v>924</v>
      </c>
      <c r="H495" s="8" t="s">
        <v>925</v>
      </c>
      <c r="I495" s="8" t="s">
        <v>195</v>
      </c>
      <c r="J495" s="16">
        <v>87102</v>
      </c>
      <c r="K495" s="2" t="s">
        <v>467</v>
      </c>
      <c r="L495" s="8" t="s">
        <v>4995</v>
      </c>
      <c r="M495" s="8" t="s">
        <v>27</v>
      </c>
      <c r="N495" s="2" t="s">
        <v>926</v>
      </c>
      <c r="O495" s="8" t="s">
        <v>400</v>
      </c>
      <c r="P495" s="8" t="s">
        <v>401</v>
      </c>
      <c r="Q495" s="12" t="s">
        <v>21285</v>
      </c>
      <c r="R495" s="8" t="s">
        <v>100</v>
      </c>
      <c r="S495" s="8" t="s">
        <v>28</v>
      </c>
      <c r="T495" s="8"/>
      <c r="U495" s="8"/>
    </row>
    <row r="496" spans="1:34" ht="13" customHeight="1">
      <c r="A496" s="8" t="s">
        <v>932</v>
      </c>
      <c r="B496" s="16">
        <v>34</v>
      </c>
      <c r="C496" s="8" t="s">
        <v>20</v>
      </c>
      <c r="D496" s="8" t="s">
        <v>37</v>
      </c>
      <c r="F496" s="17">
        <v>42216</v>
      </c>
      <c r="G496" s="8" t="s">
        <v>933</v>
      </c>
      <c r="H496" s="8" t="s">
        <v>934</v>
      </c>
      <c r="I496" s="8" t="s">
        <v>195</v>
      </c>
      <c r="J496" s="16">
        <v>88201</v>
      </c>
      <c r="K496" s="2" t="s">
        <v>935</v>
      </c>
      <c r="L496" s="8" t="s">
        <v>936</v>
      </c>
      <c r="M496" s="8" t="s">
        <v>27</v>
      </c>
      <c r="N496" s="2" t="s">
        <v>937</v>
      </c>
      <c r="O496" s="8" t="s">
        <v>400</v>
      </c>
      <c r="P496" s="8" t="s">
        <v>401</v>
      </c>
      <c r="Q496" s="12" t="s">
        <v>21284</v>
      </c>
      <c r="R496" s="8" t="s">
        <v>100</v>
      </c>
      <c r="S496" s="8" t="s">
        <v>28</v>
      </c>
      <c r="T496" s="8"/>
      <c r="U496" s="8"/>
    </row>
    <row r="497" spans="1:46" ht="13" customHeight="1">
      <c r="A497" s="8" t="s">
        <v>938</v>
      </c>
      <c r="B497" s="16">
        <v>38</v>
      </c>
      <c r="C497" s="8" t="s">
        <v>20</v>
      </c>
      <c r="D497" s="8" t="s">
        <v>37</v>
      </c>
      <c r="E497" s="8" t="str">
        <f>HYPERLINK("http://media.graytvinc.com/images/Mark+Perkins.jpg","http://media.graytvinc.com/images/Mark+Perkins.jpg")</f>
        <v>http://media.graytvinc.com/images/Mark+Perkins.jpg</v>
      </c>
      <c r="F497" s="17">
        <v>42216</v>
      </c>
      <c r="G497" s="8" t="s">
        <v>939</v>
      </c>
      <c r="H497" s="8" t="s">
        <v>940</v>
      </c>
      <c r="I497" s="8" t="s">
        <v>269</v>
      </c>
      <c r="J497" s="16">
        <v>89460</v>
      </c>
      <c r="K497" s="2" t="s">
        <v>941</v>
      </c>
      <c r="L497" s="8" t="s">
        <v>942</v>
      </c>
      <c r="M497" s="8" t="s">
        <v>27</v>
      </c>
      <c r="N497" s="2" t="s">
        <v>943</v>
      </c>
      <c r="O497" s="8" t="s">
        <v>400</v>
      </c>
      <c r="P497" s="8" t="s">
        <v>401</v>
      </c>
      <c r="Q497" s="12" t="s">
        <v>21283</v>
      </c>
      <c r="R497" s="8" t="s">
        <v>100</v>
      </c>
      <c r="S497" s="8" t="s">
        <v>28</v>
      </c>
      <c r="T497" s="8"/>
      <c r="U497" s="8"/>
      <c r="V497" s="8"/>
      <c r="W497" s="8"/>
      <c r="X497" s="8"/>
    </row>
    <row r="498" spans="1:46" ht="13" customHeight="1">
      <c r="A498" s="8" t="s">
        <v>951</v>
      </c>
      <c r="B498" s="16">
        <v>38</v>
      </c>
      <c r="C498" s="8" t="s">
        <v>20</v>
      </c>
      <c r="D498" s="8" t="s">
        <v>48</v>
      </c>
      <c r="E498" s="8" t="str">
        <f>HYPERLINK("http://media.masslive.com/mass_river_worcester_news/photo/screen-shot-2015-07-30-at-14303-pmpng-3c8d20217be5ac12.png","http://media.masslive.com/mass_river_worcester_news/photo/screen-shot-2015-07-30-at-14303-pmpng-3c8d20217be5ac12.png")</f>
        <v>http://media.masslive.com/mass_river_worcester_news/photo/screen-shot-2015-07-30-at-14303-pmpng-3c8d20217be5ac12.png</v>
      </c>
      <c r="F498" s="17">
        <v>42215</v>
      </c>
      <c r="G498" s="8" t="s">
        <v>952</v>
      </c>
      <c r="H498" s="8" t="s">
        <v>953</v>
      </c>
      <c r="I498" s="8" t="s">
        <v>46</v>
      </c>
      <c r="J498" s="16">
        <v>1610</v>
      </c>
      <c r="K498" s="2" t="s">
        <v>953</v>
      </c>
      <c r="L498" s="8" t="s">
        <v>954</v>
      </c>
      <c r="M498" s="8" t="s">
        <v>391</v>
      </c>
      <c r="N498" s="2" t="s">
        <v>1277</v>
      </c>
      <c r="O498" s="8" t="s">
        <v>400</v>
      </c>
      <c r="P498" s="8" t="s">
        <v>401</v>
      </c>
      <c r="Q498" s="12" t="s">
        <v>21281</v>
      </c>
      <c r="R498" s="8" t="s">
        <v>29</v>
      </c>
      <c r="S498" s="8" t="s">
        <v>18</v>
      </c>
      <c r="T498" s="8"/>
      <c r="U498" s="8"/>
      <c r="V498" s="8"/>
      <c r="W498" s="8"/>
      <c r="X498" s="8"/>
      <c r="Y498" s="8"/>
      <c r="Z498" s="8"/>
      <c r="AA498" s="8"/>
      <c r="AB498" s="8"/>
      <c r="AC498" s="8"/>
      <c r="AD498" s="8"/>
      <c r="AE498" s="8"/>
      <c r="AF498" s="8"/>
      <c r="AG498" s="8"/>
      <c r="AH498" s="8"/>
    </row>
    <row r="499" spans="1:46" ht="13" customHeight="1">
      <c r="A499" s="8" t="s">
        <v>944</v>
      </c>
      <c r="B499" s="16">
        <v>57</v>
      </c>
      <c r="C499" s="8" t="s">
        <v>20</v>
      </c>
      <c r="D499" s="8" t="s">
        <v>945</v>
      </c>
      <c r="E499" s="8" t="s">
        <v>946</v>
      </c>
      <c r="F499" s="17">
        <v>42215</v>
      </c>
      <c r="G499" s="8" t="s">
        <v>947</v>
      </c>
      <c r="H499" s="8" t="s">
        <v>948</v>
      </c>
      <c r="I499" s="8" t="s">
        <v>45</v>
      </c>
      <c r="J499" s="16">
        <v>94123</v>
      </c>
      <c r="K499" s="2" t="s">
        <v>948</v>
      </c>
      <c r="L499" s="8" t="s">
        <v>949</v>
      </c>
      <c r="M499" s="8" t="s">
        <v>2297</v>
      </c>
      <c r="N499" s="2" t="s">
        <v>950</v>
      </c>
      <c r="O499" s="8" t="s">
        <v>400</v>
      </c>
      <c r="P499" s="8" t="s">
        <v>401</v>
      </c>
      <c r="Q499" s="12" t="str">
        <f>HYPERLINK("http://www.sfgate.com/crime/article/Dead-body-probe-on-Lombard-Street-in-S-F-6414831.php","http://www.sfgate.com/crime/article/Dead-body-probe-on-Lombard-Street-in-S-F-6414831.php")</f>
        <v>http://www.sfgate.com/crime/article/Dead-body-probe-on-Lombard-Street-in-S-F-6414831.php</v>
      </c>
      <c r="R499" s="8" t="s">
        <v>100</v>
      </c>
      <c r="S499" s="8" t="s">
        <v>18</v>
      </c>
      <c r="T499" s="8"/>
      <c r="U499" s="8"/>
    </row>
    <row r="500" spans="1:46" ht="13" customHeight="1">
      <c r="A500" s="8" t="s">
        <v>956</v>
      </c>
      <c r="B500" s="16">
        <v>25</v>
      </c>
      <c r="C500" s="8" t="s">
        <v>20</v>
      </c>
      <c r="D500" s="8" t="s">
        <v>37</v>
      </c>
      <c r="E500" s="8" t="str">
        <f>HYPERLINK("http://www.killedbypolice.net/victims/150676.jpg","http://www.killedbypolice.net/victims/150676.jpg")</f>
        <v>http://www.killedbypolice.net/victims/150676.jpg</v>
      </c>
      <c r="F500" s="17">
        <v>42215</v>
      </c>
      <c r="G500" s="8" t="s">
        <v>957</v>
      </c>
      <c r="H500" s="8" t="s">
        <v>958</v>
      </c>
      <c r="I500" s="8" t="s">
        <v>45</v>
      </c>
      <c r="J500" s="16">
        <v>96067</v>
      </c>
      <c r="K500" s="2" t="s">
        <v>959</v>
      </c>
      <c r="L500" s="8" t="s">
        <v>960</v>
      </c>
      <c r="M500" s="8" t="s">
        <v>27</v>
      </c>
      <c r="N500" s="2" t="s">
        <v>961</v>
      </c>
      <c r="O500" s="8" t="s">
        <v>400</v>
      </c>
      <c r="P500" s="8" t="s">
        <v>401</v>
      </c>
      <c r="Q500" s="12" t="s">
        <v>21282</v>
      </c>
      <c r="R500" s="8" t="s">
        <v>100</v>
      </c>
      <c r="S500" s="8" t="s">
        <v>28</v>
      </c>
      <c r="T500" s="8"/>
      <c r="U500" s="8"/>
    </row>
    <row r="501" spans="1:46" ht="13" customHeight="1">
      <c r="A501" s="8" t="s">
        <v>962</v>
      </c>
      <c r="B501" s="16">
        <v>37</v>
      </c>
      <c r="C501" s="8" t="s">
        <v>20</v>
      </c>
      <c r="D501" s="8" t="s">
        <v>85</v>
      </c>
      <c r="E501" s="8" t="s">
        <v>963</v>
      </c>
      <c r="F501" s="17">
        <v>42214</v>
      </c>
      <c r="G501" s="8" t="s">
        <v>964</v>
      </c>
      <c r="H501" s="8" t="s">
        <v>189</v>
      </c>
      <c r="I501" s="8" t="s">
        <v>25</v>
      </c>
      <c r="J501" s="16">
        <v>70805</v>
      </c>
      <c r="K501" s="2" t="s">
        <v>965</v>
      </c>
      <c r="L501" s="8" t="s">
        <v>5671</v>
      </c>
      <c r="M501" s="8" t="s">
        <v>27</v>
      </c>
      <c r="N501" s="2" t="s">
        <v>19737</v>
      </c>
      <c r="O501" s="8" t="s">
        <v>400</v>
      </c>
      <c r="P501" s="8" t="s">
        <v>401</v>
      </c>
      <c r="Q501" s="12" t="s">
        <v>21279</v>
      </c>
      <c r="R501" s="8" t="s">
        <v>29</v>
      </c>
      <c r="S501" s="8" t="s">
        <v>28</v>
      </c>
      <c r="T501" s="8"/>
      <c r="U501" s="8"/>
      <c r="V501" s="8"/>
      <c r="W501" s="8"/>
      <c r="X501" s="8"/>
    </row>
    <row r="502" spans="1:46" ht="13" customHeight="1">
      <c r="A502" s="8" t="s">
        <v>972</v>
      </c>
      <c r="B502" s="16">
        <v>34</v>
      </c>
      <c r="C502" s="8" t="s">
        <v>20</v>
      </c>
      <c r="D502" s="8" t="s">
        <v>48</v>
      </c>
      <c r="E502" s="8" t="s">
        <v>20668</v>
      </c>
      <c r="F502" s="17">
        <v>42214</v>
      </c>
      <c r="G502" s="8" t="s">
        <v>973</v>
      </c>
      <c r="H502" s="8" t="s">
        <v>974</v>
      </c>
      <c r="I502" s="8" t="s">
        <v>195</v>
      </c>
      <c r="J502" s="16">
        <v>88005</v>
      </c>
      <c r="K502" s="2" t="s">
        <v>975</v>
      </c>
      <c r="L502" s="8" t="s">
        <v>976</v>
      </c>
      <c r="M502" s="8" t="s">
        <v>27</v>
      </c>
      <c r="N502" s="2" t="s">
        <v>977</v>
      </c>
      <c r="O502" s="8" t="s">
        <v>400</v>
      </c>
      <c r="P502" s="8" t="s">
        <v>401</v>
      </c>
      <c r="Q502" s="12" t="s">
        <v>21280</v>
      </c>
      <c r="R502" s="8" t="s">
        <v>100</v>
      </c>
      <c r="S502" s="8" t="s">
        <v>28</v>
      </c>
      <c r="T502" s="8"/>
      <c r="U502" s="8"/>
      <c r="V502" s="8"/>
      <c r="W502" s="8"/>
      <c r="X502" s="8"/>
      <c r="Y502" s="8"/>
      <c r="Z502" s="8"/>
      <c r="AA502" s="8"/>
      <c r="AB502" s="8"/>
      <c r="AC502" s="8"/>
      <c r="AD502" s="8"/>
      <c r="AE502" s="8"/>
      <c r="AF502" s="8"/>
      <c r="AG502" s="8"/>
      <c r="AH502" s="8"/>
    </row>
    <row r="503" spans="1:46" ht="13" customHeight="1">
      <c r="A503" s="8" t="s">
        <v>968</v>
      </c>
      <c r="B503" s="16">
        <v>47</v>
      </c>
      <c r="C503" s="8" t="s">
        <v>20</v>
      </c>
      <c r="D503" s="8" t="s">
        <v>48</v>
      </c>
      <c r="F503" s="17">
        <v>42214</v>
      </c>
      <c r="G503" s="8" t="s">
        <v>969</v>
      </c>
      <c r="H503" s="8" t="s">
        <v>970</v>
      </c>
      <c r="I503" s="8" t="s">
        <v>45</v>
      </c>
      <c r="J503" s="16">
        <v>90606</v>
      </c>
      <c r="K503" s="2" t="s">
        <v>98</v>
      </c>
      <c r="L503" s="8" t="s">
        <v>5014</v>
      </c>
      <c r="M503" s="8" t="s">
        <v>27</v>
      </c>
      <c r="N503" s="2" t="s">
        <v>971</v>
      </c>
      <c r="O503" s="8" t="s">
        <v>400</v>
      </c>
      <c r="P503" s="8" t="s">
        <v>401</v>
      </c>
      <c r="Q503" s="12" t="s">
        <v>21278</v>
      </c>
      <c r="R503" s="8" t="s">
        <v>967</v>
      </c>
      <c r="S503" s="8" t="s">
        <v>18</v>
      </c>
      <c r="T503" s="8"/>
      <c r="U503" s="8"/>
      <c r="V503" s="8"/>
      <c r="W503" s="8"/>
      <c r="X503" s="8"/>
    </row>
    <row r="504" spans="1:46" ht="13" customHeight="1">
      <c r="A504" s="8" t="s">
        <v>978</v>
      </c>
      <c r="B504" s="16">
        <v>41</v>
      </c>
      <c r="C504" s="8" t="s">
        <v>20</v>
      </c>
      <c r="D504" s="8" t="s">
        <v>37</v>
      </c>
      <c r="F504" s="17">
        <v>42213</v>
      </c>
      <c r="G504" s="8" t="s">
        <v>979</v>
      </c>
      <c r="H504" s="8" t="s">
        <v>980</v>
      </c>
      <c r="I504" s="8" t="s">
        <v>981</v>
      </c>
      <c r="J504" s="16">
        <v>72442</v>
      </c>
      <c r="K504" s="2" t="s">
        <v>982</v>
      </c>
      <c r="L504" s="8" t="s">
        <v>983</v>
      </c>
      <c r="M504" s="8" t="s">
        <v>27</v>
      </c>
      <c r="N504" s="2" t="s">
        <v>984</v>
      </c>
      <c r="O504" s="8" t="s">
        <v>400</v>
      </c>
      <c r="P504" s="8" t="s">
        <v>401</v>
      </c>
      <c r="Q504" s="12" t="s">
        <v>21276</v>
      </c>
      <c r="R504" s="8" t="s">
        <v>29</v>
      </c>
      <c r="S504" s="8" t="s">
        <v>28</v>
      </c>
      <c r="T504" s="8"/>
      <c r="U504" s="8"/>
      <c r="AN504" s="8"/>
      <c r="AO504" s="8"/>
      <c r="AP504" s="8"/>
      <c r="AQ504" s="8"/>
      <c r="AR504" s="8"/>
      <c r="AS504" s="8"/>
      <c r="AT504" s="8"/>
    </row>
    <row r="505" spans="1:46" ht="13" customHeight="1">
      <c r="A505" s="8" t="s">
        <v>991</v>
      </c>
      <c r="B505" s="16">
        <v>53</v>
      </c>
      <c r="C505" s="8" t="s">
        <v>20</v>
      </c>
      <c r="D505" s="8" t="s">
        <v>37</v>
      </c>
      <c r="E505" s="8" t="str">
        <f>HYPERLINK("http://bloximages.chicago2.vip.townnews.com/news.hjnews.com/content/tncms/assets/v3/editorial/c/a4/ca4f81e2-cf7d-5033-933f-f993eb1d4c29/55ba527445ee0.image.jpg","http://bloximages.chicago2.vip.townnews.com/news.hjnews.com/content/tncms/assets/v3/editorial/c/a4/ca4f81e2-cf7d-5033-933f-f993eb1d4c29/55ba527445ee0.image.jpg")</f>
        <v>http://bloximages.chicago2.vip.townnews.com/news.hjnews.com/content/tncms/assets/v3/editorial/c/a4/ca4f81e2-cf7d-5033-933f-f993eb1d4c29/55ba527445ee0.image.jpg</v>
      </c>
      <c r="F505" s="17">
        <v>42213</v>
      </c>
      <c r="G505" s="8" t="s">
        <v>992</v>
      </c>
      <c r="H505" s="8" t="s">
        <v>993</v>
      </c>
      <c r="I505" s="8" t="s">
        <v>240</v>
      </c>
      <c r="J505" s="16">
        <v>84321</v>
      </c>
      <c r="K505" s="2" t="s">
        <v>994</v>
      </c>
      <c r="L505" s="8" t="s">
        <v>995</v>
      </c>
      <c r="M505" s="8" t="s">
        <v>27</v>
      </c>
      <c r="N505" s="2" t="s">
        <v>996</v>
      </c>
      <c r="O505" s="8" t="s">
        <v>400</v>
      </c>
      <c r="P505" s="8" t="s">
        <v>401</v>
      </c>
      <c r="Q505" s="12" t="s">
        <v>21275</v>
      </c>
      <c r="R505" s="8" t="s">
        <v>555</v>
      </c>
      <c r="S505" s="8" t="s">
        <v>28</v>
      </c>
      <c r="T505" s="8"/>
      <c r="U505" s="8"/>
      <c r="AN505" s="8"/>
      <c r="AO505" s="8"/>
      <c r="AP505" s="8"/>
      <c r="AQ505" s="8"/>
      <c r="AR505" s="8"/>
      <c r="AS505" s="8"/>
      <c r="AT505" s="8"/>
    </row>
    <row r="506" spans="1:46" ht="13" customHeight="1">
      <c r="A506" s="8" t="s">
        <v>985</v>
      </c>
      <c r="B506" s="16">
        <v>23</v>
      </c>
      <c r="C506" s="8" t="s">
        <v>20</v>
      </c>
      <c r="D506" s="8" t="s">
        <v>37</v>
      </c>
      <c r="F506" s="17">
        <v>42213</v>
      </c>
      <c r="G506" s="8" t="s">
        <v>986</v>
      </c>
      <c r="H506" s="8" t="s">
        <v>987</v>
      </c>
      <c r="I506" s="8" t="s">
        <v>319</v>
      </c>
      <c r="J506" s="16">
        <v>37311</v>
      </c>
      <c r="K506" s="2" t="s">
        <v>988</v>
      </c>
      <c r="L506" s="8" t="s">
        <v>989</v>
      </c>
      <c r="M506" s="8" t="s">
        <v>27</v>
      </c>
      <c r="N506" s="2" t="s">
        <v>990</v>
      </c>
      <c r="P506" s="8" t="s">
        <v>401</v>
      </c>
      <c r="Q506" s="12" t="s">
        <v>21277</v>
      </c>
      <c r="R506" s="8" t="s">
        <v>100</v>
      </c>
      <c r="S506" s="8" t="s">
        <v>18</v>
      </c>
      <c r="T506" s="8"/>
      <c r="U506" s="8"/>
      <c r="V506" s="8"/>
      <c r="W506" s="8"/>
      <c r="X506" s="8"/>
    </row>
    <row r="507" spans="1:46" ht="13" customHeight="1">
      <c r="A507" s="8" t="s">
        <v>997</v>
      </c>
      <c r="B507" s="16">
        <v>22</v>
      </c>
      <c r="C507" s="8" t="s">
        <v>20</v>
      </c>
      <c r="D507" s="8" t="s">
        <v>37</v>
      </c>
      <c r="E507" s="8" t="str">
        <f>HYPERLINK("http://images1.westword.com/imager/u/745xauto/6970529/sam.forgy.portrait.800.cropped.jpg","http://images1.westword.com/imager/u/745xauto/6970529/sam.forgy.portrait.800.cropped.jpg")</f>
        <v>http://images1.westword.com/imager/u/745xauto/6970529/sam.forgy.portrait.800.cropped.jpg</v>
      </c>
      <c r="F507" s="17">
        <v>42212</v>
      </c>
      <c r="G507" s="8" t="s">
        <v>998</v>
      </c>
      <c r="H507" s="8" t="s">
        <v>999</v>
      </c>
      <c r="I507" s="8" t="s">
        <v>209</v>
      </c>
      <c r="J507" s="16">
        <v>80302</v>
      </c>
      <c r="K507" s="2" t="s">
        <v>970</v>
      </c>
      <c r="L507" s="8" t="s">
        <v>1000</v>
      </c>
      <c r="M507" s="8" t="s">
        <v>27</v>
      </c>
      <c r="N507" s="2" t="s">
        <v>1001</v>
      </c>
      <c r="O507" s="8" t="s">
        <v>400</v>
      </c>
      <c r="P507" s="8" t="s">
        <v>401</v>
      </c>
      <c r="Q507" s="12" t="str">
        <f>HYPERLINK("http://www.thedenverchannel.com/news/local-news/naked-man-shot-and-killed-by-boulder-police-was-reportedly-high-on-lsd","http://www.thedenverchannel.com/news/local-news/naked-man-shot-and-killed-by-boulder-police-was-reportedly-high-on-lsd")</f>
        <v>http://www.thedenverchannel.com/news/local-news/naked-man-shot-and-killed-by-boulder-police-was-reportedly-high-on-lsd</v>
      </c>
      <c r="R507" s="8" t="s">
        <v>967</v>
      </c>
      <c r="S507" s="8" t="s">
        <v>28</v>
      </c>
      <c r="T507" s="8"/>
      <c r="U507" s="8"/>
      <c r="AN507" s="8"/>
      <c r="AO507" s="8"/>
      <c r="AP507" s="8"/>
      <c r="AQ507" s="8"/>
      <c r="AR507" s="8"/>
      <c r="AS507" s="8"/>
      <c r="AT507" s="8"/>
    </row>
    <row r="508" spans="1:46" ht="13" customHeight="1">
      <c r="A508" s="8" t="s">
        <v>1008</v>
      </c>
      <c r="B508" s="16">
        <v>56</v>
      </c>
      <c r="C508" s="8" t="s">
        <v>20</v>
      </c>
      <c r="D508" s="8" t="s">
        <v>37</v>
      </c>
      <c r="F508" s="17">
        <v>42212</v>
      </c>
      <c r="G508" s="8" t="s">
        <v>1009</v>
      </c>
      <c r="H508" s="8" t="s">
        <v>51</v>
      </c>
      <c r="I508" s="8" t="s">
        <v>32</v>
      </c>
      <c r="J508" s="16">
        <v>29212</v>
      </c>
      <c r="K508" s="2" t="s">
        <v>1010</v>
      </c>
      <c r="L508" s="8" t="s">
        <v>1011</v>
      </c>
      <c r="M508" s="8" t="s">
        <v>27</v>
      </c>
      <c r="N508" s="2" t="s">
        <v>1012</v>
      </c>
      <c r="O508" s="8" t="s">
        <v>1013</v>
      </c>
      <c r="P508" s="8" t="s">
        <v>401</v>
      </c>
      <c r="Q508" s="12" t="str">
        <f>HYPERLINK("http://www.wistv.com/story/29644189/sled-investigating-deputy-involved-shooting-in-lexington-county","http://www.wistv.com/story/29644189/sled-investigating-deputy-involved-shooting-in-lexington-county")</f>
        <v>http://www.wistv.com/story/29644189/sled-investigating-deputy-involved-shooting-in-lexington-county</v>
      </c>
      <c r="R508" s="8" t="s">
        <v>100</v>
      </c>
      <c r="S508" s="8" t="s">
        <v>28</v>
      </c>
      <c r="T508" s="8"/>
      <c r="U508" s="8"/>
      <c r="AN508" s="8"/>
      <c r="AO508" s="8"/>
      <c r="AP508" s="8"/>
      <c r="AQ508" s="8"/>
      <c r="AR508" s="8"/>
      <c r="AS508" s="8"/>
      <c r="AT508" s="8"/>
    </row>
    <row r="509" spans="1:46" ht="13" customHeight="1">
      <c r="A509" s="8" t="s">
        <v>1002</v>
      </c>
      <c r="B509" s="16">
        <v>45</v>
      </c>
      <c r="C509" s="8" t="s">
        <v>20</v>
      </c>
      <c r="D509" s="8" t="s">
        <v>37</v>
      </c>
      <c r="E509" s="8" t="str">
        <f>HYPERLINK("http://bayoutimelive.com/wp-content/uploads/2013/04/Jean-P.-Falgout.jpg","http://bayoutimelive.com/wp-content/uploads/2013/04/Jean-P.-Falgout.jpg")</f>
        <v>http://bayoutimelive.com/wp-content/uploads/2013/04/Jean-P.-Falgout.jpg</v>
      </c>
      <c r="F509" s="17">
        <v>42212</v>
      </c>
      <c r="G509" s="8" t="s">
        <v>1003</v>
      </c>
      <c r="H509" s="8" t="s">
        <v>1004</v>
      </c>
      <c r="I509" s="8" t="s">
        <v>25</v>
      </c>
      <c r="J509" s="16">
        <v>70363</v>
      </c>
      <c r="K509" s="2" t="s">
        <v>1005</v>
      </c>
      <c r="L509" s="8" t="s">
        <v>1006</v>
      </c>
      <c r="M509" s="8" t="s">
        <v>27</v>
      </c>
      <c r="N509" s="2" t="s">
        <v>1007</v>
      </c>
      <c r="O509" s="8" t="s">
        <v>400</v>
      </c>
      <c r="P509" s="8" t="s">
        <v>401</v>
      </c>
      <c r="Q509" s="12" t="str">
        <f>HYPERLINK("http://www.houmatoday.com/article/20150728/ARTICLES/150729727/1319?p=1&amp;tc=pg","http://www.houmatoday.com/article/20150728/ARTICLES/150729727/1319?p=1&amp;tc=pg")</f>
        <v>http://www.houmatoday.com/article/20150728/ARTICLES/150729727/1319?p=1&amp;tc=pg</v>
      </c>
      <c r="R509" s="8" t="s">
        <v>100</v>
      </c>
      <c r="S509" s="8" t="s">
        <v>18</v>
      </c>
      <c r="T509" s="8"/>
      <c r="U509" s="8"/>
      <c r="AN509" s="8"/>
      <c r="AO509" s="8"/>
      <c r="AP509" s="8"/>
      <c r="AQ509" s="8"/>
      <c r="AR509" s="8"/>
      <c r="AS509" s="8"/>
      <c r="AT509" s="8"/>
    </row>
    <row r="510" spans="1:46" ht="13" customHeight="1">
      <c r="A510" s="8" t="s">
        <v>1014</v>
      </c>
      <c r="B510" s="16">
        <v>33</v>
      </c>
      <c r="C510" s="8" t="s">
        <v>20</v>
      </c>
      <c r="D510" s="8" t="s">
        <v>85</v>
      </c>
      <c r="E510" s="8" t="s">
        <v>1015</v>
      </c>
      <c r="F510" s="17">
        <v>42211</v>
      </c>
      <c r="G510" s="8" t="s">
        <v>1016</v>
      </c>
      <c r="H510" s="8" t="s">
        <v>459</v>
      </c>
      <c r="I510" s="8" t="s">
        <v>25</v>
      </c>
      <c r="J510" s="16">
        <v>71109</v>
      </c>
      <c r="K510" s="2" t="s">
        <v>1017</v>
      </c>
      <c r="L510" s="8" t="s">
        <v>460</v>
      </c>
      <c r="M510" s="8" t="s">
        <v>27</v>
      </c>
      <c r="N510" s="2" t="s">
        <v>1018</v>
      </c>
      <c r="O510" s="8" t="s">
        <v>400</v>
      </c>
      <c r="P510" s="8" t="s">
        <v>401</v>
      </c>
      <c r="Q510" s="12" t="str">
        <f>HYPERLINK("http://www.ksla.com/story/29634844/spd-officers-involved-in-shooting-while-responding-to-hostage-situation","http://www.ksla.com/story/29634844/spd-officers-involved-in-shooting-while-responding-to-hostage-situation")</f>
        <v>http://www.ksla.com/story/29634844/spd-officers-involved-in-shooting-while-responding-to-hostage-situation</v>
      </c>
      <c r="R510" s="8" t="s">
        <v>100</v>
      </c>
      <c r="S510" s="8" t="s">
        <v>28</v>
      </c>
      <c r="T510" s="8"/>
      <c r="U510" s="8"/>
    </row>
    <row r="511" spans="1:46" ht="13" customHeight="1">
      <c r="A511" s="8" t="s">
        <v>1019</v>
      </c>
      <c r="B511" s="16">
        <v>19</v>
      </c>
      <c r="C511" s="8" t="s">
        <v>20</v>
      </c>
      <c r="D511" s="8" t="s">
        <v>37</v>
      </c>
      <c r="E511" s="8" t="str">
        <f>HYPERLINK("http://www.independent.co.uk/incoming/article10446695.ece/alternates/w620/Zach-hammond.jpg","http://www.independent.co.uk/incoming/article10446695.ece/alternates/w620/Zach-hammond.jpg")</f>
        <v>http://www.independent.co.uk/incoming/article10446695.ece/alternates/w620/Zach-hammond.jpg</v>
      </c>
      <c r="F511" s="17">
        <v>42211</v>
      </c>
      <c r="G511" s="8" t="s">
        <v>1020</v>
      </c>
      <c r="H511" s="8" t="s">
        <v>1021</v>
      </c>
      <c r="I511" s="8" t="s">
        <v>32</v>
      </c>
      <c r="J511" s="16">
        <v>29678</v>
      </c>
      <c r="K511" s="2" t="s">
        <v>1022</v>
      </c>
      <c r="L511" s="8" t="s">
        <v>1023</v>
      </c>
      <c r="M511" s="8" t="s">
        <v>27</v>
      </c>
      <c r="N511" s="2" t="s">
        <v>21633</v>
      </c>
      <c r="O511" s="8" t="s">
        <v>400</v>
      </c>
      <c r="P511" s="8" t="s">
        <v>401</v>
      </c>
      <c r="Q511" s="12" t="str">
        <f>HYPERLINK("http://www.independentmail.com/news/man-killed-by-seneca-police-officer","http://www.independentmail.com/news/man-killed-by-seneca-police-officer")</f>
        <v>http://www.independentmail.com/news/man-killed-by-seneca-police-officer</v>
      </c>
      <c r="R511" s="8" t="s">
        <v>100</v>
      </c>
      <c r="S511" s="8" t="s">
        <v>18</v>
      </c>
      <c r="T511" s="8"/>
      <c r="U511" s="8"/>
      <c r="AN511" s="8"/>
      <c r="AO511" s="8"/>
      <c r="AP511" s="8"/>
      <c r="AQ511" s="8"/>
      <c r="AR511" s="8"/>
      <c r="AS511" s="8"/>
      <c r="AT511" s="8"/>
    </row>
    <row r="512" spans="1:46" ht="13" customHeight="1">
      <c r="A512" s="8" t="s">
        <v>1024</v>
      </c>
      <c r="B512" s="16">
        <v>59</v>
      </c>
      <c r="C512" s="8" t="s">
        <v>20</v>
      </c>
      <c r="D512" s="8" t="s">
        <v>85</v>
      </c>
      <c r="F512" s="17">
        <v>42210</v>
      </c>
      <c r="G512" s="8" t="s">
        <v>1025</v>
      </c>
      <c r="H512" s="8" t="s">
        <v>1026</v>
      </c>
      <c r="I512" s="8" t="s">
        <v>62</v>
      </c>
      <c r="J512" s="16">
        <v>32667</v>
      </c>
      <c r="K512" s="2" t="s">
        <v>1027</v>
      </c>
      <c r="L512" s="8" t="s">
        <v>1028</v>
      </c>
      <c r="M512" s="8" t="s">
        <v>27</v>
      </c>
      <c r="N512" s="2" t="s">
        <v>1029</v>
      </c>
      <c r="O512" s="8" t="s">
        <v>400</v>
      </c>
      <c r="P512" s="8" t="s">
        <v>401</v>
      </c>
      <c r="Q512" s="12" t="str">
        <f>HYPERLINK("http://www.miamiherald.com/news/local/crime/article28915918.html","http://www.miamiherald.com/news/local/crime/article28915918.html")</f>
        <v>http://www.miamiherald.com/news/local/crime/article28915918.html</v>
      </c>
      <c r="R512" s="8" t="s">
        <v>100</v>
      </c>
      <c r="S512" s="8" t="s">
        <v>28</v>
      </c>
      <c r="T512" s="8"/>
      <c r="U512" s="8"/>
      <c r="V512" s="8"/>
      <c r="W512" s="8"/>
      <c r="X512" s="8"/>
    </row>
    <row r="513" spans="1:46" ht="13" customHeight="1">
      <c r="A513" s="8" t="s">
        <v>1030</v>
      </c>
      <c r="B513" s="16">
        <v>36</v>
      </c>
      <c r="C513" s="8" t="s">
        <v>20</v>
      </c>
      <c r="D513" s="8" t="s">
        <v>85</v>
      </c>
      <c r="E513" s="8" t="s">
        <v>1031</v>
      </c>
      <c r="F513" s="17">
        <v>42210</v>
      </c>
      <c r="G513" s="8" t="s">
        <v>1032</v>
      </c>
      <c r="H513" s="8" t="s">
        <v>657</v>
      </c>
      <c r="I513" s="8" t="s">
        <v>269</v>
      </c>
      <c r="J513" s="16">
        <v>89104</v>
      </c>
      <c r="K513" s="2" t="s">
        <v>570</v>
      </c>
      <c r="L513" s="8" t="s">
        <v>571</v>
      </c>
      <c r="M513" s="8" t="s">
        <v>27</v>
      </c>
      <c r="N513" s="2" t="s">
        <v>1033</v>
      </c>
      <c r="O513" s="8" t="s">
        <v>400</v>
      </c>
      <c r="P513" s="8" t="s">
        <v>401</v>
      </c>
      <c r="Q513" s="12" t="str">
        <f>HYPERLINK("http://www.reviewjournal.com/news/las-vegas/metro-officer-wounded-suspect-shot-death","http://www.reviewjournal.com/news/las-vegas/metro-officer-wounded-suspect-shot-death")</f>
        <v>http://www.reviewjournal.com/news/las-vegas/metro-officer-wounded-suspect-shot-death</v>
      </c>
      <c r="R513" s="8" t="s">
        <v>100</v>
      </c>
      <c r="S513" s="8" t="s">
        <v>18</v>
      </c>
      <c r="T513" s="8"/>
      <c r="U513" s="8"/>
    </row>
    <row r="514" spans="1:46" ht="13" customHeight="1">
      <c r="A514" s="8" t="s">
        <v>1034</v>
      </c>
      <c r="B514" s="16">
        <v>50</v>
      </c>
      <c r="C514" s="8" t="s">
        <v>20</v>
      </c>
      <c r="D514" s="8" t="s">
        <v>37</v>
      </c>
      <c r="F514" s="17">
        <v>42210</v>
      </c>
      <c r="G514" s="8" t="s">
        <v>1035</v>
      </c>
      <c r="H514" s="8" t="s">
        <v>1036</v>
      </c>
      <c r="I514" s="8" t="s">
        <v>173</v>
      </c>
      <c r="J514" s="16">
        <v>39825</v>
      </c>
      <c r="K514" s="2" t="s">
        <v>1037</v>
      </c>
      <c r="L514" s="8" t="s">
        <v>1038</v>
      </c>
      <c r="M514" s="8" t="s">
        <v>27</v>
      </c>
      <c r="N514" s="2" t="s">
        <v>1039</v>
      </c>
      <c r="O514" s="8" t="s">
        <v>400</v>
      </c>
      <c r="P514" s="8" t="s">
        <v>401</v>
      </c>
      <c r="Q514" s="12" t="str">
        <f>HYPERLINK("http://www.walb.com/story/29631891/1-dead-after-officer-involved-shooting-in-decatur-co","http://www.walb.com/story/29631891/1-dead-after-officer-involved-shooting-in-decatur-co")</f>
        <v>http://www.walb.com/story/29631891/1-dead-after-officer-involved-shooting-in-decatur-co</v>
      </c>
      <c r="R514" s="8" t="s">
        <v>555</v>
      </c>
      <c r="S514" s="8" t="s">
        <v>28</v>
      </c>
      <c r="T514" s="8"/>
      <c r="U514" s="8"/>
      <c r="AN514" s="8"/>
      <c r="AO514" s="8"/>
      <c r="AP514" s="8"/>
      <c r="AQ514" s="8"/>
      <c r="AR514" s="8"/>
      <c r="AS514" s="8"/>
      <c r="AT514" s="8"/>
    </row>
    <row r="515" spans="1:46" ht="13" customHeight="1">
      <c r="A515" s="8" t="s">
        <v>1040</v>
      </c>
      <c r="B515" s="16">
        <v>60</v>
      </c>
      <c r="C515" s="8" t="s">
        <v>20</v>
      </c>
      <c r="D515" s="8" t="s">
        <v>37</v>
      </c>
      <c r="F515" s="17">
        <v>42210</v>
      </c>
      <c r="G515" s="8" t="s">
        <v>1041</v>
      </c>
      <c r="H515" s="8" t="s">
        <v>1042</v>
      </c>
      <c r="I515" s="8" t="s">
        <v>25</v>
      </c>
      <c r="J515" s="16">
        <v>70117</v>
      </c>
      <c r="K515" s="2" t="s">
        <v>1043</v>
      </c>
      <c r="L515" s="8" t="s">
        <v>1044</v>
      </c>
      <c r="M515" s="8" t="s">
        <v>27</v>
      </c>
      <c r="N515" s="2" t="s">
        <v>1045</v>
      </c>
      <c r="O515" s="8" t="s">
        <v>400</v>
      </c>
      <c r="P515" s="8" t="s">
        <v>401</v>
      </c>
      <c r="Q515" s="12" t="str">
        <f>HYPERLINK("http://www.nola.com/crime/index.ssf/2015/07/breaking_new_orleans_police_sh.html#incart_river","http://www.nola.com/crime/index.ssf/2015/07/breaking_new_orleans_police_sh.html#incart_river")</f>
        <v>http://www.nola.com/crime/index.ssf/2015/07/breaking_new_orleans_police_sh.html#incart_river</v>
      </c>
      <c r="R515" s="8" t="s">
        <v>100</v>
      </c>
      <c r="S515" s="8" t="s">
        <v>18</v>
      </c>
      <c r="T515" s="8"/>
      <c r="U515" s="8"/>
      <c r="AN515" s="8"/>
      <c r="AO515" s="8"/>
      <c r="AP515" s="8"/>
      <c r="AQ515" s="8"/>
      <c r="AR515" s="8"/>
      <c r="AS515" s="8"/>
      <c r="AT515" s="8"/>
    </row>
    <row r="516" spans="1:46" ht="13" customHeight="1">
      <c r="A516" s="8" t="s">
        <v>1046</v>
      </c>
      <c r="B516" s="16">
        <v>30</v>
      </c>
      <c r="C516" s="8" t="s">
        <v>20</v>
      </c>
      <c r="D516" s="8" t="s">
        <v>37</v>
      </c>
      <c r="F516" s="17">
        <v>42209</v>
      </c>
      <c r="G516" s="8" t="s">
        <v>1047</v>
      </c>
      <c r="H516" s="8" t="s">
        <v>1048</v>
      </c>
      <c r="I516" s="8" t="s">
        <v>366</v>
      </c>
      <c r="J516" s="16">
        <v>27043</v>
      </c>
      <c r="K516" s="2" t="s">
        <v>1049</v>
      </c>
      <c r="L516" s="8" t="s">
        <v>1050</v>
      </c>
      <c r="M516" s="8" t="s">
        <v>27</v>
      </c>
      <c r="N516" s="2" t="s">
        <v>1282</v>
      </c>
      <c r="O516" s="8" t="s">
        <v>1013</v>
      </c>
      <c r="P516" s="8" t="s">
        <v>401</v>
      </c>
      <c r="Q516" s="12" t="str">
        <f>HYPERLINK("http://www.wxii12.com/news/stabbing-standoff-reported-in-stokes-co/34345684","http://www.wxii12.com/news/stabbing-standoff-reported-in-stokes-co/34345684")</f>
        <v>http://www.wxii12.com/news/stabbing-standoff-reported-in-stokes-co/34345684</v>
      </c>
      <c r="R516" s="8" t="s">
        <v>100</v>
      </c>
      <c r="S516" s="8" t="s">
        <v>28</v>
      </c>
      <c r="T516" s="8"/>
      <c r="U516" s="8"/>
      <c r="V516" s="8"/>
      <c r="W516" s="8"/>
      <c r="X516" s="8"/>
    </row>
    <row r="517" spans="1:46" ht="13" customHeight="1">
      <c r="A517" s="8" t="s">
        <v>1052</v>
      </c>
      <c r="B517" s="16">
        <v>44</v>
      </c>
      <c r="C517" s="8" t="s">
        <v>20</v>
      </c>
      <c r="D517" s="8" t="s">
        <v>37</v>
      </c>
      <c r="E517" s="8" t="str">
        <f>HYPERLINK("http://cdn.abclocal.go.com/content/kabc/images/cms/889902_1280x720.jpg","http://cdn.abclocal.go.com/content/kabc/images/cms/889902_1280x720.jpg")</f>
        <v>http://cdn.abclocal.go.com/content/kabc/images/cms/889902_1280x720.jpg</v>
      </c>
      <c r="F517" s="17">
        <v>42209</v>
      </c>
      <c r="G517" s="8" t="s">
        <v>1053</v>
      </c>
      <c r="H517" s="8" t="s">
        <v>1054</v>
      </c>
      <c r="I517" s="8" t="s">
        <v>45</v>
      </c>
      <c r="J517" s="16">
        <v>91604</v>
      </c>
      <c r="K517" s="2" t="s">
        <v>98</v>
      </c>
      <c r="L517" s="8" t="s">
        <v>99</v>
      </c>
      <c r="M517" s="8" t="s">
        <v>27</v>
      </c>
      <c r="N517" s="2" t="s">
        <v>1055</v>
      </c>
      <c r="O517" s="8" t="s">
        <v>400</v>
      </c>
      <c r="P517" s="8" t="s">
        <v>401</v>
      </c>
      <c r="Q517" s="12" t="str">
        <f>HYPERLINK("http://www.latimes.com/local/lanow/la-me-ln-report-of-gunman-opening-fire-bring-lapd-swarm-in-studio-city-20150724-story.html","http://www.latimes.com/local/lanow/la-me-ln-report-of-gunman-opening-fire-bring-lapd-swarm-in-studio-city-20150724-story.html")</f>
        <v>http://www.latimes.com/local/lanow/la-me-ln-report-of-gunman-opening-fire-bring-lapd-swarm-in-studio-city-20150724-story.html</v>
      </c>
      <c r="R517" s="8" t="s">
        <v>29</v>
      </c>
      <c r="S517" s="8" t="s">
        <v>28</v>
      </c>
      <c r="T517" s="8"/>
      <c r="U517" s="8"/>
      <c r="AN517" s="8"/>
      <c r="AO517" s="8"/>
      <c r="AP517" s="8"/>
      <c r="AQ517" s="8"/>
      <c r="AR517" s="8"/>
      <c r="AS517" s="8"/>
      <c r="AT517" s="8"/>
    </row>
    <row r="518" spans="1:46" ht="13" customHeight="1">
      <c r="A518" s="8" t="s">
        <v>1056</v>
      </c>
      <c r="B518" s="16">
        <v>34</v>
      </c>
      <c r="C518" s="8" t="s">
        <v>20</v>
      </c>
      <c r="D518" s="8" t="s">
        <v>85</v>
      </c>
      <c r="F518" s="17">
        <v>42208</v>
      </c>
      <c r="G518" s="8" t="s">
        <v>1057</v>
      </c>
      <c r="H518" s="8" t="s">
        <v>1058</v>
      </c>
      <c r="I518" s="8" t="s">
        <v>69</v>
      </c>
      <c r="J518" s="16">
        <v>45405</v>
      </c>
      <c r="K518" s="2" t="s">
        <v>1059</v>
      </c>
      <c r="L518" s="8" t="s">
        <v>19725</v>
      </c>
      <c r="M518" s="8" t="s">
        <v>27</v>
      </c>
      <c r="N518" s="2" t="s">
        <v>1060</v>
      </c>
      <c r="O518" s="8" t="s">
        <v>400</v>
      </c>
      <c r="P518" s="8" t="s">
        <v>401</v>
      </c>
      <c r="Q518" s="12" t="s">
        <v>21273</v>
      </c>
      <c r="R518" s="8" t="s">
        <v>100</v>
      </c>
      <c r="S518" s="8" t="s">
        <v>28</v>
      </c>
      <c r="T518" s="8"/>
      <c r="U518" s="8"/>
    </row>
    <row r="519" spans="1:46" ht="13" customHeight="1">
      <c r="A519" s="8" t="s">
        <v>1078</v>
      </c>
      <c r="B519" s="16">
        <v>32</v>
      </c>
      <c r="C519" s="8" t="s">
        <v>20</v>
      </c>
      <c r="D519" s="8" t="s">
        <v>37</v>
      </c>
      <c r="F519" s="17">
        <v>42208</v>
      </c>
      <c r="G519" s="8" t="s">
        <v>1079</v>
      </c>
      <c r="H519" s="8" t="s">
        <v>1080</v>
      </c>
      <c r="I519" s="8" t="s">
        <v>32</v>
      </c>
      <c r="J519" s="16">
        <v>29579</v>
      </c>
      <c r="K519" s="2" t="s">
        <v>1081</v>
      </c>
      <c r="L519" s="8" t="s">
        <v>1082</v>
      </c>
      <c r="M519" s="8" t="s">
        <v>27</v>
      </c>
      <c r="N519" s="2" t="s">
        <v>1083</v>
      </c>
      <c r="O519" s="8" t="s">
        <v>400</v>
      </c>
      <c r="P519" s="8" t="s">
        <v>401</v>
      </c>
      <c r="Q519" s="12" t="s">
        <v>21274</v>
      </c>
      <c r="R519" s="8" t="s">
        <v>100</v>
      </c>
      <c r="S519" s="8" t="s">
        <v>28</v>
      </c>
      <c r="T519" s="8"/>
      <c r="U519" s="8"/>
      <c r="AN519" s="8"/>
      <c r="AO519" s="8"/>
      <c r="AP519" s="8"/>
      <c r="AQ519" s="8"/>
      <c r="AR519" s="8"/>
      <c r="AS519" s="8"/>
      <c r="AT519" s="8"/>
    </row>
    <row r="520" spans="1:46" ht="13" customHeight="1">
      <c r="A520" s="8" t="s">
        <v>1066</v>
      </c>
      <c r="B520" s="16">
        <v>44</v>
      </c>
      <c r="C520" s="8" t="s">
        <v>114</v>
      </c>
      <c r="D520" s="8" t="s">
        <v>37</v>
      </c>
      <c r="F520" s="17">
        <v>42208</v>
      </c>
      <c r="G520" s="8" t="s">
        <v>1067</v>
      </c>
      <c r="H520" s="8" t="s">
        <v>1068</v>
      </c>
      <c r="I520" s="8" t="s">
        <v>45</v>
      </c>
      <c r="J520" s="16">
        <v>95722</v>
      </c>
      <c r="K520" s="2" t="s">
        <v>1069</v>
      </c>
      <c r="L520" s="8" t="s">
        <v>1070</v>
      </c>
      <c r="M520" s="8" t="s">
        <v>27</v>
      </c>
      <c r="N520" s="2" t="s">
        <v>1071</v>
      </c>
      <c r="O520" s="8" t="s">
        <v>400</v>
      </c>
      <c r="P520" s="8" t="s">
        <v>401</v>
      </c>
      <c r="Q520" s="12" t="s">
        <v>21272</v>
      </c>
      <c r="R520" s="8" t="s">
        <v>555</v>
      </c>
      <c r="S520" s="8" t="s">
        <v>28</v>
      </c>
      <c r="T520" s="8"/>
      <c r="U520" s="8"/>
      <c r="AN520" s="8"/>
      <c r="AO520" s="8"/>
      <c r="AP520" s="8"/>
      <c r="AQ520" s="8"/>
      <c r="AR520" s="8"/>
      <c r="AS520" s="8"/>
      <c r="AT520" s="8"/>
    </row>
    <row r="521" spans="1:46" ht="13" customHeight="1">
      <c r="A521" s="8" t="s">
        <v>1072</v>
      </c>
      <c r="B521" s="16">
        <v>31</v>
      </c>
      <c r="C521" s="8" t="s">
        <v>20</v>
      </c>
      <c r="D521" s="8" t="s">
        <v>37</v>
      </c>
      <c r="F521" s="17">
        <v>42208</v>
      </c>
      <c r="G521" s="8" t="s">
        <v>1073</v>
      </c>
      <c r="H521" s="8" t="s">
        <v>1074</v>
      </c>
      <c r="I521" s="8" t="s">
        <v>133</v>
      </c>
      <c r="J521" s="16">
        <v>55447</v>
      </c>
      <c r="K521" s="2" t="s">
        <v>1075</v>
      </c>
      <c r="L521" s="8" t="s">
        <v>1076</v>
      </c>
      <c r="M521" s="8" t="s">
        <v>27</v>
      </c>
      <c r="N521" s="2" t="s">
        <v>1117</v>
      </c>
      <c r="O521" s="8" t="s">
        <v>400</v>
      </c>
      <c r="P521" s="8" t="s">
        <v>401</v>
      </c>
      <c r="Q521" s="12" t="str">
        <f>HYPERLINK("http://www.startribune.com/officer-involved-shooting-at-plymouth-arby-s-leaves-one-man-dead/318383701/","http://www.startribune.com/officer-involved-shooting-at-plymouth-arby-s-leaves-one-man-dead/318383701/")</f>
        <v>http://www.startribune.com/officer-involved-shooting-at-plymouth-arby-s-leaves-one-man-dead/318383701/</v>
      </c>
      <c r="R521" s="8" t="s">
        <v>29</v>
      </c>
      <c r="S521" s="8" t="s">
        <v>18</v>
      </c>
      <c r="T521" s="8"/>
      <c r="U521" s="8"/>
      <c r="V521" s="8"/>
      <c r="W521" s="8"/>
      <c r="X521" s="8"/>
    </row>
    <row r="522" spans="1:46" ht="13" customHeight="1">
      <c r="A522" s="8" t="s">
        <v>1084</v>
      </c>
      <c r="B522" s="16">
        <v>47</v>
      </c>
      <c r="C522" s="8" t="s">
        <v>20</v>
      </c>
      <c r="D522" s="8" t="s">
        <v>37</v>
      </c>
      <c r="F522" s="17">
        <v>42208</v>
      </c>
      <c r="G522" s="8" t="s">
        <v>1085</v>
      </c>
      <c r="H522" s="8" t="s">
        <v>941</v>
      </c>
      <c r="I522" s="8" t="s">
        <v>1086</v>
      </c>
      <c r="J522" s="16">
        <v>82633</v>
      </c>
      <c r="K522" s="2" t="s">
        <v>1087</v>
      </c>
      <c r="L522" s="8" t="s">
        <v>1088</v>
      </c>
      <c r="M522" s="8" t="s">
        <v>27</v>
      </c>
      <c r="N522" s="2" t="s">
        <v>21532</v>
      </c>
      <c r="O522" s="8" t="s">
        <v>400</v>
      </c>
      <c r="P522" s="8" t="s">
        <v>401</v>
      </c>
      <c r="Q522" s="12" t="s">
        <v>21271</v>
      </c>
      <c r="R522" s="8" t="s">
        <v>100</v>
      </c>
      <c r="S522" s="8" t="s">
        <v>18</v>
      </c>
      <c r="T522" s="8"/>
      <c r="U522" s="8"/>
      <c r="AN522" s="8"/>
      <c r="AO522" s="8"/>
      <c r="AP522" s="8"/>
      <c r="AQ522" s="8"/>
      <c r="AR522" s="8"/>
      <c r="AS522" s="8"/>
      <c r="AT522" s="8"/>
    </row>
    <row r="523" spans="1:46" ht="13" customHeight="1">
      <c r="A523" s="8" t="s">
        <v>1061</v>
      </c>
      <c r="B523" s="16">
        <v>55</v>
      </c>
      <c r="C523" s="8" t="s">
        <v>20</v>
      </c>
      <c r="D523" s="8" t="s">
        <v>37</v>
      </c>
      <c r="E523" s="8" t="str">
        <f>HYPERLINK("http://www.killedbypolice.net/victims/2664.jpg","http://www.killedbypolice.net/victims/2664.jpg")</f>
        <v>http://www.killedbypolice.net/victims/2664.jpg</v>
      </c>
      <c r="F523" s="17">
        <v>42208</v>
      </c>
      <c r="G523" s="8" t="s">
        <v>1062</v>
      </c>
      <c r="H523" s="8" t="s">
        <v>1063</v>
      </c>
      <c r="I523" s="8" t="s">
        <v>62</v>
      </c>
      <c r="J523" s="16">
        <v>32819</v>
      </c>
      <c r="K523" s="2" t="s">
        <v>1064</v>
      </c>
      <c r="L523" s="8" t="s">
        <v>1065</v>
      </c>
      <c r="M523" s="8" t="s">
        <v>379</v>
      </c>
      <c r="P523" s="8" t="s">
        <v>401</v>
      </c>
      <c r="Q523" s="12" t="str">
        <f>HYPERLINK("http://www.wesh.com/news/bicyclist-struck-by-police-cruiser-has-died/34321568","http://www.wesh.com/news/bicyclist-struck-by-police-cruiser-has-died/34321568")</f>
        <v>http://www.wesh.com/news/bicyclist-struck-by-police-cruiser-has-died/34321568</v>
      </c>
      <c r="S523" s="8" t="s">
        <v>18</v>
      </c>
      <c r="T523" s="8"/>
      <c r="U523" s="8"/>
      <c r="AN523" s="13"/>
      <c r="AO523" s="13"/>
      <c r="AP523" s="13"/>
      <c r="AQ523" s="13"/>
      <c r="AR523" s="13"/>
      <c r="AS523" s="13"/>
      <c r="AT523" s="13"/>
    </row>
    <row r="524" spans="1:46" ht="13" customHeight="1">
      <c r="A524" s="8" t="s">
        <v>1095</v>
      </c>
      <c r="B524" s="16">
        <v>26</v>
      </c>
      <c r="C524" s="8" t="s">
        <v>20</v>
      </c>
      <c r="D524" s="8" t="s">
        <v>85</v>
      </c>
      <c r="F524" s="17">
        <v>42207</v>
      </c>
      <c r="G524" s="8" t="s">
        <v>1096</v>
      </c>
      <c r="H524" s="8" t="s">
        <v>1097</v>
      </c>
      <c r="I524" s="8" t="s">
        <v>395</v>
      </c>
      <c r="J524" s="16">
        <v>73111</v>
      </c>
      <c r="K524" s="2" t="s">
        <v>1098</v>
      </c>
      <c r="L524" s="8" t="s">
        <v>1099</v>
      </c>
      <c r="M524" s="8" t="s">
        <v>27</v>
      </c>
      <c r="N524" s="2" t="s">
        <v>1100</v>
      </c>
      <c r="O524" s="8" t="s">
        <v>400</v>
      </c>
      <c r="P524" s="8" t="s">
        <v>401</v>
      </c>
      <c r="Q524" s="12" t="str">
        <f>HYPERLINK("http://www.koco.com/news/okc-police-investigating-officerinvolved-shooting-on-northeast-side/34302646","http://www.koco.com/news/okc-police-investigating-officerinvolved-shooting-on-northeast-side/34302646")</f>
        <v>http://www.koco.com/news/okc-police-investigating-officerinvolved-shooting-on-northeast-side/34302646</v>
      </c>
      <c r="R524" s="8" t="s">
        <v>100</v>
      </c>
      <c r="S524" s="8" t="s">
        <v>28</v>
      </c>
      <c r="T524" s="8"/>
      <c r="U524" s="8"/>
    </row>
    <row r="525" spans="1:46" ht="13" customHeight="1">
      <c r="A525" s="8" t="s">
        <v>1101</v>
      </c>
      <c r="B525" s="16">
        <v>26</v>
      </c>
      <c r="C525" s="8" t="s">
        <v>20</v>
      </c>
      <c r="D525" s="8" t="s">
        <v>85</v>
      </c>
      <c r="F525" s="17">
        <v>42207</v>
      </c>
      <c r="G525" s="8" t="s">
        <v>1102</v>
      </c>
      <c r="H525" s="8" t="s">
        <v>1103</v>
      </c>
      <c r="I525" s="8" t="s">
        <v>404</v>
      </c>
      <c r="J525" s="16">
        <v>19154</v>
      </c>
      <c r="K525" s="2" t="s">
        <v>1103</v>
      </c>
      <c r="L525" s="8" t="s">
        <v>1104</v>
      </c>
      <c r="M525" s="8" t="s">
        <v>27</v>
      </c>
      <c r="N525" s="2" t="s">
        <v>1105</v>
      </c>
      <c r="O525" s="8" t="s">
        <v>1013</v>
      </c>
      <c r="P525" s="8" t="s">
        <v>401</v>
      </c>
      <c r="Q525" s="12" t="str">
        <f>HYPERLINK("http://philadelphia.cbslocal.com/2014/09/16/police-id-suspect-in-shooting-death-of-pregnant-woman-unborn-child/","http://philadelphia.cbslocal.com/2014/09/16/police-id-suspect-in-shooting-death-of-pregnant-woman-unborn-child/")</f>
        <v>http://philadelphia.cbslocal.com/2014/09/16/police-id-suspect-in-shooting-death-of-pregnant-woman-unborn-child/</v>
      </c>
      <c r="R525" s="8" t="s">
        <v>100</v>
      </c>
      <c r="S525" s="8" t="s">
        <v>28</v>
      </c>
      <c r="T525" s="8"/>
      <c r="U525" s="8"/>
      <c r="AI525" s="8"/>
      <c r="AJ525" s="8"/>
      <c r="AK525" s="8"/>
      <c r="AL525" s="8"/>
      <c r="AM525" s="8"/>
    </row>
    <row r="526" spans="1:46" ht="13" customHeight="1">
      <c r="A526" s="8" t="s">
        <v>1089</v>
      </c>
      <c r="B526" s="16">
        <v>35</v>
      </c>
      <c r="C526" s="8" t="s">
        <v>20</v>
      </c>
      <c r="D526" s="8" t="s">
        <v>85</v>
      </c>
      <c r="E526" s="8" t="str">
        <f>HYPERLINK("http://ksla.images.worldnow.com/images/8474631_G.jpg","http://ksla.images.worldnow.com/images/8474631_G.jpg")</f>
        <v>http://ksla.images.worldnow.com/images/8474631_G.jpg</v>
      </c>
      <c r="F526" s="17">
        <v>42207</v>
      </c>
      <c r="G526" s="8" t="s">
        <v>1090</v>
      </c>
      <c r="H526" s="8" t="s">
        <v>1091</v>
      </c>
      <c r="I526" s="8" t="s">
        <v>981</v>
      </c>
      <c r="J526" s="16">
        <v>75501</v>
      </c>
      <c r="K526" s="2" t="s">
        <v>1092</v>
      </c>
      <c r="L526" s="8" t="s">
        <v>1093</v>
      </c>
      <c r="M526" s="8" t="s">
        <v>1094</v>
      </c>
      <c r="N526" s="2" t="s">
        <v>21298</v>
      </c>
      <c r="O526" s="8" t="s">
        <v>400</v>
      </c>
      <c r="P526" s="8" t="s">
        <v>401</v>
      </c>
      <c r="Q526" s="12" t="s">
        <v>21270</v>
      </c>
      <c r="S526" s="8" t="s">
        <v>18</v>
      </c>
      <c r="T526" s="8"/>
      <c r="U526" s="8"/>
      <c r="AI526" s="8"/>
      <c r="AJ526" s="8"/>
      <c r="AK526" s="8"/>
      <c r="AL526" s="8"/>
      <c r="AM526" s="8"/>
    </row>
    <row r="527" spans="1:46" ht="13" customHeight="1">
      <c r="A527" s="8" t="s">
        <v>1106</v>
      </c>
      <c r="B527" s="16" t="s">
        <v>29</v>
      </c>
      <c r="C527" s="8" t="s">
        <v>20</v>
      </c>
      <c r="D527" s="8" t="s">
        <v>48</v>
      </c>
      <c r="F527" s="17">
        <v>42207</v>
      </c>
      <c r="G527" s="8" t="s">
        <v>1107</v>
      </c>
      <c r="H527" s="8" t="s">
        <v>1108</v>
      </c>
      <c r="I527" s="8" t="s">
        <v>438</v>
      </c>
      <c r="J527" s="16">
        <v>53566</v>
      </c>
      <c r="K527" s="2" t="s">
        <v>1109</v>
      </c>
      <c r="L527" s="8" t="s">
        <v>1110</v>
      </c>
      <c r="M527" s="8" t="s">
        <v>27</v>
      </c>
      <c r="N527" s="2" t="s">
        <v>1111</v>
      </c>
      <c r="O527" s="8" t="s">
        <v>1013</v>
      </c>
      <c r="P527" s="8" t="s">
        <v>401</v>
      </c>
      <c r="Q527" s="12" t="s">
        <v>21269</v>
      </c>
      <c r="R527" s="8" t="s">
        <v>100</v>
      </c>
      <c r="S527" s="8" t="s">
        <v>28</v>
      </c>
      <c r="T527" s="8"/>
      <c r="U527" s="8"/>
      <c r="V527" s="8"/>
      <c r="W527" s="8"/>
      <c r="X527" s="8"/>
    </row>
    <row r="528" spans="1:46" ht="13" customHeight="1">
      <c r="A528" s="8" t="s">
        <v>1112</v>
      </c>
      <c r="B528" s="16">
        <v>20</v>
      </c>
      <c r="C528" s="8" t="s">
        <v>20</v>
      </c>
      <c r="D528" s="8" t="s">
        <v>37</v>
      </c>
      <c r="E528" s="8" t="str">
        <f>HYPERLINK("http://www.killedbypolice.net/victims/150651.jpg","http://www.killedbypolice.net/victims/150651.jpg")</f>
        <v>http://www.killedbypolice.net/victims/150651.jpg</v>
      </c>
      <c r="F528" s="17">
        <v>42207</v>
      </c>
      <c r="G528" s="8" t="s">
        <v>1113</v>
      </c>
      <c r="H528" s="8" t="s">
        <v>1114</v>
      </c>
      <c r="I528" s="8" t="s">
        <v>57</v>
      </c>
      <c r="J528" s="16">
        <v>48066</v>
      </c>
      <c r="K528" s="2" t="s">
        <v>1115</v>
      </c>
      <c r="L528" s="8" t="s">
        <v>1116</v>
      </c>
      <c r="M528" s="8" t="s">
        <v>379</v>
      </c>
      <c r="N528" s="2" t="s">
        <v>1255</v>
      </c>
      <c r="O528" s="8" t="s">
        <v>1013</v>
      </c>
      <c r="P528" s="8" t="s">
        <v>401</v>
      </c>
      <c r="Q528" s="12" t="str">
        <f>HYPERLINK("http://www.mlive.com/news/detroit/index.ssf/2015/07/st_clair_shores_police_car_tur.html","http://www.mlive.com/news/detroit/index.ssf/2015/07/st_clair_shores_police_car_tur.html")</f>
        <v>http://www.mlive.com/news/detroit/index.ssf/2015/07/st_clair_shores_police_car_tur.html</v>
      </c>
      <c r="R528" s="8" t="s">
        <v>100</v>
      </c>
      <c r="S528" s="8" t="s">
        <v>18</v>
      </c>
      <c r="T528" s="8"/>
      <c r="U528" s="8"/>
      <c r="V528" s="8"/>
      <c r="W528" s="8"/>
      <c r="X528" s="8"/>
      <c r="AN528" s="8"/>
      <c r="AO528" s="8"/>
      <c r="AP528" s="8"/>
      <c r="AQ528" s="8"/>
      <c r="AR528" s="8"/>
      <c r="AS528" s="8"/>
      <c r="AT528" s="8"/>
    </row>
    <row r="529" spans="1:46" ht="13" customHeight="1">
      <c r="A529" s="8" t="s">
        <v>1118</v>
      </c>
      <c r="B529" s="16">
        <v>47</v>
      </c>
      <c r="C529" s="8" t="s">
        <v>20</v>
      </c>
      <c r="D529" s="8" t="s">
        <v>37</v>
      </c>
      <c r="F529" s="17">
        <v>42206</v>
      </c>
      <c r="G529" s="8" t="s">
        <v>1119</v>
      </c>
      <c r="H529" s="8" t="s">
        <v>1120</v>
      </c>
      <c r="I529" s="8" t="s">
        <v>173</v>
      </c>
      <c r="J529" s="16">
        <v>30184</v>
      </c>
      <c r="K529" s="2" t="s">
        <v>1121</v>
      </c>
      <c r="L529" s="8" t="s">
        <v>1122</v>
      </c>
      <c r="M529" s="8" t="s">
        <v>27</v>
      </c>
      <c r="N529" s="2" t="s">
        <v>1123</v>
      </c>
      <c r="O529" s="8" t="s">
        <v>400</v>
      </c>
      <c r="P529" s="8" t="s">
        <v>401</v>
      </c>
      <c r="Q529" s="12" t="s">
        <v>21266</v>
      </c>
      <c r="R529" s="8" t="s">
        <v>100</v>
      </c>
      <c r="S529" s="8" t="s">
        <v>28</v>
      </c>
      <c r="T529" s="8"/>
      <c r="U529" s="8"/>
    </row>
    <row r="530" spans="1:46" ht="13" customHeight="1">
      <c r="A530" s="8" t="s">
        <v>1124</v>
      </c>
      <c r="B530" s="16">
        <v>24</v>
      </c>
      <c r="C530" s="8" t="s">
        <v>20</v>
      </c>
      <c r="D530" s="8" t="s">
        <v>37</v>
      </c>
      <c r="F530" s="17">
        <v>42206</v>
      </c>
      <c r="G530" s="8" t="s">
        <v>1125</v>
      </c>
      <c r="H530" s="8" t="s">
        <v>1126</v>
      </c>
      <c r="I530" s="8" t="s">
        <v>62</v>
      </c>
      <c r="J530" s="16">
        <v>33334</v>
      </c>
      <c r="K530" s="2" t="s">
        <v>1127</v>
      </c>
      <c r="L530" s="8" t="s">
        <v>4412</v>
      </c>
      <c r="M530" s="8" t="s">
        <v>27</v>
      </c>
      <c r="N530" s="2" t="s">
        <v>1128</v>
      </c>
      <c r="O530" s="8" t="s">
        <v>1013</v>
      </c>
      <c r="P530" s="8" t="s">
        <v>401</v>
      </c>
      <c r="Q530" s="12" t="s">
        <v>21268</v>
      </c>
      <c r="R530" s="8" t="s">
        <v>100</v>
      </c>
      <c r="S530" s="8" t="s">
        <v>28</v>
      </c>
      <c r="T530" s="8"/>
      <c r="U530" s="8"/>
      <c r="AN530" s="8"/>
      <c r="AO530" s="8"/>
      <c r="AP530" s="8"/>
      <c r="AQ530" s="8"/>
      <c r="AR530" s="8"/>
      <c r="AS530" s="8"/>
      <c r="AT530" s="8"/>
    </row>
    <row r="531" spans="1:46" ht="13" customHeight="1">
      <c r="A531" s="8" t="s">
        <v>1129</v>
      </c>
      <c r="B531" s="16">
        <v>35</v>
      </c>
      <c r="C531" s="8" t="s">
        <v>20</v>
      </c>
      <c r="D531" s="8" t="s">
        <v>37</v>
      </c>
      <c r="F531" s="17">
        <v>42206</v>
      </c>
      <c r="G531" s="8" t="s">
        <v>1130</v>
      </c>
      <c r="H531" s="8" t="s">
        <v>1131</v>
      </c>
      <c r="I531" s="8" t="s">
        <v>173</v>
      </c>
      <c r="J531" s="16">
        <v>31545</v>
      </c>
      <c r="K531" s="2" t="s">
        <v>1132</v>
      </c>
      <c r="L531" s="8" t="s">
        <v>1133</v>
      </c>
      <c r="M531" s="8" t="s">
        <v>27</v>
      </c>
      <c r="N531" s="2" t="s">
        <v>1134</v>
      </c>
      <c r="O531" s="8" t="s">
        <v>400</v>
      </c>
      <c r="P531" s="8" t="s">
        <v>401</v>
      </c>
      <c r="Q531" s="12" t="s">
        <v>21267</v>
      </c>
      <c r="R531" s="8" t="s">
        <v>29</v>
      </c>
      <c r="S531" s="8" t="s">
        <v>28</v>
      </c>
      <c r="T531" s="8"/>
      <c r="U531" s="8"/>
      <c r="AN531" s="8"/>
      <c r="AO531" s="8"/>
      <c r="AP531" s="8"/>
      <c r="AQ531" s="8"/>
      <c r="AR531" s="8"/>
      <c r="AS531" s="8"/>
      <c r="AT531" s="8"/>
    </row>
    <row r="532" spans="1:46" ht="13" customHeight="1">
      <c r="A532" s="8" t="s">
        <v>1142</v>
      </c>
      <c r="B532" s="16">
        <v>54</v>
      </c>
      <c r="C532" s="8" t="s">
        <v>20</v>
      </c>
      <c r="D532" s="8" t="s">
        <v>21</v>
      </c>
      <c r="F532" s="17">
        <v>42205</v>
      </c>
      <c r="G532" s="8" t="s">
        <v>1143</v>
      </c>
      <c r="H532" s="8" t="s">
        <v>1144</v>
      </c>
      <c r="I532" s="8" t="s">
        <v>45</v>
      </c>
      <c r="J532" s="16">
        <v>94536</v>
      </c>
      <c r="K532" s="2" t="s">
        <v>604</v>
      </c>
      <c r="L532" s="8" t="s">
        <v>1145</v>
      </c>
      <c r="M532" s="8" t="s">
        <v>27</v>
      </c>
      <c r="P532" s="8" t="s">
        <v>401</v>
      </c>
      <c r="Q532" s="59" t="s">
        <v>21263</v>
      </c>
      <c r="S532" s="8" t="s">
        <v>28</v>
      </c>
      <c r="T532" s="8"/>
      <c r="U532" s="8"/>
    </row>
    <row r="533" spans="1:46" ht="13" customHeight="1">
      <c r="A533" s="8" t="s">
        <v>1135</v>
      </c>
      <c r="B533" s="16">
        <v>59</v>
      </c>
      <c r="C533" s="8" t="s">
        <v>20</v>
      </c>
      <c r="D533" s="8" t="s">
        <v>85</v>
      </c>
      <c r="E533" s="8" t="str">
        <f>HYPERLINK("http://www.killedbypolice.net/victims/150637.jpg","http://www.killedbypolice.net/victims/150637.jpg")</f>
        <v>http://www.killedbypolice.net/victims/150637.jpg</v>
      </c>
      <c r="F533" s="17">
        <v>42205</v>
      </c>
      <c r="G533" s="8" t="s">
        <v>1136</v>
      </c>
      <c r="H533" s="8" t="s">
        <v>726</v>
      </c>
      <c r="I533" s="8" t="s">
        <v>73</v>
      </c>
      <c r="J533" s="16">
        <v>77017</v>
      </c>
      <c r="K533" s="2" t="s">
        <v>558</v>
      </c>
      <c r="L533" s="8" t="s">
        <v>727</v>
      </c>
      <c r="M533" s="8" t="s">
        <v>3386</v>
      </c>
      <c r="N533" s="2" t="s">
        <v>21653</v>
      </c>
      <c r="O533" s="8" t="s">
        <v>1013</v>
      </c>
      <c r="P533" s="8" t="s">
        <v>401</v>
      </c>
      <c r="Q533" s="12" t="s">
        <v>21261</v>
      </c>
      <c r="R533" s="8" t="s">
        <v>29</v>
      </c>
      <c r="S533" s="8" t="s">
        <v>18</v>
      </c>
      <c r="T533" s="8"/>
      <c r="U533" s="8"/>
      <c r="AI533" s="8"/>
      <c r="AJ533" s="8"/>
      <c r="AK533" s="8"/>
      <c r="AL533" s="8"/>
      <c r="AM533" s="8"/>
    </row>
    <row r="534" spans="1:46" ht="13" customHeight="1">
      <c r="A534" s="8" t="s">
        <v>1139</v>
      </c>
      <c r="B534" s="16" t="s">
        <v>29</v>
      </c>
      <c r="C534" s="8" t="s">
        <v>20</v>
      </c>
      <c r="D534" s="8" t="s">
        <v>48</v>
      </c>
      <c r="F534" s="17">
        <v>42205</v>
      </c>
      <c r="G534" s="8" t="s">
        <v>1140</v>
      </c>
      <c r="H534" s="8" t="s">
        <v>726</v>
      </c>
      <c r="I534" s="8" t="s">
        <v>73</v>
      </c>
      <c r="J534" s="16">
        <v>77092</v>
      </c>
      <c r="K534" s="2" t="s">
        <v>558</v>
      </c>
      <c r="L534" s="8" t="s">
        <v>559</v>
      </c>
      <c r="M534" s="8" t="s">
        <v>27</v>
      </c>
      <c r="N534" s="2" t="s">
        <v>1141</v>
      </c>
      <c r="O534" s="8" t="s">
        <v>400</v>
      </c>
      <c r="P534" s="8" t="s">
        <v>401</v>
      </c>
      <c r="Q534" s="12" t="s">
        <v>21260</v>
      </c>
      <c r="R534" s="8" t="s">
        <v>100</v>
      </c>
      <c r="S534" s="8" t="s">
        <v>28</v>
      </c>
      <c r="T534" s="8"/>
      <c r="U534" s="8"/>
      <c r="V534" s="8"/>
      <c r="W534" s="8"/>
      <c r="X534" s="8"/>
    </row>
    <row r="535" spans="1:46" ht="13" customHeight="1">
      <c r="A535" s="8" t="s">
        <v>1137</v>
      </c>
      <c r="B535" s="16">
        <v>24</v>
      </c>
      <c r="C535" s="8" t="s">
        <v>20</v>
      </c>
      <c r="D535" s="8" t="s">
        <v>48</v>
      </c>
      <c r="E535" s="8" t="str">
        <f>HYPERLINK("http://www.killedbypolice.net/victims/150642.jpg","http://www.killedbypolice.net/victims/150642.jpg")</f>
        <v>http://www.killedbypolice.net/victims/150642.jpg</v>
      </c>
      <c r="F535" s="17">
        <v>42205</v>
      </c>
      <c r="G535" s="8" t="s">
        <v>1138</v>
      </c>
      <c r="H535" s="8" t="s">
        <v>87</v>
      </c>
      <c r="I535" s="8" t="s">
        <v>44</v>
      </c>
      <c r="J535" s="16">
        <v>60632</v>
      </c>
      <c r="K535" s="2" t="s">
        <v>88</v>
      </c>
      <c r="L535" s="8" t="s">
        <v>89</v>
      </c>
      <c r="M535" t="s">
        <v>2297</v>
      </c>
      <c r="N535" s="2" t="s">
        <v>19736</v>
      </c>
      <c r="O535" s="8" t="s">
        <v>1013</v>
      </c>
      <c r="P535" s="8" t="s">
        <v>401</v>
      </c>
      <c r="Q535" s="12" t="s">
        <v>21265</v>
      </c>
      <c r="R535" s="8" t="s">
        <v>29</v>
      </c>
      <c r="S535" s="8" t="s">
        <v>18</v>
      </c>
      <c r="T535" s="8"/>
      <c r="U535" s="8"/>
      <c r="V535" s="8"/>
      <c r="W535" s="8"/>
      <c r="X535" s="8"/>
    </row>
    <row r="536" spans="1:46" ht="13" customHeight="1">
      <c r="A536" s="8" t="s">
        <v>1151</v>
      </c>
      <c r="B536" s="16">
        <v>35</v>
      </c>
      <c r="C536" s="8" t="s">
        <v>20</v>
      </c>
      <c r="D536" s="8" t="s">
        <v>37</v>
      </c>
      <c r="F536" s="17">
        <v>42205</v>
      </c>
      <c r="G536" s="8" t="s">
        <v>1152</v>
      </c>
      <c r="H536" s="8" t="s">
        <v>1153</v>
      </c>
      <c r="I536" s="8" t="s">
        <v>73</v>
      </c>
      <c r="J536" s="16">
        <v>77665</v>
      </c>
      <c r="K536" s="2" t="s">
        <v>1154</v>
      </c>
      <c r="L536" s="8" t="s">
        <v>1155</v>
      </c>
      <c r="M536" s="8" t="s">
        <v>27</v>
      </c>
      <c r="N536" s="2" t="s">
        <v>1156</v>
      </c>
      <c r="O536" s="8" t="s">
        <v>1013</v>
      </c>
      <c r="P536" s="8" t="s">
        <v>401</v>
      </c>
      <c r="Q536" s="59" t="s">
        <v>21264</v>
      </c>
      <c r="R536" s="8" t="s">
        <v>100</v>
      </c>
      <c r="S536" s="8" t="s">
        <v>28</v>
      </c>
      <c r="T536" s="8"/>
      <c r="U536" s="8"/>
      <c r="AN536" s="8"/>
      <c r="AO536" s="8"/>
      <c r="AP536" s="8"/>
      <c r="AQ536" s="8"/>
      <c r="AR536" s="8"/>
      <c r="AS536" s="8"/>
      <c r="AT536" s="8"/>
    </row>
    <row r="537" spans="1:46" ht="13" customHeight="1">
      <c r="A537" s="8" t="s">
        <v>1146</v>
      </c>
      <c r="B537" s="16">
        <v>54</v>
      </c>
      <c r="C537" s="8" t="s">
        <v>20</v>
      </c>
      <c r="D537" s="8" t="s">
        <v>37</v>
      </c>
      <c r="F537" s="17">
        <v>42205</v>
      </c>
      <c r="G537" s="8" t="s">
        <v>1147</v>
      </c>
      <c r="H537" s="8" t="s">
        <v>1148</v>
      </c>
      <c r="I537" s="8" t="s">
        <v>395</v>
      </c>
      <c r="J537" s="16">
        <v>73020</v>
      </c>
      <c r="K537" s="2" t="s">
        <v>1098</v>
      </c>
      <c r="L537" s="8" t="s">
        <v>1149</v>
      </c>
      <c r="M537" s="8" t="s">
        <v>27</v>
      </c>
      <c r="N537" s="2" t="s">
        <v>1150</v>
      </c>
      <c r="O537" s="8" t="s">
        <v>550</v>
      </c>
      <c r="P537" s="8" t="s">
        <v>401</v>
      </c>
      <c r="Q537" s="12" t="s">
        <v>21262</v>
      </c>
      <c r="R537" s="8" t="s">
        <v>100</v>
      </c>
      <c r="S537" s="8" t="s">
        <v>28</v>
      </c>
      <c r="T537" s="8"/>
      <c r="U537" s="8"/>
      <c r="AN537" s="8"/>
      <c r="AO537" s="8"/>
      <c r="AP537" s="8"/>
      <c r="AQ537" s="8"/>
      <c r="AR537" s="8"/>
      <c r="AS537" s="8"/>
      <c r="AT537" s="8"/>
    </row>
    <row r="538" spans="1:46" ht="13" customHeight="1">
      <c r="A538" s="8" t="s">
        <v>1157</v>
      </c>
      <c r="B538" s="16">
        <v>43</v>
      </c>
      <c r="C538" s="8" t="s">
        <v>20</v>
      </c>
      <c r="D538" s="8" t="s">
        <v>85</v>
      </c>
      <c r="E538" s="8" t="s">
        <v>1158</v>
      </c>
      <c r="F538" s="17">
        <v>42204</v>
      </c>
      <c r="G538" s="8" t="s">
        <v>1159</v>
      </c>
      <c r="H538" s="8" t="s">
        <v>547</v>
      </c>
      <c r="I538" s="8" t="s">
        <v>69</v>
      </c>
      <c r="J538" s="16">
        <v>45219</v>
      </c>
      <c r="K538" s="2" t="s">
        <v>548</v>
      </c>
      <c r="L538" s="8" t="s">
        <v>1160</v>
      </c>
      <c r="M538" s="8" t="s">
        <v>27</v>
      </c>
      <c r="N538" s="2" t="s">
        <v>21625</v>
      </c>
      <c r="O538" s="8" t="s">
        <v>1161</v>
      </c>
      <c r="P538" s="8" t="s">
        <v>1162</v>
      </c>
      <c r="Q538" s="12" t="str">
        <f>HYPERLINK("http://www.cincinnati.com/story/news/2015/07/29/publish/30830777/","http://www.cincinnati.com/story/news/2015/07/29/publish/30830777/")</f>
        <v>http://www.cincinnati.com/story/news/2015/07/29/publish/30830777/</v>
      </c>
      <c r="R538" s="8" t="s">
        <v>100</v>
      </c>
      <c r="S538" s="8" t="s">
        <v>18</v>
      </c>
      <c r="T538" s="8"/>
      <c r="U538" s="8"/>
      <c r="Y538" s="8"/>
      <c r="Z538" s="8"/>
      <c r="AA538" s="8"/>
      <c r="AB538" s="8"/>
      <c r="AC538" s="8"/>
      <c r="AD538" s="8"/>
      <c r="AE538" s="8"/>
      <c r="AF538" s="8"/>
      <c r="AG538" s="8"/>
      <c r="AH538" s="8"/>
      <c r="AI538" s="8"/>
      <c r="AJ538" s="8"/>
      <c r="AK538" s="8"/>
      <c r="AL538" s="8"/>
      <c r="AM538" s="8"/>
    </row>
    <row r="539" spans="1:46" ht="13" customHeight="1">
      <c r="A539" s="8" t="s">
        <v>1163</v>
      </c>
      <c r="B539" s="16">
        <v>26</v>
      </c>
      <c r="C539" s="8" t="s">
        <v>20</v>
      </c>
      <c r="D539" s="8" t="s">
        <v>48</v>
      </c>
      <c r="F539" s="17">
        <v>42203</v>
      </c>
      <c r="G539" s="8" t="s">
        <v>1164</v>
      </c>
      <c r="H539" s="8" t="s">
        <v>1165</v>
      </c>
      <c r="I539" s="8" t="s">
        <v>45</v>
      </c>
      <c r="J539" s="16">
        <v>93223</v>
      </c>
      <c r="K539" s="2" t="s">
        <v>1166</v>
      </c>
      <c r="L539" s="8" t="s">
        <v>1167</v>
      </c>
      <c r="M539" s="8" t="s">
        <v>27</v>
      </c>
      <c r="N539" s="2" t="s">
        <v>1168</v>
      </c>
      <c r="O539" s="8" t="s">
        <v>1013</v>
      </c>
      <c r="P539" s="8" t="s">
        <v>401</v>
      </c>
      <c r="Q539" s="12" t="str">
        <f>HYPERLINK("http://www.visaliatimesdelta.com/story/news/local/2015/07/22/single-bullet-killed-farmersville-man/30501679/","http://www.visaliatimesdelta.com/story/news/local/2015/07/22/single-bullet-killed-farmersville-man/30501679/")</f>
        <v>http://www.visaliatimesdelta.com/story/news/local/2015/07/22/single-bullet-killed-farmersville-man/30501679/</v>
      </c>
      <c r="R539" s="8" t="s">
        <v>100</v>
      </c>
      <c r="S539" s="8" t="s">
        <v>18</v>
      </c>
      <c r="T539" s="8"/>
      <c r="U539" s="8"/>
    </row>
    <row r="540" spans="1:46" ht="13" customHeight="1">
      <c r="A540" s="8" t="s">
        <v>1172</v>
      </c>
      <c r="B540" s="16">
        <v>22</v>
      </c>
      <c r="C540" s="8" t="s">
        <v>20</v>
      </c>
      <c r="D540" s="8" t="s">
        <v>37</v>
      </c>
      <c r="F540" s="17">
        <v>42203</v>
      </c>
      <c r="G540" s="8" t="s">
        <v>1173</v>
      </c>
      <c r="H540" s="8" t="s">
        <v>1174</v>
      </c>
      <c r="I540" s="8" t="s">
        <v>209</v>
      </c>
      <c r="J540" s="16">
        <v>80526</v>
      </c>
      <c r="K540" s="2" t="s">
        <v>553</v>
      </c>
      <c r="L540" s="8" t="s">
        <v>1175</v>
      </c>
      <c r="M540" s="8" t="s">
        <v>27</v>
      </c>
      <c r="N540" s="2" t="s">
        <v>1176</v>
      </c>
      <c r="O540" s="8" t="s">
        <v>550</v>
      </c>
      <c r="P540" s="8" t="s">
        <v>401</v>
      </c>
      <c r="Q540" s="12" t="str">
        <f>HYPERLINK("http://www.thedenverchannel.com/news/local-news/man-dead-shot-by-fort-collins-officers-after-suspect-tried-to-attack-them-with-knife","http://www.thedenverchannel.com/news/local-news/man-dead-shot-by-fort-collins-officers-after-suspect-tried-to-attack-them-with-knife")</f>
        <v>http://www.thedenverchannel.com/news/local-news/man-dead-shot-by-fort-collins-officers-after-suspect-tried-to-attack-them-with-knife</v>
      </c>
      <c r="R540" s="8" t="s">
        <v>555</v>
      </c>
      <c r="S540" s="8" t="s">
        <v>28</v>
      </c>
      <c r="T540" s="8"/>
      <c r="U540" s="8"/>
      <c r="V540" s="8"/>
      <c r="W540" s="8"/>
      <c r="X540" s="8"/>
      <c r="AN540" s="8"/>
      <c r="AO540" s="8"/>
      <c r="AP540" s="8"/>
      <c r="AQ540" s="8"/>
      <c r="AR540" s="8"/>
      <c r="AS540" s="8"/>
      <c r="AT540" s="8"/>
    </row>
    <row r="541" spans="1:46" ht="13" customHeight="1">
      <c r="A541" s="8" t="s">
        <v>1169</v>
      </c>
      <c r="B541" s="16">
        <v>46</v>
      </c>
      <c r="C541" s="8" t="s">
        <v>20</v>
      </c>
      <c r="D541" s="8" t="s">
        <v>37</v>
      </c>
      <c r="F541" s="17">
        <v>42203</v>
      </c>
      <c r="G541" s="8" t="s">
        <v>1170</v>
      </c>
      <c r="H541" s="8" t="s">
        <v>634</v>
      </c>
      <c r="I541" s="8" t="s">
        <v>123</v>
      </c>
      <c r="J541" s="16">
        <v>85051</v>
      </c>
      <c r="K541" s="2" t="s">
        <v>635</v>
      </c>
      <c r="L541" s="8" t="s">
        <v>636</v>
      </c>
      <c r="M541" s="8" t="s">
        <v>27</v>
      </c>
      <c r="N541" s="2" t="s">
        <v>1171</v>
      </c>
      <c r="O541" s="8" t="s">
        <v>1013</v>
      </c>
      <c r="P541" s="8" t="s">
        <v>401</v>
      </c>
      <c r="Q541" s="12" t="str">
        <f>HYPERLINK("http://www.azcentral.com/story/news/local/phoenix/2015/07/18/west-phoenix-fatal-officer-involved-shooting-abrk/30349421/","http://www.azcentral.com/story/news/local/phoenix/2015/07/18/west-phoenix-fatal-officer-involved-shooting-abrk/30349421/")</f>
        <v>http://www.azcentral.com/story/news/local/phoenix/2015/07/18/west-phoenix-fatal-officer-involved-shooting-abrk/30349421/</v>
      </c>
      <c r="R541" s="8" t="s">
        <v>100</v>
      </c>
      <c r="S541" s="8" t="s">
        <v>28</v>
      </c>
      <c r="T541" s="8"/>
      <c r="U541" s="8"/>
      <c r="AN541" s="8"/>
      <c r="AO541" s="8"/>
      <c r="AP541" s="8"/>
      <c r="AQ541" s="8"/>
      <c r="AR541" s="8"/>
      <c r="AS541" s="8"/>
      <c r="AT541" s="8"/>
    </row>
    <row r="542" spans="1:46" ht="13" customHeight="1">
      <c r="A542" s="8" t="s">
        <v>1177</v>
      </c>
      <c r="B542" s="16">
        <v>65</v>
      </c>
      <c r="C542" s="8" t="s">
        <v>20</v>
      </c>
      <c r="D542" s="8" t="s">
        <v>37</v>
      </c>
      <c r="F542" s="17">
        <v>42203</v>
      </c>
      <c r="G542" s="8" t="s">
        <v>1178</v>
      </c>
      <c r="H542" s="8" t="s">
        <v>1179</v>
      </c>
      <c r="I542" s="8" t="s">
        <v>363</v>
      </c>
      <c r="J542" s="16">
        <v>67701</v>
      </c>
      <c r="K542" s="2" t="s">
        <v>1180</v>
      </c>
      <c r="L542" s="8" t="s">
        <v>1181</v>
      </c>
      <c r="M542" s="8" t="s">
        <v>27</v>
      </c>
      <c r="N542" s="2" t="s">
        <v>1182</v>
      </c>
      <c r="O542" s="8" t="s">
        <v>1013</v>
      </c>
      <c r="P542" s="8" t="s">
        <v>401</v>
      </c>
      <c r="Q542" s="12" t="str">
        <f>HYPERLINK("http://www.kake.com/home/headlines/KBI-investigating-officer-involved-shooting-in-northwest-Kansas-316960821.html","http://www.kake.com/home/headlines/KBI-investigating-officer-involved-shooting-in-northwest-Kansas-316960821.html")</f>
        <v>http://www.kake.com/home/headlines/KBI-investigating-officer-involved-shooting-in-northwest-Kansas-316960821.html</v>
      </c>
      <c r="R542" s="8" t="s">
        <v>100</v>
      </c>
      <c r="S542" s="8" t="s">
        <v>28</v>
      </c>
      <c r="T542" s="8"/>
      <c r="U542" s="8"/>
      <c r="AN542" s="8"/>
      <c r="AO542" s="8"/>
      <c r="AP542" s="8"/>
      <c r="AQ542" s="8"/>
      <c r="AR542" s="8"/>
      <c r="AS542" s="8"/>
      <c r="AT542" s="8"/>
    </row>
    <row r="543" spans="1:46" ht="13" customHeight="1">
      <c r="A543" s="8" t="s">
        <v>1183</v>
      </c>
      <c r="B543" s="16">
        <v>30</v>
      </c>
      <c r="C543" s="8" t="s">
        <v>20</v>
      </c>
      <c r="D543" s="8" t="s">
        <v>37</v>
      </c>
      <c r="F543" s="17">
        <v>42203</v>
      </c>
      <c r="G543" s="8" t="s">
        <v>1184</v>
      </c>
      <c r="H543" s="8" t="s">
        <v>1185</v>
      </c>
      <c r="I543" s="8" t="s">
        <v>671</v>
      </c>
      <c r="J543" s="16">
        <v>38654</v>
      </c>
      <c r="K543" s="2" t="s">
        <v>1186</v>
      </c>
      <c r="L543" s="8" t="s">
        <v>1187</v>
      </c>
      <c r="M543" s="8" t="s">
        <v>2297</v>
      </c>
      <c r="N543" s="2" t="s">
        <v>1376</v>
      </c>
      <c r="O543" s="8" t="s">
        <v>1353</v>
      </c>
      <c r="P543" s="8" t="s">
        <v>401</v>
      </c>
      <c r="Q543" s="12" t="str">
        <f>HYPERLINK("http://www.ksdk.com/story/news/nation/2015/07/20/man-hogtied-police-death/30433375/","http://www.ksdk.com/story/news/nation/2015/07/20/man-hogtied-police-death/30433375/")</f>
        <v>http://www.ksdk.com/story/news/nation/2015/07/20/man-hogtied-police-death/30433375/</v>
      </c>
      <c r="R543" s="8" t="s">
        <v>29</v>
      </c>
      <c r="S543" s="8" t="s">
        <v>18</v>
      </c>
      <c r="T543" s="8"/>
      <c r="U543" s="8"/>
      <c r="V543" s="8"/>
      <c r="W543" s="8"/>
      <c r="X543" s="8"/>
      <c r="AN543" s="8"/>
      <c r="AO543" s="8"/>
      <c r="AP543" s="8"/>
      <c r="AQ543" s="8"/>
      <c r="AR543" s="8"/>
      <c r="AS543" s="8"/>
      <c r="AT543" s="8"/>
    </row>
    <row r="544" spans="1:46" ht="13" customHeight="1">
      <c r="A544" s="8" t="s">
        <v>1193</v>
      </c>
      <c r="B544" s="16">
        <v>19</v>
      </c>
      <c r="C544" s="8" t="s">
        <v>20</v>
      </c>
      <c r="D544" s="8" t="s">
        <v>85</v>
      </c>
      <c r="E544" s="8" t="s">
        <v>21237</v>
      </c>
      <c r="F544" s="17">
        <v>42202</v>
      </c>
      <c r="G544" s="8" t="s">
        <v>1194</v>
      </c>
      <c r="H544" s="8" t="s">
        <v>1195</v>
      </c>
      <c r="I544" s="8" t="s">
        <v>319</v>
      </c>
      <c r="J544" s="16">
        <v>38115</v>
      </c>
      <c r="K544" s="2" t="s">
        <v>1196</v>
      </c>
      <c r="L544" s="8" t="s">
        <v>1197</v>
      </c>
      <c r="M544" s="8" t="s">
        <v>27</v>
      </c>
      <c r="N544" s="2" t="s">
        <v>1198</v>
      </c>
      <c r="O544" s="8" t="s">
        <v>400</v>
      </c>
      <c r="P544" s="8" t="s">
        <v>401</v>
      </c>
      <c r="Q544" s="12" t="str">
        <f>HYPERLINK("http://www.wmcactionnews5.com/story/29578116/man-dead-after-struggle-with-mpd-officer","http://www.wmcactionnews5.com/story/29578116/man-dead-after-struggle-with-mpd-officer")</f>
        <v>http://www.wmcactionnews5.com/story/29578116/man-dead-after-struggle-with-mpd-officer</v>
      </c>
      <c r="R544" s="8" t="s">
        <v>100</v>
      </c>
      <c r="S544" s="8" t="s">
        <v>18</v>
      </c>
      <c r="T544" s="8"/>
      <c r="U544" s="8"/>
      <c r="AI544" s="8"/>
      <c r="AJ544" s="8"/>
      <c r="AK544" s="8"/>
      <c r="AL544" s="8"/>
      <c r="AM544" s="8"/>
    </row>
    <row r="545" spans="1:39" ht="13" customHeight="1">
      <c r="A545" s="8" t="s">
        <v>1189</v>
      </c>
      <c r="B545" s="16">
        <v>23</v>
      </c>
      <c r="C545" s="8" t="s">
        <v>20</v>
      </c>
      <c r="D545" s="8" t="s">
        <v>85</v>
      </c>
      <c r="E545" s="8" t="s">
        <v>1190</v>
      </c>
      <c r="F545" s="17">
        <v>42202</v>
      </c>
      <c r="G545" s="8" t="s">
        <v>1191</v>
      </c>
      <c r="H545" s="8" t="s">
        <v>1063</v>
      </c>
      <c r="I545" s="8" t="s">
        <v>62</v>
      </c>
      <c r="J545" s="16">
        <v>32812</v>
      </c>
      <c r="K545" s="2" t="s">
        <v>1064</v>
      </c>
      <c r="L545" s="8" t="s">
        <v>1065</v>
      </c>
      <c r="M545" s="8" t="s">
        <v>27</v>
      </c>
      <c r="N545" s="2" t="s">
        <v>1192</v>
      </c>
      <c r="O545" s="8" t="s">
        <v>400</v>
      </c>
      <c r="P545" s="8" t="s">
        <v>401</v>
      </c>
      <c r="Q545" s="59" t="str">
        <f>HYPERLINK("http://www.orlandosentinel.com/news/breaking-news/os-orlando-police-suspect-shooting-20150717-story.html","http://www.orlandosentinel.com/news/breaking-news/os-orlando-police-suspect-shooting-20150717-story.html")</f>
        <v>http://www.orlandosentinel.com/news/breaking-news/os-orlando-police-suspect-shooting-20150717-story.html</v>
      </c>
      <c r="R545" s="8" t="s">
        <v>100</v>
      </c>
      <c r="S545" s="8" t="s">
        <v>18</v>
      </c>
      <c r="T545" s="8"/>
      <c r="U545" s="8"/>
      <c r="AI545" s="8"/>
      <c r="AJ545" s="8"/>
      <c r="AK545" s="8"/>
      <c r="AL545" s="8"/>
      <c r="AM545" s="8"/>
    </row>
    <row r="546" spans="1:39" ht="13" customHeight="1">
      <c r="A546" s="8" t="s">
        <v>1199</v>
      </c>
      <c r="B546" s="16">
        <v>24</v>
      </c>
      <c r="C546" s="8" t="s">
        <v>20</v>
      </c>
      <c r="D546" s="8" t="s">
        <v>48</v>
      </c>
      <c r="F546" s="17">
        <v>42202</v>
      </c>
      <c r="G546" s="8" t="s">
        <v>1200</v>
      </c>
      <c r="H546" s="8" t="s">
        <v>1201</v>
      </c>
      <c r="I546" s="8" t="s">
        <v>73</v>
      </c>
      <c r="J546" s="16">
        <v>78520</v>
      </c>
      <c r="K546" s="2" t="s">
        <v>1202</v>
      </c>
      <c r="L546" s="8" t="s">
        <v>1203</v>
      </c>
      <c r="M546" s="8" t="s">
        <v>27</v>
      </c>
      <c r="N546" s="2" t="s">
        <v>1204</v>
      </c>
      <c r="O546" s="8" t="s">
        <v>400</v>
      </c>
      <c r="P546" s="8" t="s">
        <v>401</v>
      </c>
      <c r="Q546" s="12" t="str">
        <f>HYPERLINK("http://www.click2houston.com/news/hpd-investigating-after-possible-incustody-death-in-southeast-houston/34238632","http://www.click2houston.com/news/hpd-investigating-after-possible-incustody-death-in-southeast-houston/34238632")</f>
        <v>http://www.click2houston.com/news/hpd-investigating-after-possible-incustody-death-in-southeast-houston/34238632</v>
      </c>
      <c r="R546" s="8" t="s">
        <v>100</v>
      </c>
      <c r="S546" s="8" t="s">
        <v>28</v>
      </c>
      <c r="T546" s="8"/>
      <c r="U546" s="8"/>
    </row>
    <row r="547" spans="1:39" ht="13" customHeight="1">
      <c r="A547" s="8" t="s">
        <v>1209</v>
      </c>
      <c r="B547" s="16">
        <v>27</v>
      </c>
      <c r="C547" s="8" t="s">
        <v>20</v>
      </c>
      <c r="D547" s="8" t="s">
        <v>37</v>
      </c>
      <c r="F547" s="17">
        <v>42202</v>
      </c>
      <c r="G547" s="8" t="s">
        <v>1210</v>
      </c>
      <c r="H547" s="8" t="s">
        <v>1211</v>
      </c>
      <c r="I547" s="8" t="s">
        <v>303</v>
      </c>
      <c r="J547" s="16">
        <v>98115</v>
      </c>
      <c r="K547" s="2" t="s">
        <v>1212</v>
      </c>
      <c r="L547" s="8" t="s">
        <v>1213</v>
      </c>
      <c r="M547" s="8" t="s">
        <v>27</v>
      </c>
      <c r="N547" s="2" t="s">
        <v>1214</v>
      </c>
      <c r="O547" s="8" t="s">
        <v>400</v>
      </c>
      <c r="P547" s="8" t="s">
        <v>401</v>
      </c>
      <c r="Q547" s="12" t="s">
        <v>21253</v>
      </c>
      <c r="R547" s="8" t="s">
        <v>100</v>
      </c>
      <c r="S547" s="8" t="s">
        <v>28</v>
      </c>
      <c r="T547" s="8"/>
      <c r="U547" s="8"/>
    </row>
    <row r="548" spans="1:39" ht="13" customHeight="1">
      <c r="A548" s="8" t="s">
        <v>1205</v>
      </c>
      <c r="B548" s="16">
        <v>50</v>
      </c>
      <c r="C548" s="8" t="s">
        <v>20</v>
      </c>
      <c r="D548" s="8" t="s">
        <v>37</v>
      </c>
      <c r="F548" s="17">
        <v>42202</v>
      </c>
      <c r="G548" s="8" t="s">
        <v>1206</v>
      </c>
      <c r="H548" s="8" t="s">
        <v>1207</v>
      </c>
      <c r="I548" s="8" t="s">
        <v>45</v>
      </c>
      <c r="J548" s="16">
        <v>92363</v>
      </c>
      <c r="K548" s="2" t="s">
        <v>110</v>
      </c>
      <c r="L548" s="8" t="s">
        <v>310</v>
      </c>
      <c r="M548" s="8" t="s">
        <v>27</v>
      </c>
      <c r="N548" s="2" t="s">
        <v>1208</v>
      </c>
      <c r="O548" s="8" t="s">
        <v>400</v>
      </c>
      <c r="P548" s="8" t="s">
        <v>401</v>
      </c>
      <c r="Q548" s="12" t="str">
        <f>HYPERLINK("http://www.sbsun.com/general-news/20150718/sheriffs-deputies-shoot-kill-highland-man-in-needles","http://www.sbsun.com/general-news/20150718/sheriffs-deputies-shoot-kill-highland-man-in-needles")</f>
        <v>http://www.sbsun.com/general-news/20150718/sheriffs-deputies-shoot-kill-highland-man-in-needles</v>
      </c>
      <c r="R548" s="8" t="s">
        <v>555</v>
      </c>
      <c r="S548" s="8" t="s">
        <v>28</v>
      </c>
      <c r="T548" s="8"/>
      <c r="U548" s="8"/>
    </row>
    <row r="549" spans="1:39" ht="13" customHeight="1">
      <c r="A549" s="8" t="s">
        <v>1215</v>
      </c>
      <c r="B549" s="16">
        <v>24</v>
      </c>
      <c r="C549" s="8" t="s">
        <v>20</v>
      </c>
      <c r="D549" s="8" t="s">
        <v>21</v>
      </c>
      <c r="F549" s="17">
        <v>42201</v>
      </c>
      <c r="G549" s="8" t="s">
        <v>1216</v>
      </c>
      <c r="H549" s="8" t="s">
        <v>1217</v>
      </c>
      <c r="I549" s="8" t="s">
        <v>319</v>
      </c>
      <c r="J549" s="16">
        <v>37406</v>
      </c>
      <c r="K549" s="2" t="s">
        <v>548</v>
      </c>
      <c r="L549" s="8" t="s">
        <v>1218</v>
      </c>
      <c r="M549" s="8" t="s">
        <v>27</v>
      </c>
      <c r="N549" s="2" t="s">
        <v>1219</v>
      </c>
      <c r="O549" s="8" t="s">
        <v>400</v>
      </c>
      <c r="P549" s="8" t="s">
        <v>401</v>
      </c>
      <c r="Q549" s="12" t="str">
        <f>HYPERLINK("http://www.cnn.com/2015/07/17/us/tennessee-shooter-mohammad-youssuf-abdulazeez/","http://www.cnn.com/2015/07/17/us/tennessee-shooter-mohammad-youssuf-abdulazeez/")</f>
        <v>http://www.cnn.com/2015/07/17/us/tennessee-shooter-mohammad-youssuf-abdulazeez/</v>
      </c>
      <c r="R549" s="8" t="s">
        <v>100</v>
      </c>
      <c r="S549" s="8" t="s">
        <v>28</v>
      </c>
      <c r="T549" s="8"/>
      <c r="U549" s="8"/>
    </row>
    <row r="550" spans="1:39" ht="13" customHeight="1">
      <c r="A550" s="8" t="s">
        <v>1220</v>
      </c>
      <c r="B550" s="16">
        <v>25</v>
      </c>
      <c r="C550" s="8" t="s">
        <v>20</v>
      </c>
      <c r="D550" s="8" t="s">
        <v>85</v>
      </c>
      <c r="F550" s="17">
        <v>42201</v>
      </c>
      <c r="G550" s="8" t="s">
        <v>1221</v>
      </c>
      <c r="H550" s="8" t="s">
        <v>1222</v>
      </c>
      <c r="I550" s="8" t="s">
        <v>45</v>
      </c>
      <c r="J550" s="16">
        <v>92553</v>
      </c>
      <c r="K550" s="2" t="s">
        <v>786</v>
      </c>
      <c r="L550" s="8" t="s">
        <v>1223</v>
      </c>
      <c r="M550" s="8" t="s">
        <v>27</v>
      </c>
      <c r="N550" s="2" t="s">
        <v>19734</v>
      </c>
      <c r="O550" s="8" t="s">
        <v>400</v>
      </c>
      <c r="P550" s="8" t="s">
        <v>401</v>
      </c>
      <c r="Q550" s="12" t="s">
        <v>19735</v>
      </c>
      <c r="R550" s="8" t="s">
        <v>555</v>
      </c>
      <c r="S550" s="8" t="s">
        <v>28</v>
      </c>
      <c r="T550" s="8"/>
      <c r="U550" s="8"/>
      <c r="V550" s="8"/>
      <c r="W550" s="8"/>
      <c r="X550" s="8"/>
      <c r="AI550" s="8"/>
      <c r="AJ550" s="8"/>
      <c r="AK550" s="8"/>
      <c r="AL550" s="8"/>
      <c r="AM550" s="8"/>
    </row>
    <row r="551" spans="1:39" ht="13" customHeight="1">
      <c r="A551" s="8" t="s">
        <v>1225</v>
      </c>
      <c r="B551" s="16">
        <v>35</v>
      </c>
      <c r="C551" s="8" t="s">
        <v>20</v>
      </c>
      <c r="D551" s="8" t="s">
        <v>85</v>
      </c>
      <c r="F551" s="17">
        <v>42201</v>
      </c>
      <c r="G551" s="8" t="s">
        <v>1226</v>
      </c>
      <c r="H551" s="8" t="s">
        <v>1227</v>
      </c>
      <c r="I551" s="8" t="s">
        <v>62</v>
      </c>
      <c r="J551" s="16">
        <v>33030</v>
      </c>
      <c r="K551" s="2" t="s">
        <v>161</v>
      </c>
      <c r="L551" s="8" t="s">
        <v>7023</v>
      </c>
      <c r="M551" s="8" t="s">
        <v>27</v>
      </c>
      <c r="N551" s="2" t="s">
        <v>1228</v>
      </c>
      <c r="O551" s="8" t="s">
        <v>400</v>
      </c>
      <c r="P551" s="8" t="s">
        <v>401</v>
      </c>
      <c r="Q551" s="12" t="str">
        <f>HYPERLINK("http://www.miamiherald.com/news/local/crime/article27524482.html","http://www.miamiherald.com/news/local/crime/article27524482.html")</f>
        <v>http://www.miamiherald.com/news/local/crime/article27524482.html</v>
      </c>
      <c r="R551" s="8" t="s">
        <v>100</v>
      </c>
      <c r="S551" s="8" t="s">
        <v>28</v>
      </c>
      <c r="T551" s="8"/>
      <c r="U551" s="8"/>
      <c r="V551" s="8"/>
      <c r="W551" s="8"/>
      <c r="X551" s="8"/>
      <c r="AI551" s="8"/>
      <c r="AJ551" s="8"/>
      <c r="AK551" s="8"/>
      <c r="AL551" s="8"/>
      <c r="AM551" s="8"/>
    </row>
    <row r="552" spans="1:39" ht="13" customHeight="1">
      <c r="A552" s="8" t="s">
        <v>1229</v>
      </c>
      <c r="B552" s="16">
        <v>29</v>
      </c>
      <c r="C552" s="8" t="s">
        <v>20</v>
      </c>
      <c r="D552" s="8" t="s">
        <v>48</v>
      </c>
      <c r="E552" s="8" t="str">
        <f>HYPERLINK("https://localtvwiti.files.wordpress.com/2015/07/antonio-gonzales2.jpeg","https://localtvwiti.files.wordpress.com/2015/07/antonio-gonzales2.jpeg")</f>
        <v>https://localtvwiti.files.wordpress.com/2015/07/antonio-gonzales2.jpeg</v>
      </c>
      <c r="F552" s="17">
        <v>42201</v>
      </c>
      <c r="G552" s="8" t="s">
        <v>1230</v>
      </c>
      <c r="H552" s="8" t="s">
        <v>1231</v>
      </c>
      <c r="I552" s="8" t="s">
        <v>438</v>
      </c>
      <c r="J552" s="16">
        <v>53226</v>
      </c>
      <c r="K552" s="2" t="s">
        <v>890</v>
      </c>
      <c r="L552" s="8" t="s">
        <v>1232</v>
      </c>
      <c r="M552" s="8" t="s">
        <v>27</v>
      </c>
      <c r="N552" s="2" t="s">
        <v>1233</v>
      </c>
      <c r="O552" s="8" t="s">
        <v>1013</v>
      </c>
      <c r="P552" s="8" t="s">
        <v>401</v>
      </c>
      <c r="Q552" s="12" t="str">
        <f>HYPERLINK("http://www.nbc15.com/home/headlines/Reports-of-shooting-in-Monroe-318229761.html","http://www.nbc15.com/home/headlines/Reports-of-shooting-in-Monroe-318229761.html")</f>
        <v>http://www.nbc15.com/home/headlines/Reports-of-shooting-in-Monroe-318229761.html</v>
      </c>
      <c r="R552" s="8" t="s">
        <v>29</v>
      </c>
      <c r="S552" s="8" t="s">
        <v>28</v>
      </c>
      <c r="T552" s="8"/>
      <c r="U552" s="8"/>
    </row>
    <row r="553" spans="1:39" ht="13" customHeight="1">
      <c r="A553" s="8" t="s">
        <v>1234</v>
      </c>
      <c r="B553" s="16">
        <v>23</v>
      </c>
      <c r="C553" s="8" t="s">
        <v>20</v>
      </c>
      <c r="D553" s="8" t="s">
        <v>139</v>
      </c>
      <c r="E553" s="8" t="str">
        <f>HYPERLINK("http://media.graytvinc.com/images/saige+hack+2.jpg","http://media.graytvinc.com/images/saige+hack+2.jpg")</f>
        <v>http://media.graytvinc.com/images/saige+hack+2.jpg</v>
      </c>
      <c r="F553" s="17">
        <v>42201</v>
      </c>
      <c r="G553" s="8" t="s">
        <v>1235</v>
      </c>
      <c r="H553" s="8" t="s">
        <v>1236</v>
      </c>
      <c r="I553" s="8" t="s">
        <v>1086</v>
      </c>
      <c r="J553" s="16">
        <v>82007</v>
      </c>
      <c r="K553" s="2" t="s">
        <v>1237</v>
      </c>
      <c r="L553" s="8" t="s">
        <v>1238</v>
      </c>
      <c r="M553" s="8" t="s">
        <v>27</v>
      </c>
      <c r="N553" s="2" t="s">
        <v>1239</v>
      </c>
      <c r="O553" s="8" t="s">
        <v>400</v>
      </c>
      <c r="P553" s="8" t="s">
        <v>401</v>
      </c>
      <c r="Q553" s="12" t="str">
        <f>HYPERLINK("http://trib.com/news/local/crime-and-courts/authorities-identify-man-killed-in-law-enforcement-shooting/article_6d603afc-e1e5-5d5c-a156-708cc4078263.html","http://trib.com/news/local/crime-and-courts/authorities-identify-man-killed-in-law-enforcement-shooting/article_6d603afc-e1e5-5d5c-a156-708cc4078263.html")</f>
        <v>http://trib.com/news/local/crime-and-courts/authorities-identify-man-killed-in-law-enforcement-shooting/article_6d603afc-e1e5-5d5c-a156-708cc4078263.html</v>
      </c>
      <c r="R553" s="8" t="s">
        <v>100</v>
      </c>
      <c r="S553" s="8" t="s">
        <v>28</v>
      </c>
      <c r="T553" s="8"/>
      <c r="U553" s="8"/>
    </row>
    <row r="554" spans="1:39" ht="13" customHeight="1">
      <c r="A554" s="8" t="s">
        <v>1240</v>
      </c>
      <c r="B554" s="16">
        <v>29</v>
      </c>
      <c r="C554" s="8" t="s">
        <v>20</v>
      </c>
      <c r="D554" s="8" t="s">
        <v>37</v>
      </c>
      <c r="F554" s="17">
        <v>42201</v>
      </c>
      <c r="G554" s="8" t="s">
        <v>1241</v>
      </c>
      <c r="H554" s="8" t="s">
        <v>1242</v>
      </c>
      <c r="I554" s="8" t="s">
        <v>94</v>
      </c>
      <c r="J554" s="16">
        <v>36467</v>
      </c>
      <c r="K554" s="2" t="s">
        <v>1243</v>
      </c>
      <c r="L554" s="8" t="s">
        <v>1244</v>
      </c>
      <c r="M554" s="8" t="s">
        <v>27</v>
      </c>
      <c r="N554" s="2" t="s">
        <v>1245</v>
      </c>
      <c r="O554" s="8" t="s">
        <v>1013</v>
      </c>
      <c r="P554" s="8" t="s">
        <v>401</v>
      </c>
      <c r="Q554" s="12" t="str">
        <f>HYPERLINK("http://www.myfoxal.com/story/29566625/man-in-opp-officer-involved-shooting-dies","http://www.myfoxal.com/story/29566625/man-in-opp-officer-involved-shooting-dies")</f>
        <v>http://www.myfoxal.com/story/29566625/man-in-opp-officer-involved-shooting-dies</v>
      </c>
      <c r="R554" s="8" t="s">
        <v>100</v>
      </c>
      <c r="S554" s="8" t="s">
        <v>28</v>
      </c>
      <c r="T554" s="8"/>
      <c r="U554" s="8"/>
    </row>
    <row r="555" spans="1:39" ht="13" customHeight="1">
      <c r="A555" s="8" t="s">
        <v>1246</v>
      </c>
      <c r="B555" s="16">
        <v>30</v>
      </c>
      <c r="C555" s="8" t="s">
        <v>20</v>
      </c>
      <c r="D555" s="8" t="s">
        <v>37</v>
      </c>
      <c r="F555" s="17">
        <v>42201</v>
      </c>
      <c r="G555" s="8" t="s">
        <v>1247</v>
      </c>
      <c r="H555" s="8" t="s">
        <v>430</v>
      </c>
      <c r="I555" s="8" t="s">
        <v>363</v>
      </c>
      <c r="J555" s="16">
        <v>66205</v>
      </c>
      <c r="K555" s="2" t="s">
        <v>600</v>
      </c>
      <c r="L555" s="8" t="s">
        <v>2126</v>
      </c>
      <c r="M555" s="8" t="s">
        <v>27</v>
      </c>
      <c r="N555" s="2" t="s">
        <v>1248</v>
      </c>
      <c r="O555" s="8" t="s">
        <v>400</v>
      </c>
      <c r="P555" s="8" t="s">
        <v>401</v>
      </c>
      <c r="Q555" s="12" t="s">
        <v>21252</v>
      </c>
      <c r="R555" s="8" t="s">
        <v>100</v>
      </c>
      <c r="S555" s="8" t="s">
        <v>28</v>
      </c>
      <c r="T555" s="8"/>
      <c r="U555" s="8"/>
      <c r="V555" s="8"/>
      <c r="W555" s="8"/>
      <c r="X555" s="8"/>
    </row>
    <row r="556" spans="1:39" ht="13" customHeight="1">
      <c r="A556" s="8" t="s">
        <v>1249</v>
      </c>
      <c r="B556" s="16">
        <v>41</v>
      </c>
      <c r="C556" s="8" t="s">
        <v>20</v>
      </c>
      <c r="D556" s="8" t="s">
        <v>37</v>
      </c>
      <c r="F556" s="17">
        <v>42200</v>
      </c>
      <c r="G556" s="8" t="s">
        <v>1250</v>
      </c>
      <c r="H556" s="8" t="s">
        <v>98</v>
      </c>
      <c r="I556" s="8" t="s">
        <v>45</v>
      </c>
      <c r="J556" s="16">
        <v>90291</v>
      </c>
      <c r="K556" s="2" t="s">
        <v>98</v>
      </c>
      <c r="L556" s="8" t="s">
        <v>99</v>
      </c>
      <c r="M556" s="8" t="s">
        <v>27</v>
      </c>
      <c r="N556" s="2" t="s">
        <v>1251</v>
      </c>
      <c r="O556" s="8" t="s">
        <v>400</v>
      </c>
      <c r="P556" s="8" t="s">
        <v>401</v>
      </c>
      <c r="Q556" s="12" t="str">
        <f>HYPERLINK("http://homicide.latimes.com/post/jason-charles-davis/","http://homicide.latimes.com/post/jason-charles-davis/")</f>
        <v>http://homicide.latimes.com/post/jason-charles-davis/</v>
      </c>
      <c r="R556" s="8" t="s">
        <v>100</v>
      </c>
      <c r="S556" s="8" t="s">
        <v>28</v>
      </c>
      <c r="T556" s="8"/>
      <c r="U556" s="8"/>
      <c r="V556" s="8"/>
      <c r="W556" s="8"/>
      <c r="X556" s="8"/>
    </row>
    <row r="557" spans="1:39" ht="13" customHeight="1">
      <c r="A557" s="8" t="s">
        <v>1252</v>
      </c>
      <c r="B557" s="16">
        <v>43</v>
      </c>
      <c r="C557" s="8" t="s">
        <v>20</v>
      </c>
      <c r="D557" s="8" t="s">
        <v>37</v>
      </c>
      <c r="E557" s="8" t="str">
        <f>HYPERLINK("http://media.mlive.com/grpress/news_impact/photo/eugene-kailingjpg-1325419215b33c26.jpg","http://media.mlive.com/grpress/news_impact/photo/eugene-kailingjpg-1325419215b33c26.jpg")</f>
        <v>http://media.mlive.com/grpress/news_impact/photo/eugene-kailingjpg-1325419215b33c26.jpg</v>
      </c>
      <c r="F557" s="17">
        <v>42200</v>
      </c>
      <c r="G557" s="8" t="s">
        <v>1253</v>
      </c>
      <c r="H557" s="8" t="s">
        <v>420</v>
      </c>
      <c r="I557" s="8" t="s">
        <v>57</v>
      </c>
      <c r="J557" s="16">
        <v>49665</v>
      </c>
      <c r="K557" s="2" t="s">
        <v>1254</v>
      </c>
      <c r="L557" s="8" t="s">
        <v>3978</v>
      </c>
      <c r="M557" s="8" t="s">
        <v>27</v>
      </c>
      <c r="N557" s="2" t="s">
        <v>955</v>
      </c>
      <c r="O557" s="8" t="s">
        <v>400</v>
      </c>
      <c r="P557" s="8" t="s">
        <v>401</v>
      </c>
      <c r="Q557" s="12" t="str">
        <f>HYPERLINK("http://www.mlive.com/news/grand-rapids/index.ssf/2015/07/no_reason_to_shoot_him_step-da.html","http://www.mlive.com/news/grand-rapids/index.ssf/2015/07/no_reason_to_shoot_him_step-da.html")</f>
        <v>http://www.mlive.com/news/grand-rapids/index.ssf/2015/07/no_reason_to_shoot_him_step-da.html</v>
      </c>
      <c r="R557" s="8" t="s">
        <v>29</v>
      </c>
      <c r="S557" s="8" t="s">
        <v>35</v>
      </c>
      <c r="T557" s="8"/>
      <c r="U557" s="8"/>
      <c r="V557" s="8"/>
      <c r="W557" s="8"/>
      <c r="X557" s="8"/>
    </row>
    <row r="558" spans="1:39" ht="13" customHeight="1">
      <c r="A558" s="8" t="s">
        <v>1256</v>
      </c>
      <c r="B558" s="16">
        <v>20</v>
      </c>
      <c r="C558" s="8" t="s">
        <v>20</v>
      </c>
      <c r="D558" s="8" t="s">
        <v>85</v>
      </c>
      <c r="F558" s="17">
        <v>42199</v>
      </c>
      <c r="G558" s="8" t="s">
        <v>1257</v>
      </c>
      <c r="H558" s="8" t="s">
        <v>1258</v>
      </c>
      <c r="I558" s="8" t="s">
        <v>62</v>
      </c>
      <c r="J558" s="16">
        <v>34753</v>
      </c>
      <c r="K558" s="2" t="s">
        <v>1259</v>
      </c>
      <c r="L558" s="8" t="s">
        <v>1260</v>
      </c>
      <c r="M558" s="8" t="s">
        <v>27</v>
      </c>
      <c r="N558" s="2" t="s">
        <v>1261</v>
      </c>
      <c r="O558" s="8" t="s">
        <v>400</v>
      </c>
      <c r="P558" s="8" t="s">
        <v>401</v>
      </c>
      <c r="Q558" s="12" t="str">
        <f>HYPERLINK("http://www.clickorlando.com/news/1-dead-in-deputyinvolved-shooting-in-lake-county/34153664","http://www.clickorlando.com/news/1-dead-in-deputyinvolved-shooting-in-lake-county/34153664")</f>
        <v>http://www.clickorlando.com/news/1-dead-in-deputyinvolved-shooting-in-lake-county/34153664</v>
      </c>
      <c r="R558" s="8" t="s">
        <v>100</v>
      </c>
      <c r="S558" s="8" t="s">
        <v>28</v>
      </c>
      <c r="T558" s="8"/>
      <c r="U558" s="8"/>
      <c r="AI558" s="8"/>
      <c r="AJ558" s="8"/>
      <c r="AK558" s="8"/>
      <c r="AL558" s="8"/>
      <c r="AM558" s="8"/>
    </row>
    <row r="559" spans="1:39" ht="13" customHeight="1">
      <c r="A559" s="8" t="s">
        <v>1262</v>
      </c>
      <c r="B559" s="16">
        <v>76</v>
      </c>
      <c r="C559" s="8" t="s">
        <v>20</v>
      </c>
      <c r="D559" s="8" t="s">
        <v>37</v>
      </c>
      <c r="F559" s="17">
        <v>42199</v>
      </c>
      <c r="G559" s="8" t="s">
        <v>1263</v>
      </c>
      <c r="H559" s="8" t="s">
        <v>1264</v>
      </c>
      <c r="I559" s="8" t="s">
        <v>69</v>
      </c>
      <c r="J559" s="16">
        <v>44470</v>
      </c>
      <c r="K559" s="2" t="s">
        <v>1265</v>
      </c>
      <c r="L559" s="8" t="s">
        <v>1266</v>
      </c>
      <c r="M559" s="8" t="s">
        <v>27</v>
      </c>
      <c r="N559" s="2" t="s">
        <v>1267</v>
      </c>
      <c r="O559" s="8" t="s">
        <v>400</v>
      </c>
      <c r="P559" s="8" t="s">
        <v>401</v>
      </c>
      <c r="Q559" s="12" t="str">
        <f>HYPERLINK("http://wkbn.com/2015/07/14/man-dies-in-shootout-with-police-in-southington/","http://wkbn.com/2015/07/14/man-dies-in-shootout-with-police-in-southington/")</f>
        <v>http://wkbn.com/2015/07/14/man-dies-in-shootout-with-police-in-southington/</v>
      </c>
      <c r="R559" s="8" t="s">
        <v>100</v>
      </c>
      <c r="S559" s="8" t="s">
        <v>28</v>
      </c>
      <c r="T559" s="8"/>
      <c r="U559" s="8"/>
    </row>
    <row r="560" spans="1:39" ht="13" customHeight="1">
      <c r="A560" s="8" t="s">
        <v>1268</v>
      </c>
      <c r="B560" s="16">
        <v>28</v>
      </c>
      <c r="C560" s="8" t="s">
        <v>114</v>
      </c>
      <c r="D560" s="8" t="s">
        <v>85</v>
      </c>
      <c r="E560" s="8" t="s">
        <v>1269</v>
      </c>
      <c r="F560" s="17">
        <v>42198</v>
      </c>
      <c r="G560" s="8" t="s">
        <v>1270</v>
      </c>
      <c r="H560" s="8" t="s">
        <v>1271</v>
      </c>
      <c r="I560" s="8" t="s">
        <v>73</v>
      </c>
      <c r="J560" s="16">
        <v>77445</v>
      </c>
      <c r="K560" s="2" t="s">
        <v>834</v>
      </c>
      <c r="L560" s="8" t="s">
        <v>1272</v>
      </c>
      <c r="M560" s="8" t="s">
        <v>29</v>
      </c>
      <c r="N560" s="2" t="s">
        <v>21659</v>
      </c>
      <c r="O560" s="8" t="s">
        <v>1161</v>
      </c>
      <c r="P560" s="8" t="s">
        <v>1162</v>
      </c>
      <c r="Q560" s="59" t="str">
        <f>HYPERLINK("http://www.brownsvilleherald.com/news/local/article_d17faf7e-2cfe-11e5-b74c-2b2b278cba62.html#.Vao7U4FnKBE.twitter","http://www.brownsvilleherald.com/news/local/article_d17faf7e-2cfe-11e5-b74c-2b2b278cba62.html#.Vao7U4FnKBE.twitter")</f>
        <v>http://www.brownsvilleherald.com/news/local/article_d17faf7e-2cfe-11e5-b74c-2b2b278cba62.html#.Vao7U4FnKBE.twitter</v>
      </c>
      <c r="R560" s="8" t="s">
        <v>29</v>
      </c>
      <c r="S560" s="8" t="s">
        <v>18</v>
      </c>
      <c r="T560" s="8"/>
      <c r="U560" s="8"/>
      <c r="AI560" s="8"/>
      <c r="AJ560" s="8"/>
      <c r="AK560" s="8"/>
      <c r="AL560" s="8"/>
      <c r="AM560" s="8"/>
    </row>
    <row r="561" spans="1:39" ht="13" customHeight="1">
      <c r="A561" s="8" t="s">
        <v>1273</v>
      </c>
      <c r="B561" s="16">
        <v>23</v>
      </c>
      <c r="C561" s="8" t="s">
        <v>20</v>
      </c>
      <c r="D561" s="8" t="s">
        <v>48</v>
      </c>
      <c r="F561" s="17">
        <v>42198</v>
      </c>
      <c r="G561" s="8" t="s">
        <v>1274</v>
      </c>
      <c r="H561" s="8" t="s">
        <v>1275</v>
      </c>
      <c r="I561" s="8" t="s">
        <v>46</v>
      </c>
      <c r="J561" s="16">
        <v>1902</v>
      </c>
      <c r="K561" s="2" t="s">
        <v>528</v>
      </c>
      <c r="L561" s="8" t="s">
        <v>1276</v>
      </c>
      <c r="M561" s="8" t="s">
        <v>27</v>
      </c>
      <c r="N561" s="2" t="s">
        <v>1531</v>
      </c>
      <c r="O561" s="8" t="s">
        <v>400</v>
      </c>
      <c r="P561" s="8" t="s">
        <v>401</v>
      </c>
      <c r="Q561" s="12" t="str">
        <f>HYPERLINK("https://www.bostonglobe.com/metro/2015/07/14/roxbury-man-identified-person-fatally-shot-lynn-police-officer-during-drug-investigation/HluhRMJJeFBqMqtUt3gNWP/story.html","https://www.bostonglobe.com/metro/2015/07/14/roxbury-man-identified-person-fatally-shot-lynn-police-officer-during-drug-investigation/HluhRMJJeFBqMqtUt3gNWP/story.html")</f>
        <v>https://www.bostonglobe.com/metro/2015/07/14/roxbury-man-identified-person-fatally-shot-lynn-police-officer-during-drug-investigation/HluhRMJJeFBqMqtUt3gNWP/story.html</v>
      </c>
      <c r="R561" s="8" t="s">
        <v>100</v>
      </c>
      <c r="S561" s="8" t="s">
        <v>379</v>
      </c>
      <c r="T561" s="8"/>
      <c r="U561" s="8"/>
      <c r="V561" s="8"/>
      <c r="W561" s="8"/>
      <c r="X561" s="8"/>
    </row>
    <row r="562" spans="1:39" ht="13" customHeight="1">
      <c r="A562" s="8" t="s">
        <v>1283</v>
      </c>
      <c r="B562" s="16">
        <v>23</v>
      </c>
      <c r="C562" s="8" t="s">
        <v>20</v>
      </c>
      <c r="D562" s="8" t="s">
        <v>37</v>
      </c>
      <c r="F562" s="17">
        <v>42198</v>
      </c>
      <c r="G562" s="8" t="s">
        <v>1284</v>
      </c>
      <c r="H562" s="8" t="s">
        <v>1285</v>
      </c>
      <c r="I562" s="8" t="s">
        <v>45</v>
      </c>
      <c r="J562" s="16">
        <v>96025</v>
      </c>
      <c r="K562" s="2" t="s">
        <v>959</v>
      </c>
      <c r="L562" s="8" t="s">
        <v>1286</v>
      </c>
      <c r="M562" s="8" t="s">
        <v>27</v>
      </c>
      <c r="N562" s="2" t="s">
        <v>1224</v>
      </c>
      <c r="O562" s="8" t="s">
        <v>400</v>
      </c>
      <c r="P562" s="8" t="s">
        <v>401</v>
      </c>
      <c r="Q562" s="12" t="str">
        <f>HYPERLINK("http://www.redding.com/homepage-showcase/matthew-graham-killed-in-dunsmuir-shootout-with-officers_38935482","http://www.redding.com/homepage-showcase/matthew-graham-killed-in-dunsmuir-shootout-with-officers_38935482")</f>
        <v>http://www.redding.com/homepage-showcase/matthew-graham-killed-in-dunsmuir-shootout-with-officers_38935482</v>
      </c>
      <c r="R562" s="8" t="s">
        <v>100</v>
      </c>
      <c r="S562" s="8" t="s">
        <v>28</v>
      </c>
      <c r="T562" s="8"/>
      <c r="U562" s="8"/>
      <c r="V562" s="8"/>
      <c r="W562" s="8"/>
      <c r="X562" s="8"/>
    </row>
    <row r="563" spans="1:39" ht="13" customHeight="1">
      <c r="A563" s="8" t="s">
        <v>1278</v>
      </c>
      <c r="B563" s="16">
        <v>55</v>
      </c>
      <c r="C563" s="8" t="s">
        <v>20</v>
      </c>
      <c r="D563" s="8" t="s">
        <v>37</v>
      </c>
      <c r="F563" s="17">
        <v>42198</v>
      </c>
      <c r="G563" s="8" t="s">
        <v>1279</v>
      </c>
      <c r="H563" s="8" t="s">
        <v>621</v>
      </c>
      <c r="I563" s="8" t="s">
        <v>366</v>
      </c>
      <c r="J563" s="16">
        <v>28792</v>
      </c>
      <c r="K563" s="2" t="s">
        <v>1280</v>
      </c>
      <c r="L563" s="8" t="s">
        <v>1281</v>
      </c>
      <c r="M563" s="8" t="s">
        <v>2297</v>
      </c>
      <c r="N563" s="2" t="s">
        <v>1382</v>
      </c>
      <c r="O563" s="8" t="s">
        <v>400</v>
      </c>
      <c r="P563" s="8" t="s">
        <v>401</v>
      </c>
      <c r="Q563" s="12" t="s">
        <v>19733</v>
      </c>
      <c r="R563" s="8" t="s">
        <v>100</v>
      </c>
      <c r="S563" s="8" t="s">
        <v>18</v>
      </c>
      <c r="T563" s="8"/>
      <c r="U563" s="8"/>
      <c r="V563" s="8"/>
      <c r="W563" s="8"/>
      <c r="X563" s="8"/>
    </row>
    <row r="564" spans="1:39" ht="13" customHeight="1">
      <c r="A564" s="8" t="s">
        <v>1288</v>
      </c>
      <c r="B564" s="16">
        <v>77</v>
      </c>
      <c r="C564" s="8" t="s">
        <v>20</v>
      </c>
      <c r="D564" s="8" t="s">
        <v>37</v>
      </c>
      <c r="E564" s="8" t="str">
        <f>HYPERLINK("http://www.dispatch.com/content/graphics/2015/07/13/nyal-brown.jpg","http://www.dispatch.com/content/graphics/2015/07/13/nyal-brown.jpg")</f>
        <v>http://www.dispatch.com/content/graphics/2015/07/13/nyal-brown.jpg</v>
      </c>
      <c r="F564" s="17">
        <v>42198</v>
      </c>
      <c r="G564" s="8" t="s">
        <v>1289</v>
      </c>
      <c r="H564" s="8" t="s">
        <v>1290</v>
      </c>
      <c r="I564" s="8" t="s">
        <v>69</v>
      </c>
      <c r="J564" s="16">
        <v>43204</v>
      </c>
      <c r="K564" s="2" t="s">
        <v>1291</v>
      </c>
      <c r="L564" s="8" t="s">
        <v>1292</v>
      </c>
      <c r="M564" s="8" t="s">
        <v>379</v>
      </c>
      <c r="N564" s="2" t="s">
        <v>1293</v>
      </c>
      <c r="O564" s="8" t="s">
        <v>400</v>
      </c>
      <c r="P564" s="8" t="s">
        <v>401</v>
      </c>
      <c r="Q564" s="12" t="str">
        <f>HYPERLINK("http://www.dispatch.com/content/stories/local/2015/07/13/fatal-crash-on-hilltop.html","http://www.dispatch.com/content/stories/local/2015/07/13/fatal-crash-on-hilltop.html")</f>
        <v>http://www.dispatch.com/content/stories/local/2015/07/13/fatal-crash-on-hilltop.html</v>
      </c>
      <c r="R564" s="8" t="s">
        <v>100</v>
      </c>
      <c r="S564" s="8" t="s">
        <v>18</v>
      </c>
      <c r="T564" s="8"/>
      <c r="U564" s="8"/>
    </row>
    <row r="565" spans="1:39" ht="13" customHeight="1">
      <c r="A565" s="8" t="s">
        <v>1304</v>
      </c>
      <c r="B565" s="16">
        <v>20</v>
      </c>
      <c r="C565" s="8" t="s">
        <v>20</v>
      </c>
      <c r="D565" s="8" t="s">
        <v>85</v>
      </c>
      <c r="E565" s="8" t="s">
        <v>20658</v>
      </c>
      <c r="F565" s="17">
        <v>42197</v>
      </c>
      <c r="G565" s="8" t="s">
        <v>1305</v>
      </c>
      <c r="H565" s="8" t="s">
        <v>1306</v>
      </c>
      <c r="I565" s="8" t="s">
        <v>173</v>
      </c>
      <c r="J565" s="16">
        <v>30083</v>
      </c>
      <c r="K565" s="2" t="s">
        <v>1307</v>
      </c>
      <c r="L565" s="8" t="s">
        <v>865</v>
      </c>
      <c r="M565" s="8" t="s">
        <v>27</v>
      </c>
      <c r="N565" s="2" t="s">
        <v>1308</v>
      </c>
      <c r="O565" s="8" t="s">
        <v>400</v>
      </c>
      <c r="P565" s="8" t="s">
        <v>401</v>
      </c>
      <c r="Q565" s="12" t="s">
        <v>21251</v>
      </c>
      <c r="R565" s="8" t="s">
        <v>100</v>
      </c>
      <c r="S565" s="8" t="s">
        <v>28</v>
      </c>
      <c r="T565" s="8"/>
      <c r="U565" s="8"/>
    </row>
    <row r="566" spans="1:39" ht="13" customHeight="1">
      <c r="A566" s="8" t="s">
        <v>1294</v>
      </c>
      <c r="B566" s="16">
        <v>50</v>
      </c>
      <c r="C566" s="8" t="s">
        <v>20</v>
      </c>
      <c r="D566" s="8" t="s">
        <v>85</v>
      </c>
      <c r="E566" s="8" t="str">
        <f>HYPERLINK("http://www.trbimg.com/img-55a686d0/turbine/fl-plantation-cop-homeless-shooting-id-2015071-001/304/304x171","http://www.trbimg.com/img-55a686d0/turbine/fl-plantation-cop-homeless-shooting-id-2015071-001/304/304x171")</f>
        <v>http://www.trbimg.com/img-55a686d0/turbine/fl-plantation-cop-homeless-shooting-id-2015071-001/304/304x171</v>
      </c>
      <c r="F566" s="17">
        <v>42197</v>
      </c>
      <c r="G566" s="8" t="s">
        <v>1295</v>
      </c>
      <c r="H566" s="8" t="s">
        <v>1296</v>
      </c>
      <c r="I566" s="8" t="s">
        <v>62</v>
      </c>
      <c r="J566" s="16">
        <v>33317</v>
      </c>
      <c r="K566" s="2" t="s">
        <v>1127</v>
      </c>
      <c r="L566" s="8" t="s">
        <v>1297</v>
      </c>
      <c r="M566" s="8" t="s">
        <v>27</v>
      </c>
      <c r="N566" s="2" t="s">
        <v>1298</v>
      </c>
      <c r="O566" s="8" t="s">
        <v>400</v>
      </c>
      <c r="P566" s="8" t="s">
        <v>401</v>
      </c>
      <c r="Q566" s="59" t="str">
        <f>HYPERLINK("http://www.sun-sentinel.com/local/broward/fl-plantation-cop-homeless-shooting-id-20150715-story.html","http://www.sun-sentinel.com/local/broward/fl-plantation-cop-homeless-shooting-id-20150715-story.html")</f>
        <v>http://www.sun-sentinel.com/local/broward/fl-plantation-cop-homeless-shooting-id-20150715-story.html</v>
      </c>
      <c r="R566" s="8" t="s">
        <v>100</v>
      </c>
      <c r="S566" s="8" t="s">
        <v>18</v>
      </c>
      <c r="T566" s="8"/>
      <c r="U566" s="8"/>
      <c r="Y566" s="8"/>
      <c r="Z566" s="8"/>
      <c r="AA566" s="8"/>
      <c r="AB566" s="8"/>
      <c r="AC566" s="8"/>
      <c r="AD566" s="8"/>
      <c r="AE566" s="8"/>
      <c r="AF566" s="8"/>
      <c r="AG566" s="8"/>
      <c r="AH566" s="8"/>
    </row>
    <row r="567" spans="1:39" ht="13" customHeight="1">
      <c r="A567" s="8" t="s">
        <v>1299</v>
      </c>
      <c r="B567" s="16">
        <v>35</v>
      </c>
      <c r="C567" s="8" t="s">
        <v>20</v>
      </c>
      <c r="D567" s="8" t="s">
        <v>139</v>
      </c>
      <c r="F567" s="17">
        <v>42197</v>
      </c>
      <c r="G567" s="8" t="s">
        <v>1300</v>
      </c>
      <c r="H567" s="8" t="s">
        <v>1301</v>
      </c>
      <c r="I567" s="8" t="s">
        <v>209</v>
      </c>
      <c r="J567" s="16">
        <v>80219</v>
      </c>
      <c r="K567" s="2" t="s">
        <v>1301</v>
      </c>
      <c r="L567" s="8" t="s">
        <v>1302</v>
      </c>
      <c r="M567" s="8" t="s">
        <v>27</v>
      </c>
      <c r="N567" s="2" t="s">
        <v>1303</v>
      </c>
      <c r="O567" s="8" t="s">
        <v>400</v>
      </c>
      <c r="P567" s="8" t="s">
        <v>401</v>
      </c>
      <c r="Q567" s="12" t="str">
        <f>HYPERLINK("http://www.rawstory.com/2015/07/denver-police-shoot-and-kill-a-mentally-ill-native-american-man-holding-a-knife-to-his-own-throat/","http://www.rawstory.com/2015/07/denver-police-shoot-and-kill-a-mentally-ill-native-american-man-holding-a-knife-to-his-own-throat/")</f>
        <v>http://www.rawstory.com/2015/07/denver-police-shoot-and-kill-a-mentally-ill-native-american-man-holding-a-knife-to-his-own-throat/</v>
      </c>
      <c r="R567" s="8" t="s">
        <v>555</v>
      </c>
      <c r="S567" s="8" t="s">
        <v>28</v>
      </c>
      <c r="T567" s="8"/>
      <c r="U567" s="8"/>
      <c r="Y567" s="8"/>
      <c r="Z567" s="8"/>
      <c r="AA567" s="8"/>
      <c r="AB567" s="8"/>
      <c r="AC567" s="8"/>
      <c r="AD567" s="8"/>
      <c r="AE567" s="8"/>
      <c r="AF567" s="8"/>
      <c r="AG567" s="8"/>
      <c r="AH567" s="8"/>
    </row>
    <row r="568" spans="1:39" ht="13" customHeight="1">
      <c r="A568" s="8" t="s">
        <v>1309</v>
      </c>
      <c r="B568" s="16">
        <v>24</v>
      </c>
      <c r="C568" s="8" t="s">
        <v>20</v>
      </c>
      <c r="D568" s="8" t="s">
        <v>37</v>
      </c>
      <c r="F568" s="17">
        <v>42197</v>
      </c>
      <c r="G568" s="8" t="s">
        <v>1310</v>
      </c>
      <c r="H568" s="8" t="s">
        <v>1311</v>
      </c>
      <c r="I568" s="8" t="s">
        <v>44</v>
      </c>
      <c r="J568" s="16">
        <v>60305</v>
      </c>
      <c r="K568" s="2" t="s">
        <v>88</v>
      </c>
      <c r="L568" s="8" t="s">
        <v>1312</v>
      </c>
      <c r="M568" s="8" t="s">
        <v>27</v>
      </c>
      <c r="N568" s="2" t="s">
        <v>1313</v>
      </c>
      <c r="O568" s="8" t="s">
        <v>400</v>
      </c>
      <c r="P568" s="8" t="s">
        <v>401</v>
      </c>
      <c r="Q568" s="12" t="str">
        <f>HYPERLINK("http://www.oakpark.com/News/Articles/7-13-2015/Three-injured,-two-killed-in-River-Forest/","http://www.oakpark.com/News/Articles/7-13-2015/Three-injured,-two-killed-in-River-Forest/")</f>
        <v>http://www.oakpark.com/News/Articles/7-13-2015/Three-injured,-two-killed-in-River-Forest/</v>
      </c>
      <c r="R568" s="8" t="s">
        <v>29</v>
      </c>
      <c r="S568" s="8" t="s">
        <v>28</v>
      </c>
      <c r="T568" s="8"/>
      <c r="U568" s="8"/>
    </row>
    <row r="569" spans="1:39" ht="13" customHeight="1">
      <c r="A569" s="8" t="s">
        <v>1320</v>
      </c>
      <c r="B569" s="16">
        <v>27</v>
      </c>
      <c r="C569" s="8" t="s">
        <v>20</v>
      </c>
      <c r="D569" s="8" t="s">
        <v>37</v>
      </c>
      <c r="E569" s="8" t="str">
        <f>HYPERLINK("http://wac.450f.edgecastcdn.net/80450F/k2radio.com/files/2015/07/chris-benton.jpg","http://wac.450f.edgecastcdn.net/80450F/k2radio.com/files/2015/07/chris-benton.jpg")</f>
        <v>http://wac.450f.edgecastcdn.net/80450F/k2radio.com/files/2015/07/chris-benton.jpg</v>
      </c>
      <c r="F569" s="17">
        <v>42197</v>
      </c>
      <c r="G569" s="8" t="s">
        <v>1321</v>
      </c>
      <c r="H569" s="8" t="s">
        <v>1322</v>
      </c>
      <c r="I569" s="8" t="s">
        <v>1086</v>
      </c>
      <c r="J569" s="16">
        <v>82604</v>
      </c>
      <c r="K569" s="2" t="s">
        <v>1323</v>
      </c>
      <c r="L569" s="8" t="s">
        <v>1324</v>
      </c>
      <c r="M569" s="8" t="s">
        <v>27</v>
      </c>
      <c r="N569" s="2" t="s">
        <v>1325</v>
      </c>
      <c r="O569" s="8" t="s">
        <v>400</v>
      </c>
      <c r="P569" s="8" t="s">
        <v>401</v>
      </c>
      <c r="Q569" s="12" t="str">
        <f>HYPERLINK("http://www.wyomingnews.com/articles/2015/07/16/breaking_news/01breaking_7-16-15.txt#.Vdo9r_ZVikq","http://www.wyomingnews.com/articles/2015/07/16/breaking_news/01breaking_7-16-15.txt#.Vdo9r_ZVikq")</f>
        <v>http://www.wyomingnews.com/articles/2015/07/16/breaking_news/01breaking_7-16-15.txt#.Vdo9r_ZVikq</v>
      </c>
      <c r="R569" s="8" t="s">
        <v>100</v>
      </c>
      <c r="S569" s="8" t="s">
        <v>35</v>
      </c>
      <c r="T569" s="8"/>
      <c r="U569" s="8"/>
      <c r="Y569" s="8"/>
      <c r="Z569" s="8"/>
      <c r="AA569" s="8"/>
      <c r="AB569" s="8"/>
      <c r="AC569" s="8"/>
      <c r="AD569" s="8"/>
      <c r="AE569" s="8"/>
      <c r="AF569" s="8"/>
      <c r="AG569" s="8"/>
      <c r="AH569" s="8"/>
    </row>
    <row r="570" spans="1:39" ht="13" customHeight="1">
      <c r="A570" s="8" t="s">
        <v>1314</v>
      </c>
      <c r="B570" s="16">
        <v>62</v>
      </c>
      <c r="C570" s="8" t="s">
        <v>20</v>
      </c>
      <c r="D570" s="8" t="s">
        <v>37</v>
      </c>
      <c r="E570" s="8" t="str">
        <f>HYPERLINK("http://media.cmgdigital.com/shared/lt/lt_cache/thumbnail/600/img/photos/2015/07/13/35/c5/DavidLepine_1.jpg","http://media.cmgdigital.com/shared/lt/lt_cache/thumbnail/600/img/photos/2015/07/13/35/c5/DavidLepine_1.jpg")</f>
        <v>http://media.cmgdigital.com/shared/lt/lt_cache/thumbnail/600/img/photos/2015/07/13/35/c5/DavidLepine_1.jpg</v>
      </c>
      <c r="F570" s="17">
        <v>42197</v>
      </c>
      <c r="G570" s="8" t="s">
        <v>1315</v>
      </c>
      <c r="H570" s="8" t="s">
        <v>1316</v>
      </c>
      <c r="I570" s="8" t="s">
        <v>73</v>
      </c>
      <c r="J570" s="16">
        <v>78736</v>
      </c>
      <c r="K570" s="2" t="s">
        <v>1317</v>
      </c>
      <c r="L570" s="8" t="s">
        <v>1318</v>
      </c>
      <c r="M570" s="8" t="s">
        <v>27</v>
      </c>
      <c r="N570" s="2" t="s">
        <v>1319</v>
      </c>
      <c r="O570" s="8" t="s">
        <v>400</v>
      </c>
      <c r="P570" s="8" t="s">
        <v>401</v>
      </c>
      <c r="Q570" s="12" t="str">
        <f>HYPERLINK("http://www.statesman.com/news/news/crime-law/man-killed-by-austin-police-officer-sunday-had-a-v/nmyKL/","http://www.statesman.com/news/news/crime-law/man-killed-by-austin-police-officer-sunday-had-a-v/nmyKL/")</f>
        <v>http://www.statesman.com/news/news/crime-law/man-killed-by-austin-police-officer-sunday-had-a-v/nmyKL/</v>
      </c>
      <c r="R570" s="8" t="s">
        <v>100</v>
      </c>
      <c r="S570" s="8" t="s">
        <v>35</v>
      </c>
      <c r="T570" s="8"/>
      <c r="U570" s="8"/>
    </row>
    <row r="571" spans="1:39" ht="13" customHeight="1">
      <c r="A571" s="8" t="s">
        <v>1326</v>
      </c>
      <c r="B571" s="16">
        <v>53</v>
      </c>
      <c r="C571" s="8" t="s">
        <v>20</v>
      </c>
      <c r="D571" s="8" t="s">
        <v>85</v>
      </c>
      <c r="F571" s="17">
        <v>42196</v>
      </c>
      <c r="G571" s="8" t="s">
        <v>1327</v>
      </c>
      <c r="H571" s="8" t="s">
        <v>1306</v>
      </c>
      <c r="I571" s="8" t="s">
        <v>173</v>
      </c>
      <c r="J571" s="16">
        <v>30087</v>
      </c>
      <c r="K571" s="2" t="s">
        <v>1328</v>
      </c>
      <c r="L571" s="8" t="s">
        <v>1329</v>
      </c>
      <c r="M571" s="8" t="s">
        <v>391</v>
      </c>
      <c r="N571" s="2" t="s">
        <v>1330</v>
      </c>
      <c r="O571" s="8" t="s">
        <v>400</v>
      </c>
      <c r="P571" s="8" t="s">
        <v>401</v>
      </c>
      <c r="Q571" s="59" t="str">
        <f>HYPERLINK("http://www.11alive.com/story/news/local/lawrenceville/2015/07/14/family-questions-procedures-in-gwinnett-police-taser-death/30160171/","http://www.11alive.com/story/news/local/lawrenceville/2015/07/14/family-questions-procedures-in-gwinnett-police-taser-death/30160171/")</f>
        <v>http://www.11alive.com/story/news/local/lawrenceville/2015/07/14/family-questions-procedures-in-gwinnett-police-taser-death/30160171/</v>
      </c>
      <c r="R571" s="8" t="s">
        <v>967</v>
      </c>
      <c r="S571" s="8" t="s">
        <v>18</v>
      </c>
      <c r="T571" s="8"/>
      <c r="U571" s="8"/>
      <c r="AI571" s="8"/>
      <c r="AJ571" s="8"/>
      <c r="AK571" s="8"/>
      <c r="AL571" s="8"/>
      <c r="AM571" s="8"/>
    </row>
    <row r="572" spans="1:39" ht="13" customHeight="1">
      <c r="A572" s="8" t="s">
        <v>1331</v>
      </c>
      <c r="B572" s="16">
        <v>31</v>
      </c>
      <c r="C572" s="8" t="s">
        <v>20</v>
      </c>
      <c r="D572" s="8" t="s">
        <v>37</v>
      </c>
      <c r="E572" s="8" t="str">
        <f>HYPERLINK("http://bloximages.newyork1.vip.townnews.com/appeal-democrat.com/content/tncms/assets/v3/editorial/a/50/a5039184-2b6b-11e5-b28b-c7b5c40fdd3d/55a726cc3856f.image.jpg?resize=631%2C760","http://bloximages.newyork1.vip.townnews.com/appeal-democrat.com/content/tncms/assets/v3/editorial/a/50/a5039184-2b6b-11e5-b28b-c7b5c40fdd3d/55a726cc3856f.image.jpg?resize=631%2C760")</f>
        <v>http://bloximages.newyork1.vip.townnews.com/appeal-democrat.com/content/tncms/assets/v3/editorial/a/50/a5039184-2b6b-11e5-b28b-c7b5c40fdd3d/55a726cc3856f.image.jpg?resize=631%2C760</v>
      </c>
      <c r="F572" s="17">
        <v>42196</v>
      </c>
      <c r="G572" s="8" t="s">
        <v>1332</v>
      </c>
      <c r="H572" s="8" t="s">
        <v>1333</v>
      </c>
      <c r="I572" s="8" t="s">
        <v>45</v>
      </c>
      <c r="J572" s="16">
        <v>95961</v>
      </c>
      <c r="K572" s="2" t="s">
        <v>1334</v>
      </c>
      <c r="L572" s="8" t="s">
        <v>1335</v>
      </c>
      <c r="M572" s="8" t="s">
        <v>27</v>
      </c>
      <c r="N572" s="2" t="s">
        <v>1287</v>
      </c>
      <c r="O572" s="8" t="s">
        <v>400</v>
      </c>
      <c r="P572" s="8" t="s">
        <v>401</v>
      </c>
      <c r="Q572" s="12" t="s">
        <v>21250</v>
      </c>
      <c r="R572" s="8" t="s">
        <v>29</v>
      </c>
      <c r="S572" s="8" t="s">
        <v>28</v>
      </c>
      <c r="T572" s="8"/>
      <c r="U572" s="8"/>
      <c r="V572" s="8"/>
      <c r="W572" s="8"/>
      <c r="X572" s="8"/>
    </row>
    <row r="573" spans="1:39" ht="13" customHeight="1">
      <c r="A573" s="8" t="s">
        <v>1339</v>
      </c>
      <c r="B573" s="16">
        <v>20</v>
      </c>
      <c r="C573" s="8" t="s">
        <v>20</v>
      </c>
      <c r="D573" s="8" t="s">
        <v>85</v>
      </c>
      <c r="F573" s="17">
        <v>42195</v>
      </c>
      <c r="G573" s="8" t="s">
        <v>1340</v>
      </c>
      <c r="H573" s="8" t="s">
        <v>1243</v>
      </c>
      <c r="I573" s="8" t="s">
        <v>173</v>
      </c>
      <c r="J573" s="16">
        <v>30016</v>
      </c>
      <c r="K573" s="2" t="s">
        <v>1341</v>
      </c>
      <c r="L573" s="8" t="s">
        <v>1342</v>
      </c>
      <c r="M573" s="8" t="s">
        <v>27</v>
      </c>
      <c r="N573" s="2" t="s">
        <v>1343</v>
      </c>
      <c r="O573" s="8" t="s">
        <v>400</v>
      </c>
      <c r="P573" s="8" t="s">
        <v>401</v>
      </c>
      <c r="Q573" s="12" t="str">
        <f>HYPERLINK("http://www.ajc.com/news/news/crime-law/man-dies-after-being-shot-by-newton-deputies/nmxjG/","http://www.ajc.com/news/news/crime-law/man-dies-after-being-shot-by-newton-deputies/nmxjG/")</f>
        <v>http://www.ajc.com/news/news/crime-law/man-dies-after-being-shot-by-newton-deputies/nmxjG/</v>
      </c>
      <c r="R573" s="8" t="s">
        <v>100</v>
      </c>
      <c r="S573" s="8" t="s">
        <v>35</v>
      </c>
      <c r="T573" s="8"/>
      <c r="U573" s="8"/>
      <c r="AI573" s="8"/>
      <c r="AJ573" s="8"/>
      <c r="AK573" s="8"/>
      <c r="AL573" s="8"/>
      <c r="AM573" s="8"/>
    </row>
    <row r="574" spans="1:39" ht="13" customHeight="1">
      <c r="A574" s="8" t="s">
        <v>1336</v>
      </c>
      <c r="B574" s="16">
        <v>35</v>
      </c>
      <c r="C574" s="8" t="s">
        <v>20</v>
      </c>
      <c r="D574" s="8" t="s">
        <v>85</v>
      </c>
      <c r="F574" s="17">
        <v>42195</v>
      </c>
      <c r="G574" s="8" t="s">
        <v>1337</v>
      </c>
      <c r="H574" s="8" t="s">
        <v>708</v>
      </c>
      <c r="I574" s="8" t="s">
        <v>94</v>
      </c>
      <c r="J574" s="16">
        <v>35404</v>
      </c>
      <c r="K574" s="2" t="s">
        <v>708</v>
      </c>
      <c r="L574" s="8" t="s">
        <v>709</v>
      </c>
      <c r="M574" s="8" t="s">
        <v>5665</v>
      </c>
      <c r="N574" s="2" t="s">
        <v>1338</v>
      </c>
      <c r="O574" s="8" t="s">
        <v>400</v>
      </c>
      <c r="P574" s="8" t="s">
        <v>401</v>
      </c>
      <c r="Q574" s="12" t="str">
        <f>HYPERLINK("http://www.al.com/news/tuscaloosa/index.ssf/2015/07/tuscaloosa_police_release_more.html","http://www.al.com/news/tuscaloosa/index.ssf/2015/07/tuscaloosa_police_release_more.html")</f>
        <v>http://www.al.com/news/tuscaloosa/index.ssf/2015/07/tuscaloosa_police_release_more.html</v>
      </c>
      <c r="R574" s="8" t="s">
        <v>100</v>
      </c>
      <c r="S574" s="8" t="s">
        <v>28</v>
      </c>
      <c r="T574" s="8"/>
      <c r="U574" s="8"/>
      <c r="AI574" s="13"/>
      <c r="AJ574" s="13"/>
      <c r="AK574" s="13"/>
      <c r="AL574" s="13"/>
      <c r="AM574" s="13"/>
    </row>
    <row r="575" spans="1:39" ht="13" customHeight="1">
      <c r="A575" s="8" t="s">
        <v>1344</v>
      </c>
      <c r="B575" s="16">
        <v>54</v>
      </c>
      <c r="C575" s="8" t="s">
        <v>20</v>
      </c>
      <c r="D575" s="8" t="s">
        <v>37</v>
      </c>
      <c r="F575" s="17">
        <v>42195</v>
      </c>
      <c r="G575" s="8" t="s">
        <v>1345</v>
      </c>
      <c r="H575" s="8" t="s">
        <v>657</v>
      </c>
      <c r="I575" s="8" t="s">
        <v>269</v>
      </c>
      <c r="J575" s="16">
        <v>89146</v>
      </c>
      <c r="K575" s="2" t="s">
        <v>570</v>
      </c>
      <c r="L575" s="8" t="s">
        <v>571</v>
      </c>
      <c r="M575" s="8" t="s">
        <v>27</v>
      </c>
      <c r="N575" s="2" t="s">
        <v>1346</v>
      </c>
      <c r="O575" s="8" t="s">
        <v>400</v>
      </c>
      <c r="P575" s="8" t="s">
        <v>401</v>
      </c>
      <c r="Q575" s="12" t="str">
        <f>HYPERLINK("http://lasvegassun.com/news/2015/jul/15/police-body-cam-video-shows-traffic-stop-turn-dead/","http://lasvegassun.com/news/2015/jul/15/police-body-cam-video-shows-traffic-stop-turn-dead/")</f>
        <v>http://lasvegassun.com/news/2015/jul/15/police-body-cam-video-shows-traffic-stop-turn-dead/</v>
      </c>
      <c r="R575" s="8" t="s">
        <v>100</v>
      </c>
      <c r="S575" s="8" t="s">
        <v>28</v>
      </c>
      <c r="T575" s="8"/>
      <c r="U575" s="8"/>
    </row>
    <row r="576" spans="1:39" ht="13" customHeight="1">
      <c r="A576" s="8" t="s">
        <v>1350</v>
      </c>
      <c r="B576" s="16">
        <v>21</v>
      </c>
      <c r="C576" s="8" t="s">
        <v>20</v>
      </c>
      <c r="D576" s="8" t="s">
        <v>85</v>
      </c>
      <c r="F576" s="17">
        <v>42194</v>
      </c>
      <c r="G576" s="8" t="s">
        <v>1351</v>
      </c>
      <c r="H576" s="8" t="s">
        <v>430</v>
      </c>
      <c r="I576" s="8" t="s">
        <v>431</v>
      </c>
      <c r="J576" s="16">
        <v>64132</v>
      </c>
      <c r="K576" s="2" t="s">
        <v>433</v>
      </c>
      <c r="L576" s="8" t="s">
        <v>434</v>
      </c>
      <c r="M576" s="8" t="s">
        <v>27</v>
      </c>
      <c r="N576" s="2" t="s">
        <v>1417</v>
      </c>
      <c r="O576" s="8" t="s">
        <v>400</v>
      </c>
      <c r="P576" s="8" t="s">
        <v>401</v>
      </c>
      <c r="Q576" s="12" t="s">
        <v>19738</v>
      </c>
      <c r="R576" s="8" t="s">
        <v>29</v>
      </c>
      <c r="S576" s="8" t="s">
        <v>28</v>
      </c>
      <c r="T576" s="8"/>
      <c r="U576" s="8"/>
      <c r="V576" s="8"/>
      <c r="W576" s="8"/>
      <c r="X576" s="8"/>
      <c r="AI576" s="8"/>
      <c r="AJ576" s="8"/>
      <c r="AK576" s="8"/>
      <c r="AL576" s="8"/>
      <c r="AM576" s="8"/>
    </row>
    <row r="577" spans="1:39" ht="13" customHeight="1">
      <c r="A577" s="8" t="s">
        <v>1347</v>
      </c>
      <c r="B577" s="16">
        <v>27</v>
      </c>
      <c r="C577" s="8" t="s">
        <v>20</v>
      </c>
      <c r="D577" s="8" t="s">
        <v>85</v>
      </c>
      <c r="F577" s="17">
        <v>42194</v>
      </c>
      <c r="G577" s="8" t="s">
        <v>1348</v>
      </c>
      <c r="H577" s="8" t="s">
        <v>87</v>
      </c>
      <c r="I577" s="8" t="s">
        <v>44</v>
      </c>
      <c r="J577" s="16">
        <v>60619</v>
      </c>
      <c r="K577" s="2" t="s">
        <v>88</v>
      </c>
      <c r="L577" s="8" t="s">
        <v>89</v>
      </c>
      <c r="M577" s="8" t="s">
        <v>27</v>
      </c>
      <c r="N577" s="2" t="s">
        <v>1349</v>
      </c>
      <c r="O577" s="8" t="s">
        <v>400</v>
      </c>
      <c r="P577" s="8" t="s">
        <v>401</v>
      </c>
      <c r="Q577" s="12" t="str">
        <f>HYPERLINK("http://chicago.suntimes.com/crime/7/71/759984/chicago-police-involved-grand-crossing-shooting","http://chicago.suntimes.com/crime/7/71/759984/chicago-police-involved-grand-crossing-shooting")</f>
        <v>http://chicago.suntimes.com/crime/7/71/759984/chicago-police-involved-grand-crossing-shooting</v>
      </c>
      <c r="R577" s="8" t="s">
        <v>100</v>
      </c>
      <c r="S577" s="8" t="s">
        <v>28</v>
      </c>
      <c r="T577" s="8"/>
      <c r="U577" s="8"/>
      <c r="Y577" s="8"/>
      <c r="Z577" s="8"/>
      <c r="AA577" s="8"/>
      <c r="AB577" s="8"/>
      <c r="AC577" s="8"/>
      <c r="AD577" s="8"/>
      <c r="AE577" s="8"/>
      <c r="AF577" s="8"/>
      <c r="AG577" s="8"/>
      <c r="AH577" s="8"/>
      <c r="AI577" s="8"/>
      <c r="AJ577" s="8"/>
      <c r="AK577" s="8"/>
      <c r="AL577" s="8"/>
      <c r="AM577" s="8"/>
    </row>
    <row r="578" spans="1:39" ht="13" customHeight="1">
      <c r="A578" s="8" t="s">
        <v>1354</v>
      </c>
      <c r="B578" s="16">
        <v>38</v>
      </c>
      <c r="C578" s="8" t="s">
        <v>20</v>
      </c>
      <c r="D578" s="8" t="s">
        <v>37</v>
      </c>
      <c r="F578" s="17">
        <v>42194</v>
      </c>
      <c r="G578" s="8" t="s">
        <v>1355</v>
      </c>
      <c r="H578" s="8" t="s">
        <v>98</v>
      </c>
      <c r="I578" s="8" t="s">
        <v>45</v>
      </c>
      <c r="J578" s="16">
        <v>92083</v>
      </c>
      <c r="K578" s="2" t="s">
        <v>98</v>
      </c>
      <c r="L578" s="8" t="s">
        <v>99</v>
      </c>
      <c r="M578" s="8" t="s">
        <v>27</v>
      </c>
      <c r="N578" s="2" t="s">
        <v>1356</v>
      </c>
      <c r="O578" s="8" t="s">
        <v>400</v>
      </c>
      <c r="P578" s="8" t="s">
        <v>401</v>
      </c>
      <c r="Q578" s="12" t="str">
        <f>HYPERLINK("http://www.scpr.org/news/2015/07/10/53025/mid-wilshire-police-shooting-suspect-in-skateboard/","http://www.scpr.org/news/2015/07/10/53025/mid-wilshire-police-shooting-suspect-in-skateboard/")</f>
        <v>http://www.scpr.org/news/2015/07/10/53025/mid-wilshire-police-shooting-suspect-in-skateboard/</v>
      </c>
      <c r="R578" s="8" t="s">
        <v>100</v>
      </c>
      <c r="S578" s="8" t="s">
        <v>28</v>
      </c>
      <c r="T578" s="8"/>
      <c r="U578" s="8"/>
    </row>
    <row r="579" spans="1:39" ht="13" customHeight="1">
      <c r="A579" s="8" t="s">
        <v>1360</v>
      </c>
      <c r="B579" s="16">
        <v>17</v>
      </c>
      <c r="C579" s="8" t="s">
        <v>20</v>
      </c>
      <c r="D579" s="8" t="s">
        <v>37</v>
      </c>
      <c r="F579" s="17">
        <v>42194</v>
      </c>
      <c r="G579" s="8" t="s">
        <v>1361</v>
      </c>
      <c r="H579" s="8" t="s">
        <v>1362</v>
      </c>
      <c r="I579" s="8" t="s">
        <v>45</v>
      </c>
      <c r="J579" s="16">
        <v>95006</v>
      </c>
      <c r="K579" s="2" t="s">
        <v>1363</v>
      </c>
      <c r="L579" s="8" t="s">
        <v>1364</v>
      </c>
      <c r="M579" s="8" t="s">
        <v>27</v>
      </c>
      <c r="N579" s="2" t="s">
        <v>1365</v>
      </c>
      <c r="O579" s="8" t="s">
        <v>400</v>
      </c>
      <c r="P579" s="8" t="s">
        <v>401</v>
      </c>
      <c r="Q579" s="12" t="str">
        <f>HYPERLINK("http://www.santacruzsentinel.com/20150714/memorial-fund-started-for-boulder-creek-teen-killed-by-deputies","http://www.santacruzsentinel.com/20150714/memorial-fund-started-for-boulder-creek-teen-killed-by-deputies")</f>
        <v>http://www.santacruzsentinel.com/20150714/memorial-fund-started-for-boulder-creek-teen-killed-by-deputies</v>
      </c>
      <c r="R579" s="8" t="s">
        <v>555</v>
      </c>
      <c r="S579" s="8" t="s">
        <v>28</v>
      </c>
      <c r="T579" s="8"/>
      <c r="U579" s="8"/>
    </row>
    <row r="580" spans="1:39" ht="13" customHeight="1">
      <c r="A580" s="8" t="s">
        <v>1366</v>
      </c>
      <c r="B580" s="16">
        <v>50</v>
      </c>
      <c r="C580" s="8" t="s">
        <v>20</v>
      </c>
      <c r="D580" s="8" t="s">
        <v>37</v>
      </c>
      <c r="E580" s="8" t="str">
        <f>HYPERLINK("http://matchbin-assets.s3.amazonaws.com/public/sites/990/assets/26J5_1625924_profile_pic.jpg","http://matchbin-assets.s3.amazonaws.com/public/sites/990/assets/26J5_1625924_profile_pic.jpg")</f>
        <v>http://matchbin-assets.s3.amazonaws.com/public/sites/990/assets/26J5_1625924_profile_pic.jpg</v>
      </c>
      <c r="F580" s="17">
        <v>42194</v>
      </c>
      <c r="G580" s="8" t="s">
        <v>1367</v>
      </c>
      <c r="H580" s="8" t="s">
        <v>1368</v>
      </c>
      <c r="I580" s="8" t="s">
        <v>240</v>
      </c>
      <c r="J580" s="16">
        <v>84761</v>
      </c>
      <c r="K580" s="2" t="s">
        <v>1369</v>
      </c>
      <c r="L580" s="8" t="s">
        <v>1370</v>
      </c>
      <c r="M580" s="8" t="s">
        <v>27</v>
      </c>
      <c r="N580" s="2" t="s">
        <v>1371</v>
      </c>
      <c r="O580" s="8" t="s">
        <v>400</v>
      </c>
      <c r="P580" s="8" t="s">
        <v>401</v>
      </c>
      <c r="Q580" s="12" t="str">
        <f>HYPERLINK("http://www.cachevalleydaily.com/news/local/article_95847b98-36af-11e5-a21d-5381b6067a1e.html#.VbobCM2hNfs.twitter","http://www.cachevalleydaily.com/news/local/article_95847b98-36af-11e5-a21d-5381b6067a1e.html#.VbobCM2hNfs.twitter")</f>
        <v>http://www.cachevalleydaily.com/news/local/article_95847b98-36af-11e5-a21d-5381b6067a1e.html#.VbobCM2hNfs.twitter</v>
      </c>
      <c r="R580" s="8" t="s">
        <v>100</v>
      </c>
      <c r="S580" s="8" t="s">
        <v>28</v>
      </c>
      <c r="T580" s="8"/>
      <c r="U580" s="8"/>
    </row>
    <row r="581" spans="1:39" ht="13" customHeight="1">
      <c r="A581" s="8" t="s">
        <v>1357</v>
      </c>
      <c r="B581" s="16">
        <v>68</v>
      </c>
      <c r="C581" s="8" t="s">
        <v>20</v>
      </c>
      <c r="D581" s="8" t="s">
        <v>37</v>
      </c>
      <c r="F581" s="17">
        <v>42194</v>
      </c>
      <c r="G581" s="8" t="s">
        <v>1358</v>
      </c>
      <c r="H581" s="8" t="s">
        <v>634</v>
      </c>
      <c r="I581" s="8" t="s">
        <v>123</v>
      </c>
      <c r="J581" s="16">
        <v>85029</v>
      </c>
      <c r="K581" s="2" t="s">
        <v>635</v>
      </c>
      <c r="L581" s="8" t="s">
        <v>636</v>
      </c>
      <c r="M581" s="8" t="s">
        <v>27</v>
      </c>
      <c r="N581" s="2" t="s">
        <v>1359</v>
      </c>
      <c r="O581" s="8" t="s">
        <v>400</v>
      </c>
      <c r="P581" s="8" t="s">
        <v>401</v>
      </c>
      <c r="Q581" s="12" t="str">
        <f>HYPERLINK("http://www.azcentral.com/story/news/local/phoenix/2015/07/10/phoenix-police-shooting-suspect-cactus-abrk/29978125/","http://www.azcentral.com/story/news/local/phoenix/2015/07/10/phoenix-police-shooting-suspect-cactus-abrk/29978125/")</f>
        <v>http://www.azcentral.com/story/news/local/phoenix/2015/07/10/phoenix-police-shooting-suspect-cactus-abrk/29978125/</v>
      </c>
      <c r="R581" s="8" t="s">
        <v>29</v>
      </c>
      <c r="S581" s="8" t="s">
        <v>28</v>
      </c>
      <c r="T581" s="8"/>
      <c r="U581" s="8"/>
    </row>
    <row r="582" spans="1:39" ht="13" customHeight="1">
      <c r="A582" s="8" t="s">
        <v>1372</v>
      </c>
      <c r="B582" s="16">
        <v>39</v>
      </c>
      <c r="C582" s="8" t="s">
        <v>20</v>
      </c>
      <c r="D582" s="8" t="s">
        <v>85</v>
      </c>
      <c r="E582" s="8" t="str">
        <f>HYPERLINK("http://www.gannett-cdn.com/-mm-/444b6b00164f56950327b2368f293f2ce83db955/c=0-295-1304-1032&amp;r=x633&amp;c=1200x630/local/-/media/2015/07/10/JacksonMS/JacksonMS/635721442175293352-IMG-0825.JPG.jpg","http://www.gannett-cdn.com/-mm-/444b6b00164f56950327b2368f293f2ce83db955/c=0-295-1304-1032&amp;r=x633&amp;c=1200x630/local/-/media/2015/07/10/JacksonMS/JacksonMS/635721442175293352-IMG-0825.JPG.jpg")</f>
        <v>http://www.gannett-cdn.com/-mm-/444b6b00164f56950327b2368f293f2ce83db955/c=0-295-1304-1032&amp;r=x633&amp;c=1200x630/local/-/media/2015/07/10/JacksonMS/JacksonMS/635721442175293352-IMG-0825.JPG.jpg</v>
      </c>
      <c r="F582" s="17">
        <v>42193</v>
      </c>
      <c r="G582" s="8" t="s">
        <v>29</v>
      </c>
      <c r="H582" s="8" t="s">
        <v>1373</v>
      </c>
      <c r="I582" s="8" t="s">
        <v>671</v>
      </c>
      <c r="J582" s="16">
        <v>39355</v>
      </c>
      <c r="K582" s="2" t="s">
        <v>1374</v>
      </c>
      <c r="L582" s="8" t="s">
        <v>1375</v>
      </c>
      <c r="M582" s="8" t="s">
        <v>2297</v>
      </c>
      <c r="N582" s="2" t="s">
        <v>1352</v>
      </c>
      <c r="O582" s="8" t="s">
        <v>1353</v>
      </c>
      <c r="P582" s="8" t="s">
        <v>401</v>
      </c>
      <c r="Q582" s="12" t="str">
        <f>HYPERLINK("http://www.wtok.com/home/headlines/New-Details-in-Stonewall-Death-Investigation-313047501.html","http://www.wtok.com/home/headlines/New-Details-in-Stonewall-Death-Investigation-313047501.html")</f>
        <v>http://www.wtok.com/home/headlines/New-Details-in-Stonewall-Death-Investigation-313047501.html</v>
      </c>
      <c r="R582" s="8" t="s">
        <v>100</v>
      </c>
      <c r="S582" s="8" t="s">
        <v>18</v>
      </c>
      <c r="T582" s="8"/>
      <c r="U582" s="8"/>
      <c r="AI582" s="8"/>
      <c r="AJ582" s="8"/>
      <c r="AK582" s="8"/>
      <c r="AL582" s="8"/>
      <c r="AM582" s="8"/>
    </row>
    <row r="583" spans="1:39" ht="13" customHeight="1">
      <c r="A583" s="8" t="s">
        <v>1383</v>
      </c>
      <c r="B583" s="16">
        <v>59</v>
      </c>
      <c r="C583" s="8" t="s">
        <v>20</v>
      </c>
      <c r="D583" s="8" t="s">
        <v>37</v>
      </c>
      <c r="E583" s="8" t="str">
        <f>HYPERLINK("http://media.oregonlive.com/beaverton_news/photo/westrichjpg-51507199625e81e6.jpg","http://media.oregonlive.com/beaverton_news/photo/westrichjpg-51507199625e81e6.jpg")</f>
        <v>http://media.oregonlive.com/beaverton_news/photo/westrichjpg-51507199625e81e6.jpg</v>
      </c>
      <c r="F583" s="17">
        <v>42193</v>
      </c>
      <c r="G583" s="8" t="s">
        <v>1384</v>
      </c>
      <c r="H583" s="8" t="s">
        <v>325</v>
      </c>
      <c r="I583" s="8" t="s">
        <v>117</v>
      </c>
      <c r="J583" s="16">
        <v>97008</v>
      </c>
      <c r="K583" s="2" t="s">
        <v>118</v>
      </c>
      <c r="L583" s="8" t="s">
        <v>1385</v>
      </c>
      <c r="M583" s="8" t="s">
        <v>27</v>
      </c>
      <c r="N583" s="2" t="s">
        <v>1386</v>
      </c>
      <c r="O583" s="8" t="s">
        <v>400</v>
      </c>
      <c r="P583" s="8" t="s">
        <v>401</v>
      </c>
      <c r="Q583" s="12" t="str">
        <f>HYPERLINK("http://www.kgw.com/story/news/local/washington-county/2015/07/08/beaverton-officer-shot-trailer-hidden-estate/29857719/","http://www.kgw.com/story/news/local/washington-county/2015/07/08/beaverton-officer-shot-trailer-hidden-estate/29857719/")</f>
        <v>http://www.kgw.com/story/news/local/washington-county/2015/07/08/beaverton-officer-shot-trailer-hidden-estate/29857719/</v>
      </c>
      <c r="R583" s="8" t="s">
        <v>555</v>
      </c>
      <c r="S583" s="8" t="s">
        <v>28</v>
      </c>
      <c r="T583" s="8"/>
      <c r="U583" s="8"/>
    </row>
    <row r="584" spans="1:39" ht="13" customHeight="1">
      <c r="A584" s="8" t="s">
        <v>1377</v>
      </c>
      <c r="B584" s="16">
        <v>62</v>
      </c>
      <c r="C584" s="8" t="s">
        <v>20</v>
      </c>
      <c r="D584" s="8" t="s">
        <v>37</v>
      </c>
      <c r="F584" s="17">
        <v>42193</v>
      </c>
      <c r="G584" s="8" t="s">
        <v>1378</v>
      </c>
      <c r="H584" s="8" t="s">
        <v>1379</v>
      </c>
      <c r="I584" s="8" t="s">
        <v>366</v>
      </c>
      <c r="J584" s="16">
        <v>28617</v>
      </c>
      <c r="K584" s="2" t="s">
        <v>1380</v>
      </c>
      <c r="L584" s="8" t="s">
        <v>1381</v>
      </c>
      <c r="M584" s="8" t="s">
        <v>27</v>
      </c>
      <c r="N584" s="2" t="s">
        <v>1188</v>
      </c>
      <c r="O584" s="8" t="s">
        <v>400</v>
      </c>
      <c r="P584" s="8" t="s">
        <v>401</v>
      </c>
      <c r="Q584" s="12" t="s">
        <v>21249</v>
      </c>
      <c r="R584" s="8" t="s">
        <v>967</v>
      </c>
      <c r="S584" s="8" t="s">
        <v>379</v>
      </c>
      <c r="T584" s="8"/>
      <c r="U584" s="8"/>
    </row>
    <row r="585" spans="1:39" ht="13" customHeight="1">
      <c r="A585" s="8" t="s">
        <v>1387</v>
      </c>
      <c r="B585" s="16">
        <v>18</v>
      </c>
      <c r="C585" s="8" t="s">
        <v>20</v>
      </c>
      <c r="D585" s="8" t="s">
        <v>85</v>
      </c>
      <c r="F585" s="17">
        <v>42192</v>
      </c>
      <c r="G585" s="8" t="s">
        <v>1388</v>
      </c>
      <c r="H585" s="8" t="s">
        <v>1389</v>
      </c>
      <c r="I585" s="8" t="s">
        <v>73</v>
      </c>
      <c r="J585" s="16">
        <v>77489</v>
      </c>
      <c r="K585" s="2" t="s">
        <v>1390</v>
      </c>
      <c r="L585" s="8" t="s">
        <v>727</v>
      </c>
      <c r="M585" s="8" t="s">
        <v>27</v>
      </c>
      <c r="N585" s="2" t="s">
        <v>1391</v>
      </c>
      <c r="O585" s="8" t="s">
        <v>400</v>
      </c>
      <c r="P585" s="8" t="s">
        <v>401</v>
      </c>
      <c r="Q585" s="12" t="str">
        <f>HYPERLINK("http://www.chron.com/news/houston-texas/houston/article/New-details-emerge-in-HPD-shooting-and-chase-6373997.php","http://www.chron.com/news/houston-texas/houston/article/New-details-emerge-in-HPD-shooting-and-chase-6373997.php")</f>
        <v>http://www.chron.com/news/houston-texas/houston/article/New-details-emerge-in-HPD-shooting-and-chase-6373997.php</v>
      </c>
      <c r="R585" s="8" t="s">
        <v>100</v>
      </c>
      <c r="S585" s="8" t="s">
        <v>28</v>
      </c>
      <c r="T585" s="8"/>
      <c r="U585" s="8"/>
      <c r="AI585" s="8"/>
      <c r="AJ585" s="8"/>
      <c r="AK585" s="8"/>
      <c r="AL585" s="8"/>
      <c r="AM585" s="8"/>
    </row>
    <row r="586" spans="1:39" ht="13" customHeight="1">
      <c r="A586" s="8" t="s">
        <v>1401</v>
      </c>
      <c r="B586" s="16">
        <v>37</v>
      </c>
      <c r="C586" s="8" t="s">
        <v>20</v>
      </c>
      <c r="D586" s="8" t="s">
        <v>85</v>
      </c>
      <c r="F586" s="17">
        <v>42192</v>
      </c>
      <c r="G586" s="8" t="s">
        <v>1402</v>
      </c>
      <c r="H586" s="8" t="s">
        <v>1403</v>
      </c>
      <c r="I586" s="8" t="s">
        <v>81</v>
      </c>
      <c r="J586" s="16">
        <v>8401</v>
      </c>
      <c r="K586" s="2" t="s">
        <v>1404</v>
      </c>
      <c r="L586" s="8" t="s">
        <v>1405</v>
      </c>
      <c r="M586" s="8" t="s">
        <v>27</v>
      </c>
      <c r="N586" s="2" t="s">
        <v>1406</v>
      </c>
      <c r="O586" s="8" t="s">
        <v>400</v>
      </c>
      <c r="P586" s="8" t="s">
        <v>401</v>
      </c>
      <c r="Q586" s="59" t="str">
        <f>HYPERLINK("http://www.pressofatlanticcity.com/eedition/news/grand-jury-may-decide-fate-of-cop/article_d75e1ab1-8f1e-5086-b543-3243f95fc088.html","http://www.pressofatlanticcity.com/eedition/news/grand-jury-may-decide-fate-of-cop/article_d75e1ab1-8f1e-5086-b543-3243f95fc088.html")</f>
        <v>http://www.pressofatlanticcity.com/eedition/news/grand-jury-may-decide-fate-of-cop/article_d75e1ab1-8f1e-5086-b543-3243f95fc088.html</v>
      </c>
      <c r="R586" s="8" t="s">
        <v>555</v>
      </c>
      <c r="S586" s="8" t="s">
        <v>28</v>
      </c>
      <c r="T586" s="8"/>
      <c r="U586" s="8"/>
    </row>
    <row r="587" spans="1:39" ht="13" customHeight="1">
      <c r="A587" s="8" t="s">
        <v>1395</v>
      </c>
      <c r="B587" s="16">
        <v>39</v>
      </c>
      <c r="C587" s="8" t="s">
        <v>20</v>
      </c>
      <c r="D587" s="8" t="s">
        <v>48</v>
      </c>
      <c r="F587" s="17">
        <v>42192</v>
      </c>
      <c r="G587" s="8" t="s">
        <v>1396</v>
      </c>
      <c r="H587" s="8" t="s">
        <v>1397</v>
      </c>
      <c r="I587" s="8" t="s">
        <v>73</v>
      </c>
      <c r="J587" s="16">
        <v>78542</v>
      </c>
      <c r="K587" s="2" t="s">
        <v>1398</v>
      </c>
      <c r="L587" s="8" t="s">
        <v>1399</v>
      </c>
      <c r="M587" s="8" t="s">
        <v>27</v>
      </c>
      <c r="N587" s="2" t="s">
        <v>1400</v>
      </c>
      <c r="O587" s="8" t="s">
        <v>400</v>
      </c>
      <c r="P587" s="8" t="s">
        <v>401</v>
      </c>
      <c r="Q587" s="12"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587" s="8" t="s">
        <v>29</v>
      </c>
      <c r="S587" s="8" t="s">
        <v>28</v>
      </c>
      <c r="T587" s="8"/>
      <c r="U587" s="8"/>
    </row>
    <row r="588" spans="1:39" ht="13" customHeight="1">
      <c r="A588" s="8" t="s">
        <v>1392</v>
      </c>
      <c r="B588" s="16">
        <v>47</v>
      </c>
      <c r="C588" s="8" t="s">
        <v>20</v>
      </c>
      <c r="D588" s="8" t="s">
        <v>48</v>
      </c>
      <c r="F588" s="17">
        <v>42192</v>
      </c>
      <c r="G588" s="8" t="s">
        <v>1393</v>
      </c>
      <c r="H588" s="8" t="s">
        <v>681</v>
      </c>
      <c r="I588" s="8" t="s">
        <v>45</v>
      </c>
      <c r="J588" s="16">
        <v>93307</v>
      </c>
      <c r="K588" s="2" t="s">
        <v>682</v>
      </c>
      <c r="L588" s="8" t="s">
        <v>683</v>
      </c>
      <c r="M588" s="8" t="s">
        <v>27</v>
      </c>
      <c r="N588" s="2" t="s">
        <v>1394</v>
      </c>
      <c r="O588" s="8" t="s">
        <v>400</v>
      </c>
      <c r="P588" s="8" t="s">
        <v>401</v>
      </c>
      <c r="Q588" s="12" t="str">
        <f>HYPERLINK("http://www.bakersfield.com/news/2015/07/09/bakersfield-police-man-fatally-shot-tuesday-pointed-gun-at-officers.html","http://www.bakersfield.com/news/2015/07/09/bakersfield-police-man-fatally-shot-tuesday-pointed-gun-at-officers.html")</f>
        <v>http://www.bakersfield.com/news/2015/07/09/bakersfield-police-man-fatally-shot-tuesday-pointed-gun-at-officers.html</v>
      </c>
      <c r="R588" s="8" t="s">
        <v>100</v>
      </c>
      <c r="S588" s="8" t="s">
        <v>28</v>
      </c>
      <c r="T588" s="8"/>
      <c r="U588" s="8"/>
    </row>
    <row r="589" spans="1:39" ht="13" customHeight="1">
      <c r="A589" s="8" t="s">
        <v>1407</v>
      </c>
      <c r="B589" s="16">
        <v>28</v>
      </c>
      <c r="C589" s="8" t="s">
        <v>20</v>
      </c>
      <c r="D589" s="8" t="s">
        <v>37</v>
      </c>
      <c r="F589" s="17">
        <v>42192</v>
      </c>
      <c r="G589" s="8" t="s">
        <v>1408</v>
      </c>
      <c r="H589" s="8" t="s">
        <v>1409</v>
      </c>
      <c r="I589" s="8" t="s">
        <v>315</v>
      </c>
      <c r="J589" s="16">
        <v>42701</v>
      </c>
      <c r="K589" s="2" t="s">
        <v>1410</v>
      </c>
      <c r="L589" s="8" t="s">
        <v>1411</v>
      </c>
      <c r="M589" s="8" t="s">
        <v>27</v>
      </c>
      <c r="N589" s="2" t="s">
        <v>1412</v>
      </c>
      <c r="O589" s="8" t="s">
        <v>400</v>
      </c>
      <c r="P589" s="8" t="s">
        <v>401</v>
      </c>
      <c r="Q589" s="12" t="str">
        <f>HYPERLINK("http://www.wlky.com/news/man-dies-after-being-shot-by-elizabethtown-police/34052212","http://www.wlky.com/news/man-dies-after-being-shot-by-elizabethtown-police/34052212")</f>
        <v>http://www.wlky.com/news/man-dies-after-being-shot-by-elizabethtown-police/34052212</v>
      </c>
      <c r="R589" s="8" t="s">
        <v>100</v>
      </c>
      <c r="S589" s="8" t="s">
        <v>28</v>
      </c>
      <c r="T589" s="8"/>
      <c r="U589" s="8"/>
      <c r="Y589" s="8"/>
      <c r="Z589" s="8"/>
      <c r="AA589" s="8"/>
      <c r="AB589" s="8"/>
      <c r="AC589" s="8"/>
      <c r="AD589" s="8"/>
      <c r="AE589" s="8"/>
      <c r="AF589" s="8"/>
      <c r="AG589" s="8"/>
      <c r="AH589" s="8"/>
    </row>
    <row r="590" spans="1:39" ht="13" customHeight="1">
      <c r="A590" s="8" t="s">
        <v>1413</v>
      </c>
      <c r="B590" s="16">
        <v>35</v>
      </c>
      <c r="C590" s="8" t="s">
        <v>20</v>
      </c>
      <c r="D590" s="8" t="s">
        <v>37</v>
      </c>
      <c r="E590" s="8" t="str">
        <f>HYPERLINK("http://www.kansascity.com/news/local/crime/iwklhy/picture26752486/ALTERNATES/FREE_640/Booth","http://www.kansascity.com/news/local/crime/iwklhy/picture26752486/ALTERNATES/FREE_640/Booth")</f>
        <v>http://www.kansascity.com/news/local/crime/iwklhy/picture26752486/ALTERNATES/FREE_640/Booth</v>
      </c>
      <c r="F590" s="17">
        <v>42192</v>
      </c>
      <c r="G590" s="8" t="s">
        <v>1414</v>
      </c>
      <c r="H590" s="8" t="s">
        <v>1415</v>
      </c>
      <c r="I590" s="8" t="s">
        <v>431</v>
      </c>
      <c r="J590" s="16">
        <v>64050</v>
      </c>
      <c r="K590" s="2" t="s">
        <v>433</v>
      </c>
      <c r="L590" s="8" t="s">
        <v>1416</v>
      </c>
      <c r="M590" s="8" t="s">
        <v>27</v>
      </c>
      <c r="N590" s="2" t="s">
        <v>1077</v>
      </c>
      <c r="O590" s="8" t="s">
        <v>400</v>
      </c>
      <c r="P590" s="8" t="s">
        <v>401</v>
      </c>
      <c r="Q590" s="12" t="str">
        <f>HYPERLINK("http://www.kctv5.com/story/29494552/armed-carjacking-suspect-dead-in-police-shooting","http://www.kctv5.com/story/29494552/armed-carjacking-suspect-dead-in-police-shooting")</f>
        <v>http://www.kctv5.com/story/29494552/armed-carjacking-suspect-dead-in-police-shooting</v>
      </c>
      <c r="R590" s="8" t="s">
        <v>29</v>
      </c>
      <c r="S590" s="8" t="s">
        <v>28</v>
      </c>
      <c r="T590" s="8"/>
      <c r="U590" s="8"/>
      <c r="V590" s="8"/>
      <c r="W590" s="8"/>
      <c r="X590" s="8"/>
    </row>
    <row r="591" spans="1:39" ht="13" customHeight="1">
      <c r="A591" s="8" t="s">
        <v>1418</v>
      </c>
      <c r="B591" s="16">
        <v>59</v>
      </c>
      <c r="C591" s="8" t="s">
        <v>20</v>
      </c>
      <c r="D591" s="8" t="s">
        <v>37</v>
      </c>
      <c r="E591" s="8" t="str">
        <f>HYPERLINK("http://www.homefacts.com/images/offenders/texas/thumb/01958213.jpg","http://www.homefacts.com/images/offenders/texas/thumb/01958213.jpg")</f>
        <v>http://www.homefacts.com/images/offenders/texas/thumb/01958213.jpg</v>
      </c>
      <c r="F591" s="17">
        <v>42192</v>
      </c>
      <c r="G591" s="8" t="s">
        <v>1419</v>
      </c>
      <c r="H591" s="8" t="s">
        <v>285</v>
      </c>
      <c r="I591" s="8" t="s">
        <v>73</v>
      </c>
      <c r="J591" s="16">
        <v>75208</v>
      </c>
      <c r="K591" s="2" t="s">
        <v>285</v>
      </c>
      <c r="L591" s="8" t="s">
        <v>286</v>
      </c>
      <c r="M591" s="8" t="s">
        <v>27</v>
      </c>
      <c r="N591" s="2" t="s">
        <v>1420</v>
      </c>
      <c r="O591" s="8" t="s">
        <v>400</v>
      </c>
      <c r="P591" s="8" t="s">
        <v>401</v>
      </c>
      <c r="Q591" s="12" t="str">
        <f>HYPERLINK("http://crimeblog.dallasnews.com/2015/07/authorities-man-shot-by-dallas-police-was-racist-killer-rapist-family-he-was-kind-loving.html/","http://crimeblog.dallasnews.com/2015/07/authorities-man-shot-by-dallas-police-was-racist-killer-rapist-family-he-was-kind-loving.html/")</f>
        <v>http://crimeblog.dallasnews.com/2015/07/authorities-man-shot-by-dallas-police-was-racist-killer-rapist-family-he-was-kind-loving.html/</v>
      </c>
      <c r="R591" s="8" t="s">
        <v>100</v>
      </c>
      <c r="S591" s="8" t="s">
        <v>28</v>
      </c>
      <c r="T591" s="8"/>
      <c r="U591" s="8"/>
      <c r="Y591" s="8"/>
      <c r="Z591" s="8"/>
      <c r="AA591" s="8"/>
      <c r="AB591" s="8"/>
      <c r="AC591" s="8"/>
      <c r="AD591" s="8"/>
      <c r="AE591" s="8"/>
      <c r="AF591" s="8"/>
      <c r="AG591" s="8"/>
      <c r="AH591" s="8"/>
    </row>
    <row r="592" spans="1:39" ht="13" customHeight="1">
      <c r="A592" s="8" t="s">
        <v>1421</v>
      </c>
      <c r="B592" s="16">
        <v>29</v>
      </c>
      <c r="C592" s="8" t="s">
        <v>20</v>
      </c>
      <c r="D592" s="8" t="s">
        <v>85</v>
      </c>
      <c r="F592" s="17">
        <v>42191</v>
      </c>
      <c r="G592" s="8" t="s">
        <v>1422</v>
      </c>
      <c r="H592" s="8" t="s">
        <v>98</v>
      </c>
      <c r="I592" s="8" t="s">
        <v>45</v>
      </c>
      <c r="J592" s="16">
        <v>91342</v>
      </c>
      <c r="K592" s="2" t="s">
        <v>98</v>
      </c>
      <c r="L592" s="8" t="s">
        <v>99</v>
      </c>
      <c r="M592" s="8" t="s">
        <v>27</v>
      </c>
      <c r="N592" s="2" t="s">
        <v>1423</v>
      </c>
      <c r="O592" s="8" t="s">
        <v>400</v>
      </c>
      <c r="P592" s="8" t="s">
        <v>401</v>
      </c>
      <c r="Q592" s="12" t="str">
        <f>HYPERLINK("http://homicide.latimes.com/post/jason-m-hendley/","http://homicide.latimes.com/post/jason-m-hendley/")</f>
        <v>http://homicide.latimes.com/post/jason-m-hendley/</v>
      </c>
      <c r="R592" s="8" t="s">
        <v>100</v>
      </c>
      <c r="S592" s="8" t="s">
        <v>28</v>
      </c>
      <c r="T592" s="8"/>
      <c r="U592" s="8"/>
      <c r="AI592" s="8"/>
      <c r="AJ592" s="8"/>
      <c r="AK592" s="8"/>
      <c r="AL592" s="8"/>
      <c r="AM592" s="8"/>
    </row>
    <row r="593" spans="1:39" ht="13" customHeight="1">
      <c r="A593" s="8" t="s">
        <v>1424</v>
      </c>
      <c r="B593" s="16">
        <v>27</v>
      </c>
      <c r="C593" s="8" t="s">
        <v>20</v>
      </c>
      <c r="D593" s="8" t="s">
        <v>48</v>
      </c>
      <c r="F593" s="17">
        <v>42191</v>
      </c>
      <c r="G593" s="8" t="s">
        <v>1425</v>
      </c>
      <c r="H593" s="8" t="s">
        <v>1426</v>
      </c>
      <c r="I593" s="8" t="s">
        <v>45</v>
      </c>
      <c r="J593" s="16">
        <v>95301</v>
      </c>
      <c r="K593" s="2" t="s">
        <v>1427</v>
      </c>
      <c r="L593" s="8" t="s">
        <v>1428</v>
      </c>
      <c r="M593" s="8" t="s">
        <v>27</v>
      </c>
      <c r="N593" s="2" t="s">
        <v>1429</v>
      </c>
      <c r="O593" s="8" t="s">
        <v>400</v>
      </c>
      <c r="P593" s="8" t="s">
        <v>401</v>
      </c>
      <c r="Q593" s="12" t="str">
        <f>HYPERLINK("http://www.mercedsunstar.com/news/local/crime/article26705443.html","http://www.mercedsunstar.com/news/local/crime/article26705443.html")</f>
        <v>http://www.mercedsunstar.com/news/local/crime/article26705443.html</v>
      </c>
      <c r="R593" s="8" t="s">
        <v>100</v>
      </c>
      <c r="S593" s="8" t="s">
        <v>28</v>
      </c>
      <c r="T593" s="8"/>
      <c r="U593" s="8"/>
    </row>
    <row r="594" spans="1:39" ht="13" customHeight="1">
      <c r="A594" s="8" t="s">
        <v>1445</v>
      </c>
      <c r="B594" s="16">
        <v>20</v>
      </c>
      <c r="C594" s="8" t="s">
        <v>20</v>
      </c>
      <c r="D594" s="8" t="s">
        <v>37</v>
      </c>
      <c r="E594" s="8" t="str">
        <f>HYPERLINK("https://localtvkfor.files.wordpress.com/2015/07/rogers-tyler.jpg","https://localtvkfor.files.wordpress.com/2015/07/rogers-tyler.jpg")</f>
        <v>https://localtvkfor.files.wordpress.com/2015/07/rogers-tyler.jpg</v>
      </c>
      <c r="F594" s="17">
        <v>42191</v>
      </c>
      <c r="G594" s="8" t="s">
        <v>1446</v>
      </c>
      <c r="H594" s="8" t="s">
        <v>1097</v>
      </c>
      <c r="I594" s="8" t="s">
        <v>395</v>
      </c>
      <c r="J594" s="16">
        <v>73119</v>
      </c>
      <c r="K594" s="2" t="s">
        <v>1098</v>
      </c>
      <c r="L594" s="8" t="s">
        <v>1099</v>
      </c>
      <c r="M594" s="8" t="s">
        <v>27</v>
      </c>
      <c r="N594" s="2" t="s">
        <v>1447</v>
      </c>
      <c r="O594" s="8" t="s">
        <v>400</v>
      </c>
      <c r="P594" s="8" t="s">
        <v>401</v>
      </c>
      <c r="Q594" s="12" t="s">
        <v>21247</v>
      </c>
      <c r="R594" s="8" t="s">
        <v>100</v>
      </c>
      <c r="S594" s="8" t="s">
        <v>28</v>
      </c>
      <c r="T594" s="8"/>
      <c r="U594" s="8"/>
    </row>
    <row r="595" spans="1:39" ht="13" customHeight="1">
      <c r="A595" s="8" t="s">
        <v>1430</v>
      </c>
      <c r="B595" s="16">
        <v>33</v>
      </c>
      <c r="C595" s="8" t="s">
        <v>20</v>
      </c>
      <c r="D595" s="8" t="s">
        <v>37</v>
      </c>
      <c r="F595" s="17">
        <v>42191</v>
      </c>
      <c r="G595" s="8" t="s">
        <v>1431</v>
      </c>
      <c r="H595" s="8" t="s">
        <v>1432</v>
      </c>
      <c r="I595" s="8" t="s">
        <v>123</v>
      </c>
      <c r="J595" s="16">
        <v>85204</v>
      </c>
      <c r="K595" s="2" t="s">
        <v>635</v>
      </c>
      <c r="L595" s="8" t="s">
        <v>1433</v>
      </c>
      <c r="M595" s="8" t="s">
        <v>27</v>
      </c>
      <c r="N595" s="2" t="s">
        <v>1434</v>
      </c>
      <c r="O595" s="8" t="s">
        <v>400</v>
      </c>
      <c r="P595" s="8" t="s">
        <v>401</v>
      </c>
      <c r="Q595" s="12" t="str">
        <f>HYPERLINK("http://www.fox10phoenix.com/story/29484924/2015/07/06/suspect-hospitalized-after-officer-involved-shooting-in-mesa","http://www.fox10phoenix.com/story/29484924/2015/07/06/suspect-hospitalized-after-officer-involved-shooting-in-mesa")</f>
        <v>http://www.fox10phoenix.com/story/29484924/2015/07/06/suspect-hospitalized-after-officer-involved-shooting-in-mesa</v>
      </c>
      <c r="R595" s="8" t="s">
        <v>29</v>
      </c>
      <c r="S595" s="8" t="s">
        <v>28</v>
      </c>
      <c r="T595" s="8"/>
      <c r="U595" s="8"/>
    </row>
    <row r="596" spans="1:39" ht="13" customHeight="1">
      <c r="A596" s="8" t="s">
        <v>1439</v>
      </c>
      <c r="B596" s="16">
        <v>42</v>
      </c>
      <c r="C596" s="8" t="s">
        <v>20</v>
      </c>
      <c r="D596" s="8" t="s">
        <v>37</v>
      </c>
      <c r="F596" s="17">
        <v>42191</v>
      </c>
      <c r="G596" s="8" t="s">
        <v>1440</v>
      </c>
      <c r="H596" s="8" t="s">
        <v>1441</v>
      </c>
      <c r="I596" s="8" t="s">
        <v>506</v>
      </c>
      <c r="J596" s="16">
        <v>3785</v>
      </c>
      <c r="K596" s="2" t="s">
        <v>1442</v>
      </c>
      <c r="L596" s="8" t="s">
        <v>1443</v>
      </c>
      <c r="M596" s="8" t="s">
        <v>27</v>
      </c>
      <c r="N596" s="2" t="s">
        <v>1051</v>
      </c>
      <c r="O596" s="8" t="s">
        <v>400</v>
      </c>
      <c r="P596" s="8" t="s">
        <v>401</v>
      </c>
      <c r="Q596" s="12" t="str">
        <f>HYPERLINK("http://www.vnews.com/news/newsletter/17857473-95/haverhill-officers-unnamed-nh-ag-wont-give-any-shooting-details","http://www.vnews.com/news/newsletter/17857473-95/haverhill-officers-unnamed-nh-ag-wont-give-any-shooting-details")</f>
        <v>http://www.vnews.com/news/newsletter/17857473-95/haverhill-officers-unnamed-nh-ag-wont-give-any-shooting-details</v>
      </c>
      <c r="R596" s="8" t="s">
        <v>100</v>
      </c>
      <c r="S596" s="8" t="s">
        <v>28</v>
      </c>
      <c r="T596" s="8"/>
      <c r="U596" s="8"/>
    </row>
    <row r="597" spans="1:39" ht="13" customHeight="1">
      <c r="A597" s="8" t="s">
        <v>1435</v>
      </c>
      <c r="B597" s="16">
        <v>31</v>
      </c>
      <c r="C597" s="8" t="s">
        <v>20</v>
      </c>
      <c r="D597" s="8" t="s">
        <v>37</v>
      </c>
      <c r="F597" s="17">
        <v>42191</v>
      </c>
      <c r="G597" s="8" t="s">
        <v>1436</v>
      </c>
      <c r="H597" s="8" t="s">
        <v>1437</v>
      </c>
      <c r="I597" s="8" t="s">
        <v>45</v>
      </c>
      <c r="J597" s="16">
        <v>90713</v>
      </c>
      <c r="K597" s="2" t="s">
        <v>98</v>
      </c>
      <c r="L597" s="8" t="s">
        <v>414</v>
      </c>
      <c r="M597" s="8" t="s">
        <v>27</v>
      </c>
      <c r="N597" s="2" t="s">
        <v>1438</v>
      </c>
      <c r="O597" s="8" t="s">
        <v>400</v>
      </c>
      <c r="P597" s="8" t="s">
        <v>401</v>
      </c>
      <c r="Q597" s="12" t="str">
        <f>HYPERLINK("http://homicide.latimes.com/post/john-leonard-berry/","http://homicide.latimes.com/post/john-leonard-berry/")</f>
        <v>http://homicide.latimes.com/post/john-leonard-berry/</v>
      </c>
      <c r="R597" s="8" t="s">
        <v>29</v>
      </c>
      <c r="S597" s="8" t="s">
        <v>379</v>
      </c>
      <c r="T597" s="8"/>
      <c r="U597" s="8"/>
    </row>
    <row r="598" spans="1:39" ht="13" customHeight="1">
      <c r="A598" s="8" t="s">
        <v>1448</v>
      </c>
      <c r="B598" s="16">
        <v>30</v>
      </c>
      <c r="C598" s="8" t="s">
        <v>20</v>
      </c>
      <c r="D598" s="8" t="s">
        <v>37</v>
      </c>
      <c r="E598" s="8" t="str">
        <f>HYPERLINK("https://localtvkstu.files.wordpress.com/2015/07/gormley.jpg","https://localtvkstu.files.wordpress.com/2015/07/gormley.jpg")</f>
        <v>https://localtvkstu.files.wordpress.com/2015/07/gormley.jpg</v>
      </c>
      <c r="F598" s="17">
        <v>42191</v>
      </c>
      <c r="G598" s="8" t="s">
        <v>1449</v>
      </c>
      <c r="H598" s="8" t="s">
        <v>1450</v>
      </c>
      <c r="I598" s="8" t="s">
        <v>240</v>
      </c>
      <c r="J598" s="16">
        <v>84401</v>
      </c>
      <c r="K598" s="2" t="s">
        <v>1451</v>
      </c>
      <c r="L598" s="8" t="s">
        <v>1452</v>
      </c>
      <c r="M598" s="8" t="s">
        <v>391</v>
      </c>
      <c r="N598" s="2" t="s">
        <v>1453</v>
      </c>
      <c r="O598" s="8" t="s">
        <v>400</v>
      </c>
      <c r="P598" s="8" t="s">
        <v>401</v>
      </c>
      <c r="Q598" s="12" t="s">
        <v>21248</v>
      </c>
      <c r="R598" s="8" t="s">
        <v>967</v>
      </c>
      <c r="S598" s="8" t="s">
        <v>18</v>
      </c>
      <c r="T598" s="8"/>
      <c r="U598" s="8"/>
    </row>
    <row r="599" spans="1:39" ht="13" customHeight="1">
      <c r="A599" s="8" t="s">
        <v>1454</v>
      </c>
      <c r="B599" s="16">
        <v>43</v>
      </c>
      <c r="C599" s="8" t="s">
        <v>20</v>
      </c>
      <c r="D599" s="8" t="s">
        <v>48</v>
      </c>
      <c r="F599" s="17">
        <v>42190</v>
      </c>
      <c r="G599" s="8" t="s">
        <v>1455</v>
      </c>
      <c r="H599" s="8" t="s">
        <v>1456</v>
      </c>
      <c r="I599" s="8" t="s">
        <v>45</v>
      </c>
      <c r="J599" s="16">
        <v>90716</v>
      </c>
      <c r="K599" s="2" t="s">
        <v>98</v>
      </c>
      <c r="L599" s="8" t="s">
        <v>414</v>
      </c>
      <c r="M599" s="8" t="s">
        <v>27</v>
      </c>
      <c r="N599" s="2" t="s">
        <v>1457</v>
      </c>
      <c r="O599" s="8" t="s">
        <v>400</v>
      </c>
      <c r="P599" s="8" t="s">
        <v>401</v>
      </c>
      <c r="Q599" s="12" t="str">
        <f>HYPERLINK("http://www.loscerritosnews.net/2015/07/12/hundreds-protest-johnny-ray-andersons-shooting-death-in-hawaiian-gardens/","http://www.loscerritosnews.net/2015/07/12/hundreds-protest-johnny-ray-andersons-shooting-death-in-hawaiian-gardens/")</f>
        <v>http://www.loscerritosnews.net/2015/07/12/hundreds-protest-johnny-ray-andersons-shooting-death-in-hawaiian-gardens/</v>
      </c>
      <c r="R599" s="8" t="s">
        <v>100</v>
      </c>
      <c r="S599" s="8" t="s">
        <v>18</v>
      </c>
      <c r="T599" s="8"/>
      <c r="U599" s="8"/>
    </row>
    <row r="600" spans="1:39" ht="13" customHeight="1">
      <c r="A600" s="8" t="s">
        <v>1467</v>
      </c>
      <c r="B600" s="16">
        <v>35</v>
      </c>
      <c r="C600" s="8" t="s">
        <v>20</v>
      </c>
      <c r="D600" s="8" t="s">
        <v>37</v>
      </c>
      <c r="E600" s="8" t="str">
        <f>HYPERLINK("https://media.licdn.com/media/p/3/000/0d2/16d/29b38bd.jpg","https://media.licdn.com/media/p/3/000/0d2/16d/29b38bd.jpg")</f>
        <v>https://media.licdn.com/media/p/3/000/0d2/16d/29b38bd.jpg</v>
      </c>
      <c r="F600" s="17">
        <v>42190</v>
      </c>
      <c r="G600" s="8" t="s">
        <v>1468</v>
      </c>
      <c r="H600" s="8" t="s">
        <v>1316</v>
      </c>
      <c r="I600" s="8" t="s">
        <v>73</v>
      </c>
      <c r="J600" s="16">
        <v>78701</v>
      </c>
      <c r="K600" s="2" t="s">
        <v>1317</v>
      </c>
      <c r="L600" s="8" t="s">
        <v>1318</v>
      </c>
      <c r="M600" s="8" t="s">
        <v>27</v>
      </c>
      <c r="N600" s="2" t="s">
        <v>1469</v>
      </c>
      <c r="O600" s="8" t="s">
        <v>400</v>
      </c>
      <c r="P600" s="8" t="s">
        <v>401</v>
      </c>
      <c r="Q600" s="12" t="str">
        <f>HYPERLINK("http://www.dallasnews.com/news/crime/headlines/20150706-austin-police-id-gunman-victim-at-sundays-hotel-shooting.ece","http://www.dallasnews.com/news/crime/headlines/20150706-austin-police-id-gunman-victim-at-sundays-hotel-shooting.ece")</f>
        <v>http://www.dallasnews.com/news/crime/headlines/20150706-austin-police-id-gunman-victim-at-sundays-hotel-shooting.ece</v>
      </c>
      <c r="R600" s="8" t="s">
        <v>100</v>
      </c>
      <c r="S600" s="8" t="s">
        <v>28</v>
      </c>
      <c r="T600" s="8"/>
      <c r="U600" s="8"/>
    </row>
    <row r="601" spans="1:39" ht="13" customHeight="1">
      <c r="A601" s="8" t="s">
        <v>1458</v>
      </c>
      <c r="B601" s="16">
        <v>19</v>
      </c>
      <c r="C601" s="8" t="s">
        <v>20</v>
      </c>
      <c r="D601" s="8" t="s">
        <v>37</v>
      </c>
      <c r="E601" s="8" t="str">
        <f>HYPERLINK("http://cdn.patch.com/users/1372433/2015/07/T800x600/201507559ff12e799d0.png","http://cdn.patch.com/users/1372433/2015/07/T800x600/201507559ff12e799d0.png")</f>
        <v>http://cdn.patch.com/users/1372433/2015/07/T800x600/201507559ff12e799d0.png</v>
      </c>
      <c r="F601" s="17">
        <v>42190</v>
      </c>
      <c r="G601" s="8" t="s">
        <v>1459</v>
      </c>
      <c r="H601" s="8" t="s">
        <v>1460</v>
      </c>
      <c r="I601" s="8" t="s">
        <v>45</v>
      </c>
      <c r="J601" s="16">
        <v>94566</v>
      </c>
      <c r="K601" s="2" t="s">
        <v>604</v>
      </c>
      <c r="L601" s="8" t="s">
        <v>1461</v>
      </c>
      <c r="M601" s="8" t="s">
        <v>27</v>
      </c>
      <c r="N601" s="2" t="s">
        <v>1462</v>
      </c>
      <c r="O601" s="8" t="s">
        <v>400</v>
      </c>
      <c r="P601" s="8" t="s">
        <v>401</v>
      </c>
      <c r="Q601" s="12" t="str">
        <f>HYPERLINK("http://www.mercurynews.com/crime-courts/ci_28445274/pleasanton-investigation-continues-into-fatal-police-shooting-19","http://www.mercurynews.com/crime-courts/ci_28445274/pleasanton-investigation-continues-into-fatal-police-shooting-19")</f>
        <v>http://www.mercurynews.com/crime-courts/ci_28445274/pleasanton-investigation-continues-into-fatal-police-shooting-19</v>
      </c>
      <c r="R601" s="8" t="s">
        <v>100</v>
      </c>
      <c r="S601" s="8" t="s">
        <v>18</v>
      </c>
      <c r="T601" s="8"/>
      <c r="U601" s="8"/>
    </row>
    <row r="602" spans="1:39" ht="13" customHeight="1">
      <c r="A602" s="8" t="s">
        <v>1470</v>
      </c>
      <c r="B602" s="16">
        <v>25</v>
      </c>
      <c r="C602" s="8" t="s">
        <v>20</v>
      </c>
      <c r="D602" s="8" t="s">
        <v>37</v>
      </c>
      <c r="F602" s="17">
        <v>42190</v>
      </c>
      <c r="G602" s="8" t="s">
        <v>1471</v>
      </c>
      <c r="H602" s="8" t="s">
        <v>1316</v>
      </c>
      <c r="I602" s="8" t="s">
        <v>73</v>
      </c>
      <c r="J602" s="16">
        <v>78758</v>
      </c>
      <c r="K602" s="2" t="s">
        <v>1317</v>
      </c>
      <c r="L602" s="8" t="s">
        <v>1318</v>
      </c>
      <c r="M602" s="8" t="s">
        <v>27</v>
      </c>
      <c r="N602" s="2" t="s">
        <v>1472</v>
      </c>
      <c r="O602" s="8" t="s">
        <v>400</v>
      </c>
      <c r="P602" s="8" t="s">
        <v>401</v>
      </c>
      <c r="Q602" s="12" t="str">
        <f>HYPERLINK("http://kxan.com/2015/07/06/police-say-man-killed-in-north-austin-aimed-a-bb-pistol-at-officers/","http://kxan.com/2015/07/06/police-say-man-killed-in-north-austin-aimed-a-bb-pistol-at-officers/")</f>
        <v>http://kxan.com/2015/07/06/police-say-man-killed-in-north-austin-aimed-a-bb-pistol-at-officers/</v>
      </c>
      <c r="R602" s="8" t="s">
        <v>29</v>
      </c>
      <c r="S602" s="8" t="s">
        <v>18</v>
      </c>
      <c r="T602" s="8"/>
      <c r="U602" s="8"/>
    </row>
    <row r="603" spans="1:39" ht="13" customHeight="1">
      <c r="A603" s="8" t="s">
        <v>1463</v>
      </c>
      <c r="B603" s="16">
        <v>25</v>
      </c>
      <c r="C603" s="8" t="s">
        <v>20</v>
      </c>
      <c r="D603" s="8" t="s">
        <v>37</v>
      </c>
      <c r="F603" s="17">
        <v>42190</v>
      </c>
      <c r="G603" s="8" t="s">
        <v>1464</v>
      </c>
      <c r="H603" s="8" t="s">
        <v>1465</v>
      </c>
      <c r="I603" s="8" t="s">
        <v>81</v>
      </c>
      <c r="J603" s="16">
        <v>8731</v>
      </c>
      <c r="K603" s="2" t="s">
        <v>645</v>
      </c>
      <c r="L603" s="8" t="s">
        <v>1466</v>
      </c>
      <c r="M603" s="8" t="s">
        <v>379</v>
      </c>
      <c r="N603" s="2" t="s">
        <v>1511</v>
      </c>
      <c r="O603" s="8" t="s">
        <v>400</v>
      </c>
      <c r="P603" s="8" t="s">
        <v>401</v>
      </c>
      <c r="Q603" s="12" t="str">
        <f>HYPERLINK("http://patch.com/new-jersey/lacey/toms-river-man-struck-killed-lacey-police-cruiser-0?","http://patch.com/new-jersey/lacey/toms-river-man-struck-killed-lacey-police-cruiser-0?")</f>
        <v>http://patch.com/new-jersey/lacey/toms-river-man-struck-killed-lacey-police-cruiser-0?</v>
      </c>
      <c r="R603" s="8" t="s">
        <v>100</v>
      </c>
      <c r="S603" s="8" t="s">
        <v>18</v>
      </c>
      <c r="T603" s="8"/>
      <c r="U603" s="8"/>
    </row>
    <row r="604" spans="1:39" ht="13" customHeight="1">
      <c r="A604" s="8" t="s">
        <v>1479</v>
      </c>
      <c r="B604" s="16">
        <v>23</v>
      </c>
      <c r="C604" s="8" t="s">
        <v>20</v>
      </c>
      <c r="D604" s="8" t="s">
        <v>85</v>
      </c>
      <c r="E604" s="8" t="str">
        <f>HYPERLINK("http://i.guim.co.uk/img/media/6b8d2e8197fcd13bf1efa55dde76f7af6401fdfb/0_188_600_360/master/600.jpg?w=620&amp;q=85&amp;auto=format&amp;sharp=10&amp;s=cd2d313d4e808218cd2fff1e044bc896","http://i.guim.co.uk/img/media/6b8d2e8197fcd13bf1efa55dde76f7af6401fdfb/0_188_600_360/master/600.jpg?w=620&amp;q=85&amp;auto=format&amp;sharp=10&amp;s=cd2d313d4e808218cd2fff1e044bc896")</f>
        <v>http://i.guim.co.uk/img/media/6b8d2e8197fcd13bf1efa55dde76f7af6401fdfb/0_188_600_360/master/600.jpg?w=620&amp;q=85&amp;auto=format&amp;sharp=10&amp;s=cd2d313d4e808218cd2fff1e044bc896</v>
      </c>
      <c r="F604" s="17">
        <v>42189</v>
      </c>
      <c r="G604" s="8" t="s">
        <v>1480</v>
      </c>
      <c r="H604" s="8" t="s">
        <v>1481</v>
      </c>
      <c r="I604" s="8" t="s">
        <v>244</v>
      </c>
      <c r="J604" s="16">
        <v>23607</v>
      </c>
      <c r="K604" s="2" t="s">
        <v>1482</v>
      </c>
      <c r="L604" s="8" t="s">
        <v>1483</v>
      </c>
      <c r="M604" s="8" t="s">
        <v>27</v>
      </c>
      <c r="N604" s="2" t="s">
        <v>1484</v>
      </c>
      <c r="O604" s="8" t="s">
        <v>400</v>
      </c>
      <c r="P604" s="8" t="s">
        <v>401</v>
      </c>
      <c r="Q604" s="12" t="s">
        <v>21246</v>
      </c>
      <c r="R604" s="8" t="s">
        <v>100</v>
      </c>
      <c r="S604" s="8" t="s">
        <v>28</v>
      </c>
      <c r="T604" s="8"/>
      <c r="U604" s="8"/>
      <c r="AI604" s="8"/>
      <c r="AJ604" s="8"/>
      <c r="AK604" s="8"/>
      <c r="AL604" s="8"/>
      <c r="AM604" s="8"/>
    </row>
    <row r="605" spans="1:39" ht="13" customHeight="1">
      <c r="A605" s="8" t="s">
        <v>1476</v>
      </c>
      <c r="B605" s="16">
        <v>42</v>
      </c>
      <c r="C605" s="8" t="s">
        <v>20</v>
      </c>
      <c r="D605" s="8" t="s">
        <v>85</v>
      </c>
      <c r="E605" s="8" t="str">
        <f>HYPERLINK("http://kwtv.images.worldnow.com/images/8241047_G.jpg","http://kwtv.images.worldnow.com/images/8241047_G.jpg")</f>
        <v>http://kwtv.images.worldnow.com/images/8241047_G.jpg</v>
      </c>
      <c r="F605" s="17">
        <v>42189</v>
      </c>
      <c r="G605" s="8" t="s">
        <v>1477</v>
      </c>
      <c r="H605" s="8" t="s">
        <v>1097</v>
      </c>
      <c r="I605" s="8" t="s">
        <v>395</v>
      </c>
      <c r="J605" s="16">
        <v>73135</v>
      </c>
      <c r="K605" s="2" t="s">
        <v>1098</v>
      </c>
      <c r="L605" s="8" t="s">
        <v>1099</v>
      </c>
      <c r="M605" s="8" t="s">
        <v>27</v>
      </c>
      <c r="N605" s="2" t="s">
        <v>1478</v>
      </c>
      <c r="O605" s="8" t="s">
        <v>400</v>
      </c>
      <c r="P605" s="8" t="s">
        <v>401</v>
      </c>
      <c r="Q605" s="12" t="s">
        <v>21245</v>
      </c>
      <c r="R605" s="8" t="s">
        <v>100</v>
      </c>
      <c r="S605" s="8" t="s">
        <v>28</v>
      </c>
      <c r="T605" s="8"/>
      <c r="U605" s="8"/>
      <c r="AI605" s="8"/>
      <c r="AJ605" s="8"/>
      <c r="AK605" s="8"/>
      <c r="AL605" s="8"/>
      <c r="AM605" s="8"/>
    </row>
    <row r="606" spans="1:39" ht="13" customHeight="1">
      <c r="A606" s="8" t="s">
        <v>1473</v>
      </c>
      <c r="B606" s="16">
        <v>52</v>
      </c>
      <c r="C606" s="8" t="s">
        <v>20</v>
      </c>
      <c r="D606" s="8" t="s">
        <v>85</v>
      </c>
      <c r="F606" s="17">
        <v>42189</v>
      </c>
      <c r="G606" s="8" t="s">
        <v>1474</v>
      </c>
      <c r="H606" s="8" t="s">
        <v>213</v>
      </c>
      <c r="I606" s="8" t="s">
        <v>62</v>
      </c>
      <c r="J606" s="16">
        <v>33135</v>
      </c>
      <c r="K606" s="2" t="s">
        <v>161</v>
      </c>
      <c r="L606" s="8" t="s">
        <v>456</v>
      </c>
      <c r="M606" s="8" t="s">
        <v>391</v>
      </c>
      <c r="N606" s="2" t="s">
        <v>1475</v>
      </c>
      <c r="O606" s="8" t="s">
        <v>400</v>
      </c>
      <c r="P606" s="8" t="s">
        <v>401</v>
      </c>
      <c r="Q606" s="12" t="str">
        <f>HYPERLINK("http://www.miamiherald.com/news/local/community/miami-dade/little-havana/article26604022.html","http://www.miamiherald.com/news/local/community/miami-dade/little-havana/article26604022.html")</f>
        <v>http://www.miamiherald.com/news/local/community/miami-dade/little-havana/article26604022.html</v>
      </c>
      <c r="R606" s="8" t="s">
        <v>555</v>
      </c>
      <c r="S606" s="8" t="s">
        <v>28</v>
      </c>
      <c r="T606" s="8"/>
      <c r="U606" s="8"/>
      <c r="AI606" s="8"/>
      <c r="AJ606" s="8"/>
      <c r="AK606" s="8"/>
      <c r="AL606" s="8"/>
      <c r="AM606" s="8"/>
    </row>
    <row r="607" spans="1:39" ht="13" customHeight="1">
      <c r="A607" s="8" t="s">
        <v>21568</v>
      </c>
      <c r="B607" s="16">
        <v>36</v>
      </c>
      <c r="C607" s="8" t="s">
        <v>20</v>
      </c>
      <c r="D607" s="8" t="s">
        <v>37</v>
      </c>
      <c r="F607" s="17">
        <v>42189</v>
      </c>
      <c r="G607" s="8" t="s">
        <v>1485</v>
      </c>
      <c r="H607" s="8" t="s">
        <v>1280</v>
      </c>
      <c r="I607" s="8" t="s">
        <v>269</v>
      </c>
      <c r="J607" s="16">
        <v>89014</v>
      </c>
      <c r="K607" s="2" t="s">
        <v>570</v>
      </c>
      <c r="L607" s="8" t="s">
        <v>1486</v>
      </c>
      <c r="M607" s="8" t="s">
        <v>27</v>
      </c>
      <c r="N607" s="2" t="s">
        <v>1487</v>
      </c>
      <c r="O607" s="8" t="s">
        <v>400</v>
      </c>
      <c r="P607" s="8" t="s">
        <v>401</v>
      </c>
      <c r="Q607" s="12" t="str">
        <f>HYPERLINK("http://www.reviewjournal.com/news/las-vegas/gunman-killed-police-henderson-hotel-identified","http://www.reviewjournal.com/news/las-vegas/gunman-killed-police-henderson-hotel-identified")</f>
        <v>http://www.reviewjournal.com/news/las-vegas/gunman-killed-police-henderson-hotel-identified</v>
      </c>
      <c r="R607" s="8" t="s">
        <v>100</v>
      </c>
      <c r="S607" s="8" t="s">
        <v>28</v>
      </c>
      <c r="T607" s="8"/>
      <c r="U607" s="8"/>
    </row>
    <row r="608" spans="1:39" ht="13" customHeight="1">
      <c r="A608" s="8" t="s">
        <v>1488</v>
      </c>
      <c r="B608" s="16">
        <v>37</v>
      </c>
      <c r="C608" s="8" t="s">
        <v>20</v>
      </c>
      <c r="D608" s="8" t="s">
        <v>37</v>
      </c>
      <c r="F608" s="17">
        <v>42189</v>
      </c>
      <c r="G608" s="8" t="s">
        <v>1489</v>
      </c>
      <c r="H608" s="8" t="s">
        <v>1490</v>
      </c>
      <c r="I608" s="8" t="s">
        <v>319</v>
      </c>
      <c r="J608" s="16">
        <v>37813</v>
      </c>
      <c r="K608" s="2" t="s">
        <v>1491</v>
      </c>
      <c r="L608" s="8" t="s">
        <v>1492</v>
      </c>
      <c r="M608" s="8" t="s">
        <v>27</v>
      </c>
      <c r="N608" s="2" t="s">
        <v>1493</v>
      </c>
      <c r="O608" s="8" t="s">
        <v>400</v>
      </c>
      <c r="P608" s="8" t="s">
        <v>401</v>
      </c>
      <c r="Q608" s="12" t="str">
        <f>HYPERLINK("http://www.standardbanner.com/news/morristown-man-shot-by-police-was-also-wanted-here/article_e6215eb4-242a-11e5-b876-3f8c02fbda9f.html","http://www.standardbanner.com/news/morristown-man-shot-by-police-was-also-wanted-here/article_e6215eb4-242a-11e5-b876-3f8c02fbda9f.html")</f>
        <v>http://www.standardbanner.com/news/morristown-man-shot-by-police-was-also-wanted-here/article_e6215eb4-242a-11e5-b876-3f8c02fbda9f.html</v>
      </c>
      <c r="R608" s="8" t="s">
        <v>100</v>
      </c>
      <c r="S608" s="8" t="s">
        <v>28</v>
      </c>
      <c r="T608" s="8"/>
      <c r="U608" s="8"/>
    </row>
    <row r="609" spans="1:39" ht="13" customHeight="1">
      <c r="A609" s="8" t="s">
        <v>1498</v>
      </c>
      <c r="B609" s="16">
        <v>27</v>
      </c>
      <c r="C609" s="8" t="s">
        <v>20</v>
      </c>
      <c r="D609" s="8" t="s">
        <v>48</v>
      </c>
      <c r="F609" s="17">
        <v>42188</v>
      </c>
      <c r="G609" s="8" t="s">
        <v>1499</v>
      </c>
      <c r="H609" s="8" t="s">
        <v>1500</v>
      </c>
      <c r="I609" s="8" t="s">
        <v>45</v>
      </c>
      <c r="J609" s="16">
        <v>91748</v>
      </c>
      <c r="K609" s="2" t="s">
        <v>98</v>
      </c>
      <c r="L609" s="8" t="s">
        <v>1501</v>
      </c>
      <c r="M609" s="8" t="s">
        <v>27</v>
      </c>
      <c r="N609" s="2" t="s">
        <v>1506</v>
      </c>
      <c r="O609" s="8" t="s">
        <v>400</v>
      </c>
      <c r="P609" s="8" t="s">
        <v>401</v>
      </c>
      <c r="Q609" s="12" t="str">
        <f>HYPERLINK("http://abc7.com/news/suspect-holding-knife-killed-in-west-covina-officer-involved-shooting/828284/","http://abc7.com/news/suspect-holding-knife-killed-in-west-covina-officer-involved-shooting/828284/")</f>
        <v>http://abc7.com/news/suspect-holding-knife-killed-in-west-covina-officer-involved-shooting/828284/</v>
      </c>
      <c r="R609" s="8" t="s">
        <v>100</v>
      </c>
      <c r="S609" s="8" t="s">
        <v>28</v>
      </c>
      <c r="T609" s="8"/>
      <c r="U609" s="8"/>
      <c r="V609" s="8"/>
      <c r="W609" s="8"/>
      <c r="X609" s="8"/>
    </row>
    <row r="610" spans="1:39" ht="13" customHeight="1">
      <c r="A610" s="8" t="s">
        <v>1507</v>
      </c>
      <c r="B610" s="16">
        <v>33</v>
      </c>
      <c r="C610" s="8" t="s">
        <v>20</v>
      </c>
      <c r="D610" s="8" t="s">
        <v>48</v>
      </c>
      <c r="F610" s="17">
        <v>42188</v>
      </c>
      <c r="G610" s="8" t="s">
        <v>1508</v>
      </c>
      <c r="H610" s="8" t="s">
        <v>1509</v>
      </c>
      <c r="I610" s="8" t="s">
        <v>81</v>
      </c>
      <c r="J610" s="16">
        <v>8105</v>
      </c>
      <c r="K610" s="2" t="s">
        <v>1509</v>
      </c>
      <c r="L610" s="8" t="s">
        <v>1510</v>
      </c>
      <c r="M610" s="8" t="s">
        <v>27</v>
      </c>
      <c r="N610" s="2" t="s">
        <v>1444</v>
      </c>
      <c r="O610" s="8" t="s">
        <v>400</v>
      </c>
      <c r="P610" s="8" t="s">
        <v>401</v>
      </c>
      <c r="Q610" s="12" t="s">
        <v>21244</v>
      </c>
      <c r="R610" s="8" t="s">
        <v>967</v>
      </c>
      <c r="S610" s="8" t="s">
        <v>28</v>
      </c>
      <c r="T610" s="8"/>
      <c r="U610" s="8"/>
      <c r="V610" s="8"/>
      <c r="W610" s="8"/>
      <c r="X610" s="8"/>
    </row>
    <row r="611" spans="1:39" ht="13" customHeight="1">
      <c r="A611" s="8" t="s">
        <v>1494</v>
      </c>
      <c r="B611" s="16">
        <v>46</v>
      </c>
      <c r="C611" s="8" t="s">
        <v>20</v>
      </c>
      <c r="D611" s="8" t="s">
        <v>48</v>
      </c>
      <c r="F611" s="17">
        <v>42188</v>
      </c>
      <c r="G611" s="8" t="s">
        <v>1495</v>
      </c>
      <c r="H611" s="8" t="s">
        <v>1496</v>
      </c>
      <c r="I611" s="8" t="s">
        <v>45</v>
      </c>
      <c r="J611" s="16">
        <v>93535</v>
      </c>
      <c r="K611" s="2" t="s">
        <v>98</v>
      </c>
      <c r="L611" s="8" t="s">
        <v>414</v>
      </c>
      <c r="M611" s="8" t="s">
        <v>27</v>
      </c>
      <c r="N611" s="2" t="s">
        <v>1400</v>
      </c>
      <c r="O611" s="8" t="s">
        <v>400</v>
      </c>
      <c r="P611" s="8" t="s">
        <v>401</v>
      </c>
      <c r="Q611" s="12" t="s">
        <v>21243</v>
      </c>
      <c r="R611" s="8" t="s">
        <v>29</v>
      </c>
      <c r="S611" s="8" t="s">
        <v>28</v>
      </c>
      <c r="T611" s="8"/>
      <c r="U611" s="8"/>
    </row>
    <row r="612" spans="1:39" ht="13" customHeight="1">
      <c r="A612" s="8" t="s">
        <v>1502</v>
      </c>
      <c r="B612" s="16">
        <v>25</v>
      </c>
      <c r="C612" s="8" t="s">
        <v>20</v>
      </c>
      <c r="D612" s="8" t="s">
        <v>48</v>
      </c>
      <c r="E612" s="8" t="str">
        <f>HYPERLINK("http://media.nbclosangeles.com/images/1203*675/7-3-15+Christian+Siqueiros+in-custody+death.JPG","http://media.nbclosangeles.com/images/1203*675/7-3-15+Christian+Siqueiros+in-custody+death.JPG")</f>
        <v>http://media.nbclosangeles.com/images/1203*675/7-3-15+Christian+Siqueiros+in-custody+death.JPG</v>
      </c>
      <c r="F612" s="17">
        <v>42188</v>
      </c>
      <c r="G612" s="8" t="s">
        <v>1503</v>
      </c>
      <c r="H612" s="8" t="s">
        <v>1504</v>
      </c>
      <c r="I612" s="8" t="s">
        <v>45</v>
      </c>
      <c r="J612" s="16">
        <v>91763</v>
      </c>
      <c r="K612" s="2" t="s">
        <v>110</v>
      </c>
      <c r="L612" s="8" t="s">
        <v>1505</v>
      </c>
      <c r="M612" s="8" t="s">
        <v>3386</v>
      </c>
      <c r="N612" s="2" t="s">
        <v>1514</v>
      </c>
      <c r="O612" s="8" t="s">
        <v>550</v>
      </c>
      <c r="P612" s="8" t="s">
        <v>401</v>
      </c>
      <c r="Q612" s="12" t="str">
        <f>HYPERLINK("http://abc7.com/news/man-dies-of-heart-attack-while-in-montclair-police-custody/826399/","http://abc7.com/news/man-dies-of-heart-attack-while-in-montclair-police-custody/826399/")</f>
        <v>http://abc7.com/news/man-dies-of-heart-attack-while-in-montclair-police-custody/826399/</v>
      </c>
      <c r="R612" s="8" t="s">
        <v>100</v>
      </c>
      <c r="S612" s="8" t="s">
        <v>18</v>
      </c>
      <c r="T612" s="8"/>
      <c r="U612" s="8"/>
    </row>
    <row r="613" spans="1:39" ht="13" customHeight="1">
      <c r="A613" s="8" t="s">
        <v>1512</v>
      </c>
      <c r="B613" s="16">
        <v>60</v>
      </c>
      <c r="C613" s="8" t="s">
        <v>20</v>
      </c>
      <c r="D613" s="8" t="s">
        <v>21</v>
      </c>
      <c r="F613" s="17">
        <v>42187</v>
      </c>
      <c r="G613" s="8" t="s">
        <v>1513</v>
      </c>
      <c r="H613" s="8" t="s">
        <v>156</v>
      </c>
      <c r="I613" s="8" t="s">
        <v>45</v>
      </c>
      <c r="J613" s="16">
        <v>92127</v>
      </c>
      <c r="K613" s="2" t="s">
        <v>156</v>
      </c>
      <c r="L613" s="8" t="s">
        <v>157</v>
      </c>
      <c r="M613" s="8" t="s">
        <v>27</v>
      </c>
      <c r="N613" s="2" t="s">
        <v>1497</v>
      </c>
      <c r="O613" s="8" t="s">
        <v>400</v>
      </c>
      <c r="P613" s="8" t="s">
        <v>401</v>
      </c>
      <c r="Q613" s="12"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613" s="8" t="s">
        <v>100</v>
      </c>
      <c r="S613" s="8" t="s">
        <v>28</v>
      </c>
      <c r="T613" s="8"/>
      <c r="U613" s="8"/>
      <c r="V613" s="8"/>
      <c r="W613" s="8"/>
      <c r="X613" s="8"/>
    </row>
    <row r="614" spans="1:39" ht="13" customHeight="1">
      <c r="A614" s="8" t="s">
        <v>1515</v>
      </c>
      <c r="B614" s="16">
        <v>23</v>
      </c>
      <c r="C614" s="8" t="s">
        <v>20</v>
      </c>
      <c r="D614" s="8" t="s">
        <v>85</v>
      </c>
      <c r="E614" s="59" t="str">
        <f>HYPERLINK("http://jacksonville.com/sites/default/files/imagecache/premium_415_wide_scale/Suspect_1.jpg","http://jacksonville.com/sites/default/files/imagecache/premium_415_wide_scale/Suspect_1.jpg")</f>
        <v>http://jacksonville.com/sites/default/files/imagecache/premium_415_wide_scale/Suspect_1.jpg</v>
      </c>
      <c r="F614" s="17">
        <v>42187</v>
      </c>
      <c r="G614" s="8" t="s">
        <v>1516</v>
      </c>
      <c r="H614" s="8" t="s">
        <v>653</v>
      </c>
      <c r="I614" s="8" t="s">
        <v>62</v>
      </c>
      <c r="J614" s="16">
        <v>32207</v>
      </c>
      <c r="K614" s="2" t="s">
        <v>654</v>
      </c>
      <c r="L614" s="8" t="s">
        <v>655</v>
      </c>
      <c r="M614" s="8" t="s">
        <v>27</v>
      </c>
      <c r="N614" s="2" t="s">
        <v>21299</v>
      </c>
      <c r="O614" s="8" t="s">
        <v>29</v>
      </c>
      <c r="P614" s="8" t="s">
        <v>401</v>
      </c>
      <c r="Q614" s="12" t="s">
        <v>21241</v>
      </c>
      <c r="R614" s="8" t="s">
        <v>967</v>
      </c>
      <c r="S614" s="8" t="s">
        <v>18</v>
      </c>
      <c r="T614" s="8"/>
      <c r="U614" s="8"/>
      <c r="AI614" s="8"/>
      <c r="AJ614" s="8"/>
      <c r="AK614" s="8"/>
      <c r="AL614" s="8"/>
      <c r="AM614" s="8"/>
    </row>
    <row r="615" spans="1:39" ht="13" customHeight="1">
      <c r="A615" s="8" t="s">
        <v>1517</v>
      </c>
      <c r="B615" s="16">
        <v>59</v>
      </c>
      <c r="C615" s="8" t="s">
        <v>20</v>
      </c>
      <c r="D615" s="8" t="s">
        <v>30</v>
      </c>
      <c r="F615" s="17">
        <v>42187</v>
      </c>
      <c r="G615" s="8" t="s">
        <v>1518</v>
      </c>
      <c r="H615" s="8" t="s">
        <v>1519</v>
      </c>
      <c r="I615" s="8" t="s">
        <v>150</v>
      </c>
      <c r="J615" s="16">
        <v>25976</v>
      </c>
      <c r="K615" s="2" t="s">
        <v>1520</v>
      </c>
      <c r="L615" s="8" t="s">
        <v>17515</v>
      </c>
      <c r="M615" s="8" t="s">
        <v>27</v>
      </c>
      <c r="N615" s="2" t="s">
        <v>1521</v>
      </c>
      <c r="O615" s="8" t="s">
        <v>1013</v>
      </c>
      <c r="P615" s="8" t="s">
        <v>401</v>
      </c>
      <c r="Q615" s="12" t="s">
        <v>21240</v>
      </c>
      <c r="R615" s="8" t="s">
        <v>555</v>
      </c>
      <c r="S615" s="8" t="s">
        <v>28</v>
      </c>
      <c r="T615" s="8"/>
      <c r="U615" s="8"/>
      <c r="V615" s="8"/>
      <c r="W615" s="8"/>
      <c r="X615" s="8"/>
    </row>
    <row r="616" spans="1:39" ht="13" customHeight="1">
      <c r="A616" s="8" t="s">
        <v>1522</v>
      </c>
      <c r="B616" s="16">
        <v>40</v>
      </c>
      <c r="C616" s="8" t="s">
        <v>20</v>
      </c>
      <c r="D616" s="8" t="s">
        <v>37</v>
      </c>
      <c r="E616" s="8" t="str">
        <f>HYPERLINK("http://victimsofpolice.com/2015/images/Julian-Joseph.jpg","http://victimsofpolice.com/2015/images/Julian-Joseph.jpg")</f>
        <v>http://victimsofpolice.com/2015/images/Julian-Joseph.jpg</v>
      </c>
      <c r="F616" s="17">
        <v>42187</v>
      </c>
      <c r="G616" s="8" t="s">
        <v>1523</v>
      </c>
      <c r="H616" s="8" t="s">
        <v>1524</v>
      </c>
      <c r="I616" s="8" t="s">
        <v>62</v>
      </c>
      <c r="J616" s="16">
        <v>33140</v>
      </c>
      <c r="K616" s="2" t="s">
        <v>161</v>
      </c>
      <c r="L616" s="8" t="s">
        <v>1525</v>
      </c>
      <c r="M616" s="8" t="s">
        <v>27</v>
      </c>
      <c r="N616" s="2" t="s">
        <v>1526</v>
      </c>
      <c r="O616" s="8" t="s">
        <v>400</v>
      </c>
      <c r="P616" s="8" t="s">
        <v>401</v>
      </c>
      <c r="Q616" s="12" t="s">
        <v>21239</v>
      </c>
      <c r="R616" s="8" t="s">
        <v>100</v>
      </c>
      <c r="S616" s="8" t="s">
        <v>28</v>
      </c>
      <c r="T616" s="8"/>
      <c r="U616" s="8"/>
      <c r="V616" s="8"/>
      <c r="W616" s="8"/>
      <c r="X616" s="8"/>
    </row>
    <row r="617" spans="1:39" ht="13" customHeight="1">
      <c r="A617" s="8" t="s">
        <v>1527</v>
      </c>
      <c r="B617" s="16">
        <v>45</v>
      </c>
      <c r="C617" s="8" t="s">
        <v>20</v>
      </c>
      <c r="D617" s="8" t="s">
        <v>37</v>
      </c>
      <c r="E617" s="8" t="str">
        <f>HYPERLINK("http://www.enterprisenews.com/galleryimage/WL/20150702/PHOTOGALLERY/702009988/PH/0/6/PH-702009988.jpg","http://www.enterprisenews.com/galleryimage/WL/20150702/PHOTOGALLERY/702009988/PH/0/6/PH-702009988.jpg")</f>
        <v>http://www.enterprisenews.com/galleryimage/WL/20150702/PHOTOGALLERY/702009988/PH/0/6/PH-702009988.jpg</v>
      </c>
      <c r="F617" s="17">
        <v>42187</v>
      </c>
      <c r="G617" s="8" t="s">
        <v>1528</v>
      </c>
      <c r="H617" s="8" t="s">
        <v>1529</v>
      </c>
      <c r="I617" s="8" t="s">
        <v>46</v>
      </c>
      <c r="J617" s="16">
        <v>2302</v>
      </c>
      <c r="K617" s="2" t="s">
        <v>1074</v>
      </c>
      <c r="L617" s="8" t="s">
        <v>1530</v>
      </c>
      <c r="M617" s="8" t="s">
        <v>27</v>
      </c>
      <c r="N617" s="2" t="s">
        <v>966</v>
      </c>
      <c r="O617" s="8" t="s">
        <v>400</v>
      </c>
      <c r="P617" s="8" t="s">
        <v>401</v>
      </c>
      <c r="Q617" s="12" t="s">
        <v>21242</v>
      </c>
      <c r="R617" s="8" t="s">
        <v>967</v>
      </c>
      <c r="S617" s="8" t="s">
        <v>18</v>
      </c>
      <c r="T617" s="8"/>
      <c r="U617" s="8"/>
    </row>
    <row r="618" spans="1:39" ht="13" customHeight="1">
      <c r="A618" s="8" t="s">
        <v>1532</v>
      </c>
      <c r="B618" s="16">
        <v>24</v>
      </c>
      <c r="C618" s="8" t="s">
        <v>20</v>
      </c>
      <c r="D618" s="8" t="s">
        <v>85</v>
      </c>
      <c r="E618" s="59" t="str">
        <f>HYPERLINK("http://images.bimedia.net/images/150701_Kevin_Lamont_Judson_story_insert.jpg","http://images.bimedia.net/images/150701_Kevin_Lamont_Judson_story_insert.jpg")</f>
        <v>http://images.bimedia.net/images/150701_Kevin_Lamont_Judson_story_insert.jpg</v>
      </c>
      <c r="F618" s="17">
        <v>42186</v>
      </c>
      <c r="G618" s="8" t="s">
        <v>1533</v>
      </c>
      <c r="H618" s="8" t="s">
        <v>1534</v>
      </c>
      <c r="I618" s="8" t="s">
        <v>117</v>
      </c>
      <c r="J618" s="16">
        <v>97128</v>
      </c>
      <c r="K618" s="2" t="s">
        <v>1535</v>
      </c>
      <c r="L618" s="8" t="s">
        <v>1536</v>
      </c>
      <c r="M618" s="8" t="s">
        <v>27</v>
      </c>
      <c r="N618" s="2" t="s">
        <v>1537</v>
      </c>
      <c r="O618" s="8" t="s">
        <v>550</v>
      </c>
      <c r="P618" s="8" t="s">
        <v>401</v>
      </c>
      <c r="Q618" s="12" t="str">
        <f>HYPERLINK("http://www.katu.com/news/local/DA-clears-deputy-in-deadly-McMinnville-shooting-316055961.html","http://www.katu.com/news/local/DA-clears-deputy-in-deadly-McMinnville-shooting-316055961.html")</f>
        <v>http://www.katu.com/news/local/DA-clears-deputy-in-deadly-McMinnville-shooting-316055961.html</v>
      </c>
      <c r="R618" s="8" t="s">
        <v>100</v>
      </c>
      <c r="S618" s="8" t="s">
        <v>18</v>
      </c>
      <c r="T618" s="6"/>
      <c r="U618" s="8"/>
    </row>
    <row r="619" spans="1:39" ht="13" customHeight="1">
      <c r="A619" s="8" t="s">
        <v>1538</v>
      </c>
      <c r="B619" s="16">
        <v>32</v>
      </c>
      <c r="C619" s="8" t="s">
        <v>20</v>
      </c>
      <c r="D619" s="8" t="s">
        <v>37</v>
      </c>
      <c r="F619" s="17">
        <v>42186</v>
      </c>
      <c r="G619" s="8" t="s">
        <v>1539</v>
      </c>
      <c r="H619" s="8" t="s">
        <v>1540</v>
      </c>
      <c r="I619" s="8" t="s">
        <v>117</v>
      </c>
      <c r="J619" s="16">
        <v>97497</v>
      </c>
      <c r="K619" s="2" t="s">
        <v>1541</v>
      </c>
      <c r="L619" s="8" t="s">
        <v>1542</v>
      </c>
      <c r="M619" s="8" t="s">
        <v>27</v>
      </c>
      <c r="N619" s="2" t="s">
        <v>1543</v>
      </c>
      <c r="O619" s="8" t="s">
        <v>400</v>
      </c>
      <c r="P619" s="8" t="s">
        <v>401</v>
      </c>
      <c r="Q619" s="12" t="str">
        <f>HYPERLINK("http://www.oregonlive.com/pacific-northwest-news/index.ssf/2015/07/oregon_state_police_shoot_and.html","http://www.oregonlive.com/pacific-northwest-news/index.ssf/2015/07/oregon_state_police_shoot_and.html")</f>
        <v>http://www.oregonlive.com/pacific-northwest-news/index.ssf/2015/07/oregon_state_police_shoot_and.html</v>
      </c>
      <c r="R619" s="8" t="s">
        <v>100</v>
      </c>
      <c r="S619" s="8" t="s">
        <v>28</v>
      </c>
      <c r="T619" s="8"/>
      <c r="U619" s="8"/>
    </row>
    <row r="620" spans="1:39" ht="13" customHeight="1">
      <c r="A620" s="8" t="s">
        <v>1544</v>
      </c>
      <c r="B620" s="16">
        <v>57</v>
      </c>
      <c r="C620" s="8" t="s">
        <v>20</v>
      </c>
      <c r="D620" s="8" t="s">
        <v>37</v>
      </c>
      <c r="E620" s="8" t="str">
        <f>HYPERLINK("http://www.killedbypolice.net/victims/150628.jpg","http://www.killedbypolice.net/victims/150628.jpg")</f>
        <v>http://www.killedbypolice.net/victims/150628.jpg</v>
      </c>
      <c r="F620" s="17">
        <v>42186</v>
      </c>
      <c r="G620" s="8" t="s">
        <v>1545</v>
      </c>
      <c r="H620" s="8" t="s">
        <v>1546</v>
      </c>
      <c r="I620" s="8" t="s">
        <v>150</v>
      </c>
      <c r="J620" s="16">
        <v>26452</v>
      </c>
      <c r="K620" s="2" t="s">
        <v>1547</v>
      </c>
      <c r="L620" s="8" t="s">
        <v>1548</v>
      </c>
      <c r="M620" s="8" t="s">
        <v>27</v>
      </c>
      <c r="N620" s="2" t="s">
        <v>1549</v>
      </c>
      <c r="O620" s="8" t="s">
        <v>550</v>
      </c>
      <c r="P620" s="8" t="s">
        <v>401</v>
      </c>
      <c r="Q620" s="12" t="s">
        <v>21238</v>
      </c>
      <c r="R620" s="8" t="s">
        <v>967</v>
      </c>
      <c r="S620" s="8" t="s">
        <v>18</v>
      </c>
      <c r="T620" s="6"/>
      <c r="U620" s="8"/>
    </row>
    <row r="621" spans="1:39" ht="13" customHeight="1">
      <c r="A621" s="8" t="s">
        <v>1550</v>
      </c>
      <c r="B621" s="16">
        <v>52</v>
      </c>
      <c r="C621" s="8" t="s">
        <v>20</v>
      </c>
      <c r="D621" s="8" t="s">
        <v>37</v>
      </c>
      <c r="E621" s="8" t="str">
        <f>HYPERLINK("http://www.wyff4.com/image/view/-/33914720/highRes/1/-/maxh/630/maxw/1200/-/157k9k3/-/Clay-Alan-Lickteig-jpg.jpg","http://www.wyff4.com/image/view/-/33914720/highRes/1/-/maxh/630/maxw/1200/-/157k9k3/-/Clay-Alan-Lickteig-jpg.jpg")</f>
        <v>http://www.wyff4.com/image/view/-/33914720/highRes/1/-/maxh/630/maxw/1200/-/157k9k3/-/Clay-Alan-Lickteig-jpg.jpg</v>
      </c>
      <c r="F621" s="17">
        <v>42185</v>
      </c>
      <c r="G621" s="8" t="s">
        <v>1551</v>
      </c>
      <c r="H621" s="8" t="s">
        <v>1291</v>
      </c>
      <c r="I621" s="8" t="s">
        <v>366</v>
      </c>
      <c r="J621" s="16" t="s">
        <v>1552</v>
      </c>
      <c r="K621" s="2" t="s">
        <v>1553</v>
      </c>
      <c r="L621" s="8" t="s">
        <v>1554</v>
      </c>
      <c r="M621" s="8" t="s">
        <v>27</v>
      </c>
      <c r="N621" s="2" t="s">
        <v>1555</v>
      </c>
      <c r="O621" s="8" t="s">
        <v>400</v>
      </c>
      <c r="P621" s="8" t="s">
        <v>401</v>
      </c>
      <c r="Q621" s="12" t="str">
        <f>HYPERLINK("http://www.wyff4.com/news/police-man-killed-after-shootout-with-officers/33901040","http://www.wyff4.com/news/police-man-killed-after-shootout-with-officers/33901040")</f>
        <v>http://www.wyff4.com/news/police-man-killed-after-shootout-with-officers/33901040</v>
      </c>
      <c r="R621" s="8" t="s">
        <v>100</v>
      </c>
      <c r="S621" s="8" t="s">
        <v>28</v>
      </c>
      <c r="T621" s="8"/>
      <c r="U621" s="8"/>
    </row>
    <row r="622" spans="1:39" ht="13" customHeight="1">
      <c r="A622" s="8" t="s">
        <v>1556</v>
      </c>
      <c r="B622" s="16">
        <v>51</v>
      </c>
      <c r="C622" s="8" t="s">
        <v>20</v>
      </c>
      <c r="D622" s="8" t="s">
        <v>37</v>
      </c>
      <c r="F622" s="17">
        <v>42184</v>
      </c>
      <c r="G622" s="8" t="s">
        <v>1557</v>
      </c>
      <c r="H622" s="8" t="s">
        <v>1558</v>
      </c>
      <c r="I622" s="8" t="s">
        <v>423</v>
      </c>
      <c r="J622" s="16" t="s">
        <v>1559</v>
      </c>
      <c r="K622" s="2" t="s">
        <v>1560</v>
      </c>
      <c r="L622" s="8" t="s">
        <v>1561</v>
      </c>
      <c r="M622" s="8" t="s">
        <v>27</v>
      </c>
      <c r="N622" s="2" t="s">
        <v>1562</v>
      </c>
      <c r="O622" s="8" t="s">
        <v>400</v>
      </c>
      <c r="P622" s="8" t="s">
        <v>401</v>
      </c>
      <c r="Q622" s="12" t="str">
        <f>HYPERLINK("http://www.timesunion.com/news/article/Sheriff-Edinburgh-resident-dead-in-officer-6357460.php#photo-8239735","http://www.timesunion.com/news/article/Sheriff-Edinburgh-resident-dead-in-officer-6357460.php#photo-8239735")</f>
        <v>http://www.timesunion.com/news/article/Sheriff-Edinburgh-resident-dead-in-officer-6357460.php#photo-8239735</v>
      </c>
      <c r="R622" s="8" t="s">
        <v>100</v>
      </c>
      <c r="S622" s="8" t="s">
        <v>28</v>
      </c>
      <c r="T622" s="6"/>
      <c r="U622" s="8"/>
    </row>
    <row r="623" spans="1:39" ht="13" customHeight="1">
      <c r="A623" s="8" t="s">
        <v>1563</v>
      </c>
      <c r="B623" s="16">
        <v>29</v>
      </c>
      <c r="C623" s="8" t="s">
        <v>20</v>
      </c>
      <c r="D623" s="8" t="s">
        <v>37</v>
      </c>
      <c r="E623" s="8" t="str">
        <f>HYPERLINK("http://www.portlandmercury.com/images/blogimages/2015/06/29/1435620050-screen_shot_2015-06-29_at_4.20.07_pm.png","http://www.portlandmercury.com/images/blogimages/2015/06/29/1435620050-screen_shot_2015-06-29_at_4.20.07_pm.png")</f>
        <v>http://www.portlandmercury.com/images/blogimages/2015/06/29/1435620050-screen_shot_2015-06-29_at_4.20.07_pm.png</v>
      </c>
      <c r="F623" s="17">
        <v>42183</v>
      </c>
      <c r="G623" s="8" t="s">
        <v>1564</v>
      </c>
      <c r="H623" s="8" t="s">
        <v>1565</v>
      </c>
      <c r="I623" s="8" t="s">
        <v>117</v>
      </c>
      <c r="J623" s="16" t="s">
        <v>1566</v>
      </c>
      <c r="K623" s="2" t="s">
        <v>1567</v>
      </c>
      <c r="L623" s="8" t="s">
        <v>18022</v>
      </c>
      <c r="M623" s="8" t="s">
        <v>27</v>
      </c>
      <c r="N623" s="2" t="s">
        <v>1568</v>
      </c>
      <c r="O623" s="8" t="s">
        <v>400</v>
      </c>
      <c r="P623" s="8" t="s">
        <v>401</v>
      </c>
      <c r="Q623" s="12" t="str">
        <f>HYPERLINK("http://www.kgw.com/story/news/local/2015/06/29/police-shooting-winco-parking-lot-portland/29455487/","http://www.kgw.com/story/news/local/2015/06/29/police-shooting-winco-parking-lot-portland/29455487/")</f>
        <v>http://www.kgw.com/story/news/local/2015/06/29/police-shooting-winco-parking-lot-portland/29455487/</v>
      </c>
      <c r="R623" s="8" t="s">
        <v>967</v>
      </c>
      <c r="S623" s="8" t="s">
        <v>28</v>
      </c>
      <c r="T623" s="8"/>
      <c r="U623" s="8"/>
      <c r="V623" s="8"/>
      <c r="W623" s="8"/>
      <c r="X623" s="8"/>
    </row>
    <row r="624" spans="1:39" ht="13" customHeight="1">
      <c r="A624" s="8" t="s">
        <v>1569</v>
      </c>
      <c r="B624" s="16">
        <v>60</v>
      </c>
      <c r="C624" s="8" t="s">
        <v>20</v>
      </c>
      <c r="D624" s="8" t="s">
        <v>37</v>
      </c>
      <c r="F624" s="17">
        <v>42183</v>
      </c>
      <c r="G624" s="8" t="s">
        <v>1570</v>
      </c>
      <c r="H624" s="8" t="s">
        <v>1571</v>
      </c>
      <c r="I624" s="8" t="s">
        <v>62</v>
      </c>
      <c r="J624" s="16" t="s">
        <v>1572</v>
      </c>
      <c r="K624" s="2" t="s">
        <v>640</v>
      </c>
      <c r="L624" s="8" t="s">
        <v>1573</v>
      </c>
      <c r="M624" s="8" t="s">
        <v>379</v>
      </c>
      <c r="N624" s="2" t="s">
        <v>1574</v>
      </c>
      <c r="O624" s="8" t="s">
        <v>1013</v>
      </c>
      <c r="P624" s="8" t="s">
        <v>401</v>
      </c>
      <c r="Q624" s="12" t="str">
        <f>HYPERLINK("http://wfla.com/2015/07/09/tampa-hit-and-run-investigation-focuses-on-tpd-officer/","http://wfla.com/2015/07/09/tampa-hit-and-run-investigation-focuses-on-tpd-officer/")</f>
        <v>http://wfla.com/2015/07/09/tampa-hit-and-run-investigation-focuses-on-tpd-officer/</v>
      </c>
      <c r="R624" s="8" t="s">
        <v>100</v>
      </c>
      <c r="S624" s="8" t="s">
        <v>18</v>
      </c>
      <c r="T624" s="6"/>
      <c r="U624" s="8"/>
    </row>
    <row r="625" spans="1:34" ht="13" customHeight="1">
      <c r="A625" s="8" t="s">
        <v>1575</v>
      </c>
      <c r="B625" s="16">
        <v>35</v>
      </c>
      <c r="C625" s="8" t="s">
        <v>20</v>
      </c>
      <c r="D625" s="8" t="s">
        <v>37</v>
      </c>
      <c r="F625" s="17">
        <v>42182</v>
      </c>
      <c r="G625" s="8" t="s">
        <v>1576</v>
      </c>
      <c r="H625" s="8" t="s">
        <v>1577</v>
      </c>
      <c r="I625" s="8" t="s">
        <v>395</v>
      </c>
      <c r="J625" s="16" t="s">
        <v>1578</v>
      </c>
      <c r="K625" s="2" t="s">
        <v>1579</v>
      </c>
      <c r="L625" s="8" t="s">
        <v>1580</v>
      </c>
      <c r="M625" s="8" t="s">
        <v>27</v>
      </c>
      <c r="N625" s="2" t="s">
        <v>1581</v>
      </c>
      <c r="O625" s="8" t="s">
        <v>400</v>
      </c>
      <c r="P625" s="8" t="s">
        <v>401</v>
      </c>
      <c r="Q625" s="12" t="str">
        <f>HYPERLINK("http://www.news9.com/story/29443076/tahlequah-police-release-body-cam-video-in-fatal-officer-involved-shooting","http://www.news9.com/story/29443076/tahlequah-police-release-body-cam-video-in-fatal-officer-involved-shooting")</f>
        <v>http://www.news9.com/story/29443076/tahlequah-police-release-body-cam-video-in-fatal-officer-involved-shooting</v>
      </c>
      <c r="R625" s="8" t="s">
        <v>100</v>
      </c>
      <c r="S625" s="8" t="s">
        <v>28</v>
      </c>
      <c r="T625" s="6"/>
      <c r="U625" s="8"/>
    </row>
    <row r="626" spans="1:34" ht="13" customHeight="1">
      <c r="A626" s="8" t="s">
        <v>1582</v>
      </c>
      <c r="B626" s="16">
        <v>28</v>
      </c>
      <c r="C626" s="8" t="s">
        <v>20</v>
      </c>
      <c r="D626" s="8" t="s">
        <v>48</v>
      </c>
      <c r="F626" s="17">
        <v>42181</v>
      </c>
      <c r="G626" s="8" t="s">
        <v>1583</v>
      </c>
      <c r="H626" s="8" t="s">
        <v>575</v>
      </c>
      <c r="I626" s="8" t="s">
        <v>73</v>
      </c>
      <c r="J626" s="16" t="s">
        <v>1584</v>
      </c>
      <c r="K626" s="2" t="s">
        <v>576</v>
      </c>
      <c r="L626" s="8" t="s">
        <v>577</v>
      </c>
      <c r="M626" s="8" t="s">
        <v>27</v>
      </c>
      <c r="N626" s="2" t="s">
        <v>1585</v>
      </c>
      <c r="O626" s="8" t="s">
        <v>400</v>
      </c>
      <c r="P626" s="8" t="s">
        <v>401</v>
      </c>
      <c r="Q626" s="12" t="str">
        <f>HYPERLINK("http://www.mysanantonio.com/news/local/article/Suspect-killed-by-polcie-during-chase-identified-6355557.php","http://www.mysanantonio.com/news/local/article/Suspect-killed-by-polcie-during-chase-identified-6355557.php")</f>
        <v>http://www.mysanantonio.com/news/local/article/Suspect-killed-by-polcie-during-chase-identified-6355557.php</v>
      </c>
      <c r="R626" s="8" t="s">
        <v>100</v>
      </c>
      <c r="S626" s="8" t="s">
        <v>28</v>
      </c>
      <c r="T626" s="6"/>
      <c r="U626" s="8"/>
    </row>
    <row r="627" spans="1:34" ht="13" customHeight="1">
      <c r="A627" s="8" t="s">
        <v>1586</v>
      </c>
      <c r="B627" s="16">
        <v>49</v>
      </c>
      <c r="C627" s="8" t="s">
        <v>20</v>
      </c>
      <c r="D627" s="8" t="s">
        <v>37</v>
      </c>
      <c r="E627" s="8" t="str">
        <f>HYPERLINK("http://a.abcnews.com/images/US/HT_richard_matt_jt_150606_4x3_992.jpg","http://a.abcnews.com/images/US/HT_richard_matt_jt_150606_4x3_992.jpg")</f>
        <v>http://a.abcnews.com/images/US/HT_richard_matt_jt_150606_4x3_992.jpg</v>
      </c>
      <c r="F627" s="17">
        <v>42181</v>
      </c>
      <c r="G627" s="8" t="s">
        <v>1587</v>
      </c>
      <c r="H627" s="8" t="s">
        <v>1588</v>
      </c>
      <c r="I627" s="8" t="s">
        <v>423</v>
      </c>
      <c r="J627" s="16" t="s">
        <v>1589</v>
      </c>
      <c r="K627" s="2" t="s">
        <v>1291</v>
      </c>
      <c r="L627" s="8" t="s">
        <v>1590</v>
      </c>
      <c r="M627" s="8" t="s">
        <v>27</v>
      </c>
      <c r="N627" s="2" t="s">
        <v>1591</v>
      </c>
      <c r="O627" s="8" t="s">
        <v>400</v>
      </c>
      <c r="P627" s="8" t="s">
        <v>401</v>
      </c>
      <c r="Q627" s="12" t="str">
        <f>HYPERLINK("http://www.nbcnews.com/storyline/new-york-prison-escape/autopsy-shows-prison-escapee-richard-matt-was-drunk-when-he-n404676","http://www.nbcnews.com/storyline/new-york-prison-escape/autopsy-shows-prison-escapee-richard-matt-was-drunk-when-he-n404676")</f>
        <v>http://www.nbcnews.com/storyline/new-york-prison-escape/autopsy-shows-prison-escapee-richard-matt-was-drunk-when-he-n404676</v>
      </c>
      <c r="R627" s="8" t="s">
        <v>100</v>
      </c>
      <c r="S627" s="8" t="s">
        <v>28</v>
      </c>
      <c r="T627" s="6"/>
      <c r="U627" s="8"/>
    </row>
    <row r="628" spans="1:34" ht="13" customHeight="1">
      <c r="A628" s="8" t="s">
        <v>1592</v>
      </c>
      <c r="B628" s="16">
        <v>41</v>
      </c>
      <c r="C628" s="8" t="s">
        <v>20</v>
      </c>
      <c r="D628" s="8" t="s">
        <v>85</v>
      </c>
      <c r="E628" s="8" t="s">
        <v>21235</v>
      </c>
      <c r="F628" s="17">
        <v>42180</v>
      </c>
      <c r="G628" s="8" t="s">
        <v>1593</v>
      </c>
      <c r="H628" s="8" t="s">
        <v>1594</v>
      </c>
      <c r="I628" s="8" t="s">
        <v>52</v>
      </c>
      <c r="J628" s="16" t="s">
        <v>1595</v>
      </c>
      <c r="K628" s="2" t="s">
        <v>1596</v>
      </c>
      <c r="L628" s="8" t="s">
        <v>231</v>
      </c>
      <c r="M628" s="8" t="s">
        <v>27</v>
      </c>
      <c r="N628" s="2" t="s">
        <v>1597</v>
      </c>
      <c r="O628" s="8" t="s">
        <v>400</v>
      </c>
      <c r="P628" s="8" t="s">
        <v>401</v>
      </c>
      <c r="Q628" s="12" t="str">
        <f>HYPERLINK("http://www.baltimoresun.com/news/maryland/crime/blog/bs-md-baltimore-county-0628-20150627-story.html","http://www.baltimoresun.com/news/maryland/crime/blog/bs-md-baltimore-county-0628-20150627-story.html")</f>
        <v>http://www.baltimoresun.com/news/maryland/crime/blog/bs-md-baltimore-county-0628-20150627-story.html</v>
      </c>
      <c r="R628" s="8" t="s">
        <v>100</v>
      </c>
      <c r="S628" s="8" t="s">
        <v>18</v>
      </c>
      <c r="T628" s="6"/>
      <c r="U628" s="8"/>
    </row>
    <row r="629" spans="1:34" ht="13" customHeight="1">
      <c r="A629" s="8" t="s">
        <v>1598</v>
      </c>
      <c r="B629" s="16">
        <v>61</v>
      </c>
      <c r="C629" s="8" t="s">
        <v>20</v>
      </c>
      <c r="D629" s="8" t="s">
        <v>37</v>
      </c>
      <c r="F629" s="17">
        <v>42180</v>
      </c>
      <c r="G629" s="8" t="s">
        <v>1599</v>
      </c>
      <c r="H629" s="8" t="s">
        <v>1600</v>
      </c>
      <c r="I629" s="8" t="s">
        <v>45</v>
      </c>
      <c r="J629" s="16" t="s">
        <v>1601</v>
      </c>
      <c r="K629" s="2" t="s">
        <v>200</v>
      </c>
      <c r="L629" s="8" t="s">
        <v>1602</v>
      </c>
      <c r="M629" s="8" t="s">
        <v>27</v>
      </c>
      <c r="N629" s="2" t="s">
        <v>1603</v>
      </c>
      <c r="O629" s="8" t="s">
        <v>400</v>
      </c>
      <c r="P629" s="8" t="s">
        <v>401</v>
      </c>
      <c r="Q629" s="12" t="str">
        <f>HYPERLINK("http://abc30.com/news/man-wanted-after-deadly-fresno-county-deputy-involved-shooting-identified/808781/","http://abc30.com/news/man-wanted-after-deadly-fresno-county-deputy-involved-shooting-identified/808781/")</f>
        <v>http://abc30.com/news/man-wanted-after-deadly-fresno-county-deputy-involved-shooting-identified/808781/</v>
      </c>
      <c r="R629" s="8" t="s">
        <v>100</v>
      </c>
      <c r="S629" s="8" t="s">
        <v>28</v>
      </c>
      <c r="T629" s="6"/>
      <c r="U629" s="8"/>
    </row>
    <row r="630" spans="1:34" ht="13" customHeight="1">
      <c r="A630" s="8" t="s">
        <v>1604</v>
      </c>
      <c r="B630" s="16">
        <v>26</v>
      </c>
      <c r="C630" s="8" t="s">
        <v>20</v>
      </c>
      <c r="D630" s="8" t="s">
        <v>85</v>
      </c>
      <c r="E630" s="8" t="str">
        <f>HYPERLINK("http://www.gannett-cdn.com/-mm-/8334042135d7f679c06190b7cdf533ced74a407e/c=15-0-465-600&amp;r=537&amp;c=0-0-534-712/local/-/media/2015/06/24/WVEC/WVEC/635707581920059394-DamienAlexanderHarrell.jpg","http://www.gannett-cdn.com/-mm-/8334042135d7f679c06190b7cdf533ced74a407e/c=15-0-465-600&amp;r=537&amp;c=0-0-534-712/local/-/media/2015/06/24/WVEC/WVEC/635707581920059394-DamienAlexanderHarrell.jpg")</f>
        <v>http://www.gannett-cdn.com/-mm-/8334042135d7f679c06190b7cdf533ced74a407e/c=15-0-465-600&amp;r=537&amp;c=0-0-534-712/local/-/media/2015/06/24/WVEC/WVEC/635707581920059394-DamienAlexanderHarrell.jpg</v>
      </c>
      <c r="F630" s="17">
        <v>42179</v>
      </c>
      <c r="G630" s="8" t="s">
        <v>1605</v>
      </c>
      <c r="H630" s="8" t="s">
        <v>1606</v>
      </c>
      <c r="I630" s="8" t="s">
        <v>244</v>
      </c>
      <c r="J630" s="16" t="s">
        <v>1607</v>
      </c>
      <c r="K630" s="2" t="s">
        <v>1608</v>
      </c>
      <c r="L630" s="8" t="s">
        <v>1609</v>
      </c>
      <c r="M630" s="8" t="s">
        <v>27</v>
      </c>
      <c r="N630" s="2" t="s">
        <v>1610</v>
      </c>
      <c r="O630" s="8" t="s">
        <v>400</v>
      </c>
      <c r="P630" s="8" t="s">
        <v>401</v>
      </c>
      <c r="Q630" s="12" t="str">
        <f>HYPERLINK("http://www.13newsnow.com/story/news/local/peninsulanow/2015/06/24/incident-closes-part-of-ft-eustis-blvd-in-york-co/29204021/","http://www.13newsnow.com/story/news/local/peninsulanow/2015/06/24/incident-closes-part-of-ft-eustis-blvd-in-york-co/29204021/")</f>
        <v>http://www.13newsnow.com/story/news/local/peninsulanow/2015/06/24/incident-closes-part-of-ft-eustis-blvd-in-york-co/29204021/</v>
      </c>
      <c r="R630" s="8" t="s">
        <v>29</v>
      </c>
      <c r="S630" s="8" t="s">
        <v>28</v>
      </c>
      <c r="T630" s="6"/>
      <c r="U630" s="8"/>
      <c r="V630" s="8"/>
      <c r="W630" s="8"/>
      <c r="X630" s="8"/>
    </row>
    <row r="631" spans="1:34" ht="13" customHeight="1">
      <c r="A631" s="8" t="s">
        <v>1611</v>
      </c>
      <c r="B631" s="16">
        <v>22</v>
      </c>
      <c r="C631" s="8" t="s">
        <v>20</v>
      </c>
      <c r="D631" s="8" t="s">
        <v>37</v>
      </c>
      <c r="F631" s="17">
        <v>42178</v>
      </c>
      <c r="G631" s="8" t="s">
        <v>1612</v>
      </c>
      <c r="H631" s="8" t="s">
        <v>1613</v>
      </c>
      <c r="I631" s="8" t="s">
        <v>363</v>
      </c>
      <c r="J631" s="16" t="s">
        <v>1614</v>
      </c>
      <c r="K631" s="2" t="s">
        <v>1615</v>
      </c>
      <c r="L631" s="8" t="s">
        <v>1616</v>
      </c>
      <c r="M631" s="8" t="s">
        <v>27</v>
      </c>
      <c r="N631" s="2" t="s">
        <v>1617</v>
      </c>
      <c r="O631" s="8" t="s">
        <v>400</v>
      </c>
      <c r="P631" s="8" t="s">
        <v>401</v>
      </c>
      <c r="Q631" s="12" t="str">
        <f>HYPERLINK("http://www.kansas.com/news/local/article25221067.html","http://www.kansas.com/news/local/article25221067.html")</f>
        <v>http://www.kansas.com/news/local/article25221067.html</v>
      </c>
      <c r="R631" s="8" t="s">
        <v>29</v>
      </c>
      <c r="S631" s="8" t="s">
        <v>28</v>
      </c>
      <c r="T631" s="6"/>
      <c r="U631" s="8"/>
    </row>
    <row r="632" spans="1:34" ht="13" customHeight="1">
      <c r="A632" s="8" t="s">
        <v>1629</v>
      </c>
      <c r="B632" s="16">
        <v>32</v>
      </c>
      <c r="C632" s="8" t="s">
        <v>20</v>
      </c>
      <c r="D632" s="8" t="s">
        <v>37</v>
      </c>
      <c r="E632" s="8" t="str">
        <f>HYPERLINK("http://bloximages.newyork1.vip.townnews.com/omaha.com/content/tncms/assets/v3/editorial/d/d0/dd0b9724-19c9-11e5-93b4-936ae8b833ff/558991a743529.image.jpg","http://bloximages.newyork1.vip.townnews.com/omaha.com/content/tncms/assets/v3/editorial/d/d0/dd0b9724-19c9-11e5-93b4-936ae8b833ff/558991a743529.image.jpg")</f>
        <v>http://bloximages.newyork1.vip.townnews.com/omaha.com/content/tncms/assets/v3/editorial/d/d0/dd0b9724-19c9-11e5-93b4-936ae8b833ff/558991a743529.image.jpg</v>
      </c>
      <c r="F632" s="17">
        <v>42178</v>
      </c>
      <c r="G632" s="8" t="s">
        <v>1630</v>
      </c>
      <c r="H632" s="8" t="s">
        <v>1631</v>
      </c>
      <c r="I632" s="8" t="s">
        <v>463</v>
      </c>
      <c r="J632" s="16" t="s">
        <v>1632</v>
      </c>
      <c r="K632" s="2" t="s">
        <v>941</v>
      </c>
      <c r="L632" s="8" t="s">
        <v>1633</v>
      </c>
      <c r="M632" s="8" t="s">
        <v>27</v>
      </c>
      <c r="N632" s="2" t="s">
        <v>1634</v>
      </c>
      <c r="O632" s="8" t="s">
        <v>550</v>
      </c>
      <c r="P632" s="8" t="s">
        <v>401</v>
      </c>
      <c r="Q632" s="12" t="str">
        <f>HYPERLINK("http://journalstar.com/news/local/911/man-shot-by-deputy-has-died-sheriff-s-office-says/article_6edae1e6-0eba-5846-8dc1-79a7a3a032da.html","http://journalstar.com/news/local/911/man-shot-by-deputy-has-died-sheriff-s-office-says/article_6edae1e6-0eba-5846-8dc1-79a7a3a032da.html")</f>
        <v>http://journalstar.com/news/local/911/man-shot-by-deputy-has-died-sheriff-s-office-says/article_6edae1e6-0eba-5846-8dc1-79a7a3a032da.html</v>
      </c>
      <c r="R632" s="8" t="s">
        <v>100</v>
      </c>
      <c r="S632" s="7" t="s">
        <v>28</v>
      </c>
      <c r="T632" s="7"/>
      <c r="U632" s="8"/>
    </row>
    <row r="633" spans="1:34" ht="13" customHeight="1">
      <c r="A633" s="8" t="s">
        <v>1622</v>
      </c>
      <c r="B633" s="16">
        <v>49</v>
      </c>
      <c r="C633" s="8" t="s">
        <v>20</v>
      </c>
      <c r="D633" s="8" t="s">
        <v>37</v>
      </c>
      <c r="E633" s="8" t="str">
        <f>HYPERLINK("http://bloximages.chicago2.vip.townnews.com/weatherforddemocrat.com/content/tncms/assets/v3/editorial/c/9c/c9c251be-1a8f-11e5-9a9f-0358863fe83b/558addd0ba8d6.image.jpg?resize=300%2C300","http://bloximages.chicago2.vip.townnews.com/weatherforddemocrat.com/content/tncms/assets/v3/editorial/c/9c/c9c251be-1a8f-11e5-9a9f-0358863fe83b/558addd0ba8d6.image.jpg?resize=300%2C300")</f>
        <v>http://bloximages.chicago2.vip.townnews.com/weatherforddemocrat.com/content/tncms/assets/v3/editorial/c/9c/c9c251be-1a8f-11e5-9a9f-0358863fe83b/558addd0ba8d6.image.jpg?resize=300%2C300</v>
      </c>
      <c r="F633" s="17">
        <v>42178</v>
      </c>
      <c r="G633" s="8" t="s">
        <v>1623</v>
      </c>
      <c r="H633" s="8" t="s">
        <v>1624</v>
      </c>
      <c r="I633" s="8" t="s">
        <v>73</v>
      </c>
      <c r="J633" s="16" t="s">
        <v>1625</v>
      </c>
      <c r="K633" s="2" t="s">
        <v>1626</v>
      </c>
      <c r="L633" s="8" t="s">
        <v>1627</v>
      </c>
      <c r="M633" s="8" t="s">
        <v>27</v>
      </c>
      <c r="N633" s="2" t="s">
        <v>1628</v>
      </c>
      <c r="O633" s="8" t="s">
        <v>400</v>
      </c>
      <c r="P633" s="8" t="s">
        <v>401</v>
      </c>
      <c r="Q633" s="12" t="str">
        <f>HYPERLINK("http://www.star-telegram.com/news/local/community/fort-worth/article25340344.html","http://www.star-telegram.com/news/local/community/fort-worth/article25340344.html")</f>
        <v>http://www.star-telegram.com/news/local/community/fort-worth/article25340344.html</v>
      </c>
      <c r="R633" s="8" t="s">
        <v>555</v>
      </c>
      <c r="S633" s="8" t="s">
        <v>28</v>
      </c>
      <c r="T633" s="6"/>
      <c r="U633" s="8"/>
    </row>
    <row r="634" spans="1:34" ht="13" customHeight="1">
      <c r="A634" s="8" t="s">
        <v>1618</v>
      </c>
      <c r="B634" s="16">
        <v>34</v>
      </c>
      <c r="C634" s="8" t="s">
        <v>20</v>
      </c>
      <c r="D634" s="8" t="s">
        <v>37</v>
      </c>
      <c r="F634" s="17">
        <v>42178</v>
      </c>
      <c r="G634" s="8" t="s">
        <v>1619</v>
      </c>
      <c r="H634" s="8" t="s">
        <v>216</v>
      </c>
      <c r="I634" s="8" t="s">
        <v>217</v>
      </c>
      <c r="J634" s="16" t="s">
        <v>1620</v>
      </c>
      <c r="K634" s="2" t="s">
        <v>420</v>
      </c>
      <c r="L634" s="8" t="s">
        <v>218</v>
      </c>
      <c r="M634" s="8" t="s">
        <v>27</v>
      </c>
      <c r="N634" s="2" t="s">
        <v>1621</v>
      </c>
      <c r="O634" s="8" t="s">
        <v>400</v>
      </c>
      <c r="P634" s="8" t="s">
        <v>401</v>
      </c>
      <c r="Q634" s="12" t="str">
        <f>HYPERLINK("http://www.wthr.com/story/29391400/impd-officer-involved-in-shooting-after-short-pursuit","http://www.wthr.com/story/29391400/impd-officer-involved-in-shooting-after-short-pursuit")</f>
        <v>http://www.wthr.com/story/29391400/impd-officer-involved-in-shooting-after-short-pursuit</v>
      </c>
      <c r="R634" s="8" t="s">
        <v>29</v>
      </c>
      <c r="S634" s="8" t="s">
        <v>18</v>
      </c>
      <c r="T634" s="6"/>
      <c r="U634" s="8"/>
    </row>
    <row r="635" spans="1:34" ht="13" customHeight="1">
      <c r="A635" s="8" t="s">
        <v>1635</v>
      </c>
      <c r="B635" s="16">
        <v>20</v>
      </c>
      <c r="C635" s="8" t="s">
        <v>20</v>
      </c>
      <c r="D635" s="8" t="s">
        <v>85</v>
      </c>
      <c r="E635" s="8" t="str">
        <f>HYPERLINK("http://www.post-gazette.com/image/2015/06/23/420x_q90_cMC_z_ca0,37,614,753/HarrisTyrone.jpg","http://www.post-gazette.com/image/2015/06/23/420x_q90_cMC_z_ca0,37,614,753/HarrisTyrone.jpg")</f>
        <v>http://www.post-gazette.com/image/2015/06/23/420x_q90_cMC_z_ca0,37,614,753/HarrisTyrone.jpg</v>
      </c>
      <c r="F635" s="17">
        <v>42177</v>
      </c>
      <c r="G635" s="8" t="s">
        <v>1636</v>
      </c>
      <c r="H635" s="8" t="s">
        <v>1637</v>
      </c>
      <c r="I635" s="8" t="s">
        <v>404</v>
      </c>
      <c r="J635" s="16" t="s">
        <v>1638</v>
      </c>
      <c r="K635" s="2" t="s">
        <v>1639</v>
      </c>
      <c r="L635" s="8" t="s">
        <v>1640</v>
      </c>
      <c r="M635" s="8" t="s">
        <v>27</v>
      </c>
      <c r="N635" s="2" t="s">
        <v>1641</v>
      </c>
      <c r="O635" s="8" t="s">
        <v>400</v>
      </c>
      <c r="P635" s="8" t="s">
        <v>401</v>
      </c>
      <c r="Q635" s="12" t="str">
        <f>HYPERLINK("http://www.post-gazette.com/local/city/2015/06/22/Shooting-incident-blocks-traffic-on-Route-51-near-Bausman-pittsburgh/stories/201506220143","http://www.post-gazette.com/local/city/2015/06/22/Shooting-incident-blocks-traffic-on-Route-51-near-Bausman-pittsburgh/stories/201506220143")</f>
        <v>http://www.post-gazette.com/local/city/2015/06/22/Shooting-incident-blocks-traffic-on-Route-51-near-Bausman-pittsburgh/stories/201506220143</v>
      </c>
      <c r="R635" s="8" t="s">
        <v>29</v>
      </c>
      <c r="S635" s="8" t="s">
        <v>28</v>
      </c>
      <c r="T635" s="6"/>
      <c r="U635" s="8"/>
    </row>
    <row r="636" spans="1:34" ht="13" customHeight="1">
      <c r="A636" s="8" t="s">
        <v>1642</v>
      </c>
      <c r="B636" s="16">
        <v>35</v>
      </c>
      <c r="C636" s="8" t="s">
        <v>20</v>
      </c>
      <c r="D636" s="8" t="s">
        <v>48</v>
      </c>
      <c r="F636" s="17">
        <v>42177</v>
      </c>
      <c r="G636" s="8" t="s">
        <v>1643</v>
      </c>
      <c r="H636" s="8" t="s">
        <v>1644</v>
      </c>
      <c r="I636" s="8" t="s">
        <v>45</v>
      </c>
      <c r="J636" s="16" t="s">
        <v>1645</v>
      </c>
      <c r="K636" s="2" t="s">
        <v>1646</v>
      </c>
      <c r="L636" s="8" t="s">
        <v>1647</v>
      </c>
      <c r="M636" s="8" t="s">
        <v>27</v>
      </c>
      <c r="N636" s="2" t="s">
        <v>1648</v>
      </c>
      <c r="O636" s="8" t="s">
        <v>400</v>
      </c>
      <c r="P636" s="8" t="s">
        <v>401</v>
      </c>
      <c r="Q636" s="12" t="str">
        <f>HYPERLINK("http://www.sacbee.com/news/local/crime/article25297567.html","http://www.sacbee.com/news/local/crime/article25297567.html")</f>
        <v>http://www.sacbee.com/news/local/crime/article25297567.html</v>
      </c>
      <c r="R636" s="8" t="s">
        <v>29</v>
      </c>
      <c r="S636" s="8" t="s">
        <v>28</v>
      </c>
      <c r="T636" s="6"/>
      <c r="U636" s="8"/>
    </row>
    <row r="637" spans="1:34" ht="13" customHeight="1">
      <c r="A637" s="8" t="s">
        <v>1649</v>
      </c>
      <c r="B637" s="16">
        <v>30</v>
      </c>
      <c r="C637" s="8" t="s">
        <v>20</v>
      </c>
      <c r="D637" s="8" t="s">
        <v>37</v>
      </c>
      <c r="E637" s="8" t="str">
        <f>HYPERLINK("http://chronicle.augusta.com/sites/default/files/imagecache/superphoto/14501857.jpg","http://chronicle.augusta.com/sites/default/files/imagecache/superphoto/14501857.jpg")</f>
        <v>http://chronicle.augusta.com/sites/default/files/imagecache/superphoto/14501857.jpg</v>
      </c>
      <c r="F637" s="17">
        <v>42177</v>
      </c>
      <c r="G637" s="8" t="s">
        <v>1650</v>
      </c>
      <c r="H637" s="8" t="s">
        <v>1651</v>
      </c>
      <c r="I637" s="8" t="s">
        <v>173</v>
      </c>
      <c r="J637" s="16" t="s">
        <v>1652</v>
      </c>
      <c r="K637" s="2" t="s">
        <v>877</v>
      </c>
      <c r="L637" s="8" t="s">
        <v>1653</v>
      </c>
      <c r="M637" s="8" t="s">
        <v>27</v>
      </c>
      <c r="N637" s="2" t="s">
        <v>1654</v>
      </c>
      <c r="O637" s="8" t="s">
        <v>400</v>
      </c>
      <c r="P637" s="8" t="s">
        <v>401</v>
      </c>
      <c r="Q637" s="12" t="str">
        <f>HYPERLINK("http://chronicle.augusta.com/news/crime-courts/2015-06-23/deputy-shoots-man-who-had-rifle-standoff-victim-died-monday-georgia","http://chronicle.augusta.com/news/crime-courts/2015-06-23/deputy-shoots-man-who-had-rifle-standoff-victim-died-monday-georgia")</f>
        <v>http://chronicle.augusta.com/news/crime-courts/2015-06-23/deputy-shoots-man-who-had-rifle-standoff-victim-died-monday-georgia</v>
      </c>
      <c r="R637" s="8" t="s">
        <v>29</v>
      </c>
      <c r="S637" s="8" t="s">
        <v>28</v>
      </c>
      <c r="T637" s="6"/>
      <c r="U637" s="8"/>
    </row>
    <row r="638" spans="1:34" ht="13" customHeight="1">
      <c r="A638" s="8" t="s">
        <v>1655</v>
      </c>
      <c r="B638" s="16">
        <v>60</v>
      </c>
      <c r="C638" s="8" t="s">
        <v>20</v>
      </c>
      <c r="D638" s="8" t="s">
        <v>37</v>
      </c>
      <c r="E638" s="8" t="str">
        <f>HYPERLINK("http://bloximages.newyork1.vip.townnews.com/journalnow.com/content/tncms/assets/v3/editorial/4/1f/41fb4001-cb7b-5850-8587-b8e9677b73a9/558828f92bfd8.image.jpg","http://bloximages.newyork1.vip.townnews.com/journalnow.com/content/tncms/assets/v3/editorial/4/1f/41fb4001-cb7b-5850-8587-b8e9677b73a9/558828f92bfd8.image.jpg")</f>
        <v>http://bloximages.newyork1.vip.townnews.com/journalnow.com/content/tncms/assets/v3/editorial/4/1f/41fb4001-cb7b-5850-8587-b8e9677b73a9/558828f92bfd8.image.jpg</v>
      </c>
      <c r="F638" s="17">
        <v>42177</v>
      </c>
      <c r="G638" s="8" t="s">
        <v>1656</v>
      </c>
      <c r="H638" s="8" t="s">
        <v>1657</v>
      </c>
      <c r="I638" s="8" t="s">
        <v>366</v>
      </c>
      <c r="J638" s="16" t="s">
        <v>1658</v>
      </c>
      <c r="K638" s="2" t="s">
        <v>1659</v>
      </c>
      <c r="L638" s="8" t="s">
        <v>1660</v>
      </c>
      <c r="M638" s="8" t="s">
        <v>27</v>
      </c>
      <c r="N638" s="2" t="s">
        <v>1661</v>
      </c>
      <c r="O638" s="8" t="s">
        <v>400</v>
      </c>
      <c r="P638" s="8" t="s">
        <v>401</v>
      </c>
      <c r="Q638" s="12" t="str">
        <f>HYPERLINK("http://www.wxii12.com/news/sheriffs-deputy-shot-in-wilkes-county/33705684","http://www.wxii12.com/news/sheriffs-deputy-shot-in-wilkes-county/33705684")</f>
        <v>http://www.wxii12.com/news/sheriffs-deputy-shot-in-wilkes-county/33705684</v>
      </c>
      <c r="R638" s="8" t="s">
        <v>100</v>
      </c>
      <c r="S638" s="8" t="s">
        <v>28</v>
      </c>
      <c r="T638" s="6"/>
      <c r="U638" s="8"/>
    </row>
    <row r="639" spans="1:34" ht="13" customHeight="1">
      <c r="A639" s="8" t="s">
        <v>1669</v>
      </c>
      <c r="B639" s="16">
        <v>24</v>
      </c>
      <c r="C639" s="8" t="s">
        <v>20</v>
      </c>
      <c r="D639" s="8" t="s">
        <v>48</v>
      </c>
      <c r="E639" s="8" t="str">
        <f>HYPERLINK("http://homicide.latimes.com.s3.amazonaws.com/media/homicide/72c81404-df51-4024-b054-47809e5bc39a.jpeg","http://homicide.latimes.com.s3.amazonaws.com/media/homicide/72c81404-df51-4024-b054-47809e5bc39a.jpeg")</f>
        <v>http://homicide.latimes.com.s3.amazonaws.com/media/homicide/72c81404-df51-4024-b054-47809e5bc39a.jpeg</v>
      </c>
      <c r="F639" s="17">
        <v>42176</v>
      </c>
      <c r="G639" s="8" t="s">
        <v>1670</v>
      </c>
      <c r="H639" s="8" t="s">
        <v>1671</v>
      </c>
      <c r="I639" s="8" t="s">
        <v>45</v>
      </c>
      <c r="J639" s="16" t="s">
        <v>1672</v>
      </c>
      <c r="K639" s="2" t="s">
        <v>98</v>
      </c>
      <c r="L639" s="8" t="s">
        <v>1673</v>
      </c>
      <c r="M639" s="8" t="s">
        <v>27</v>
      </c>
      <c r="N639" s="2" t="s">
        <v>1674</v>
      </c>
      <c r="O639" s="8" t="s">
        <v>400</v>
      </c>
      <c r="P639" s="8" t="s">
        <v>401</v>
      </c>
      <c r="Q639" s="12" t="str">
        <f>HYPERLINK("http://homicide.latimes.com/post/adrian-simental/","http://homicide.latimes.com/post/adrian-simental/")</f>
        <v>http://homicide.latimes.com/post/adrian-simental/</v>
      </c>
      <c r="R639" s="8" t="s">
        <v>29</v>
      </c>
      <c r="S639" s="8" t="s">
        <v>35</v>
      </c>
      <c r="T639" s="6"/>
      <c r="U639" s="8"/>
      <c r="Y639" s="8"/>
      <c r="Z639" s="8"/>
      <c r="AA639" s="8"/>
      <c r="AB639" s="8"/>
      <c r="AC639" s="8"/>
      <c r="AD639" s="8"/>
      <c r="AE639" s="8"/>
      <c r="AF639" s="8"/>
      <c r="AG639" s="8"/>
      <c r="AH639" s="8"/>
    </row>
    <row r="640" spans="1:34" ht="13" customHeight="1">
      <c r="A640" s="8" t="s">
        <v>1662</v>
      </c>
      <c r="B640" s="16">
        <v>23</v>
      </c>
      <c r="C640" s="8" t="s">
        <v>20</v>
      </c>
      <c r="D640" s="8" t="s">
        <v>48</v>
      </c>
      <c r="E640" s="8" t="str">
        <f>HYPERLINK("http://www.gannett-cdn.com/-mm-/9084052019203598504c1c2c8d284ed18b0eeeb0/c=95-0-659-424&amp;r=x404&amp;c=534x401/local/-/media/2015/06/25/KTVB/KTVB/635708443303175916-Allen-Hernandez.jpg","http://www.gannett-cdn.com/-mm-/9084052019203598504c1c2c8d284ed18b0eeeb0/c=95-0-659-424&amp;r=x404&amp;c=534x401/local/-/media/2015/06/25/KTVB/KTVB/635708443303175916-Allen-Hernandez.jpg")</f>
        <v>http://www.gannett-cdn.com/-mm-/9084052019203598504c1c2c8d284ed18b0eeeb0/c=95-0-659-424&amp;r=x404&amp;c=534x401/local/-/media/2015/06/25/KTVB/KTVB/635708443303175916-Allen-Hernandez.jpg</v>
      </c>
      <c r="F640" s="17">
        <v>42176</v>
      </c>
      <c r="G640" s="8" t="s">
        <v>1663</v>
      </c>
      <c r="H640" s="8" t="s">
        <v>1664</v>
      </c>
      <c r="I640" s="8" t="s">
        <v>793</v>
      </c>
      <c r="J640" s="16" t="s">
        <v>1665</v>
      </c>
      <c r="K640" s="2" t="s">
        <v>1666</v>
      </c>
      <c r="L640" s="8" t="s">
        <v>1667</v>
      </c>
      <c r="M640" t="s">
        <v>2297</v>
      </c>
      <c r="N640" s="2" t="s">
        <v>1668</v>
      </c>
      <c r="O640" s="8" t="s">
        <v>400</v>
      </c>
      <c r="P640" s="8" t="s">
        <v>401</v>
      </c>
      <c r="Q640" s="12" t="str">
        <f>HYPERLINK("http://www.ktvb.com/story/news/crime/2015/06/25/allen--hernandez-owyhee-sheriff/29283099/","http://www.ktvb.com/story/news/crime/2015/06/25/allen--hernandez-owyhee-sheriff/29283099/")</f>
        <v>http://www.ktvb.com/story/news/crime/2015/06/25/allen--hernandez-owyhee-sheriff/29283099/</v>
      </c>
      <c r="R640" s="8" t="s">
        <v>100</v>
      </c>
      <c r="S640" s="8" t="s">
        <v>18</v>
      </c>
      <c r="T640" s="6"/>
      <c r="U640" s="8"/>
    </row>
    <row r="641" spans="1:34" ht="13" customHeight="1">
      <c r="A641" s="8" t="s">
        <v>1675</v>
      </c>
      <c r="B641" s="16">
        <v>49</v>
      </c>
      <c r="C641" s="8" t="s">
        <v>20</v>
      </c>
      <c r="D641" s="8" t="s">
        <v>37</v>
      </c>
      <c r="E641" s="8" t="str">
        <f>HYPERLINK("http://d3trabu2dfbdfb.cloudfront.net/4/6/4658528_300x300.jpeg","http://d3trabu2dfbdfb.cloudfront.net/4/6/4658528_300x300.jpeg")</f>
        <v>http://d3trabu2dfbdfb.cloudfront.net/4/6/4658528_300x300.jpeg</v>
      </c>
      <c r="F641" s="17">
        <v>42176</v>
      </c>
      <c r="G641" s="8" t="s">
        <v>1676</v>
      </c>
      <c r="H641" s="8" t="s">
        <v>726</v>
      </c>
      <c r="I641" s="8" t="s">
        <v>73</v>
      </c>
      <c r="J641" s="16" t="s">
        <v>1677</v>
      </c>
      <c r="K641" s="2" t="s">
        <v>558</v>
      </c>
      <c r="L641" s="8" t="s">
        <v>559</v>
      </c>
      <c r="M641" s="8" t="s">
        <v>27</v>
      </c>
      <c r="N641" s="2" t="s">
        <v>1678</v>
      </c>
      <c r="O641" s="8" t="s">
        <v>400</v>
      </c>
      <c r="P641" s="8" t="s">
        <v>401</v>
      </c>
      <c r="Q641" s="12" t="str">
        <f>HYPERLINK("http://www.chron.com/news/houston-texas/article/Deputy-fatally-shoots-man-after-he-charges-6340675.php","http://www.chron.com/news/houston-texas/article/Deputy-fatally-shoots-man-after-he-charges-6340675.php")</f>
        <v>http://www.chron.com/news/houston-texas/article/Deputy-fatally-shoots-man-after-he-charges-6340675.php</v>
      </c>
      <c r="R641" s="8" t="s">
        <v>967</v>
      </c>
      <c r="S641" s="8" t="s">
        <v>28</v>
      </c>
      <c r="T641" s="6"/>
      <c r="U641" s="8"/>
    </row>
    <row r="642" spans="1:34" ht="13" customHeight="1">
      <c r="A642" s="8" t="s">
        <v>1679</v>
      </c>
      <c r="B642" s="16">
        <v>23</v>
      </c>
      <c r="C642" s="8" t="s">
        <v>20</v>
      </c>
      <c r="D642" s="8" t="s">
        <v>85</v>
      </c>
      <c r="F642" s="17">
        <v>42175</v>
      </c>
      <c r="G642" s="8" t="s">
        <v>1680</v>
      </c>
      <c r="H642" s="8" t="s">
        <v>87</v>
      </c>
      <c r="I642" s="8" t="s">
        <v>44</v>
      </c>
      <c r="J642" s="16" t="s">
        <v>1681</v>
      </c>
      <c r="K642" s="2" t="s">
        <v>88</v>
      </c>
      <c r="L642" s="8" t="s">
        <v>89</v>
      </c>
      <c r="M642" s="8" t="s">
        <v>27</v>
      </c>
      <c r="N642" s="2" t="s">
        <v>1682</v>
      </c>
      <c r="O642" s="8" t="s">
        <v>400</v>
      </c>
      <c r="P642" s="8" t="s">
        <v>401</v>
      </c>
      <c r="Q642" s="12" t="str">
        <f>HYPERLINK("http://www.chicagotribune.com/news/local/breaking/ct-alfontish-cockerham-shot-by-police-20150626-story.html","http://www.chicagotribune.com/news/local/breaking/ct-alfontish-cockerham-shot-by-police-20150626-story.html")</f>
        <v>http://www.chicagotribune.com/news/local/breaking/ct-alfontish-cockerham-shot-by-police-20150626-story.html</v>
      </c>
      <c r="R642" s="8" t="s">
        <v>100</v>
      </c>
      <c r="S642" s="8" t="s">
        <v>28</v>
      </c>
      <c r="T642" s="6"/>
      <c r="U642" s="8"/>
    </row>
    <row r="643" spans="1:34" ht="13" customHeight="1">
      <c r="A643" s="8" t="s">
        <v>1689</v>
      </c>
      <c r="B643" s="16">
        <v>21</v>
      </c>
      <c r="C643" s="8" t="s">
        <v>20</v>
      </c>
      <c r="D643" s="8" t="s">
        <v>85</v>
      </c>
      <c r="E643" s="8" t="str">
        <f>HYPERLINK("http://ak-cache.legacy.net/legacy/images/cobrands/birmingham/Photos/photo_20150625_AL0069125_0_danteljelks2015_20150625.jpg?v=0x00000000308a6237","http://ak-cache.legacy.net/legacy/images/cobrands/birmingham/Photos/photo_20150625_AL0069125_0_danteljelks2015_20150625.jpg?v=0x00000000308a6237")</f>
        <v>http://ak-cache.legacy.net/legacy/images/cobrands/birmingham/Photos/photo_20150625_AL0069125_0_danteljelks2015_20150625.jpg?v=0x00000000308a6237</v>
      </c>
      <c r="F643" s="17">
        <v>42175</v>
      </c>
      <c r="G643" s="8" t="s">
        <v>1690</v>
      </c>
      <c r="H643" s="8" t="s">
        <v>1691</v>
      </c>
      <c r="I643" s="8" t="s">
        <v>94</v>
      </c>
      <c r="J643" s="16" t="s">
        <v>1692</v>
      </c>
      <c r="K643" s="2" t="s">
        <v>708</v>
      </c>
      <c r="L643" s="8" t="s">
        <v>1693</v>
      </c>
      <c r="M643" s="8" t="s">
        <v>391</v>
      </c>
      <c r="N643" s="2" t="s">
        <v>1694</v>
      </c>
      <c r="O643" s="8" t="s">
        <v>400</v>
      </c>
      <c r="P643" s="8" t="s">
        <v>401</v>
      </c>
      <c r="Q643" s="12" t="str">
        <f>HYPERLINK("http://www.tuscaloosanews.com/article/20150622/news/150629934?p=1&amp;tc=pg","http://www.tuscaloosanews.com/article/20150622/news/150629934?p=1&amp;tc=pg")</f>
        <v>http://www.tuscaloosanews.com/article/20150622/news/150629934?p=1&amp;tc=pg</v>
      </c>
      <c r="R643" s="8" t="s">
        <v>100</v>
      </c>
      <c r="S643" s="7" t="s">
        <v>18</v>
      </c>
      <c r="T643" s="7"/>
      <c r="U643" s="8"/>
    </row>
    <row r="644" spans="1:34" ht="13" customHeight="1">
      <c r="A644" s="8" t="s">
        <v>1683</v>
      </c>
      <c r="B644" s="16">
        <v>32</v>
      </c>
      <c r="C644" s="8" t="s">
        <v>20</v>
      </c>
      <c r="D644" s="8" t="s">
        <v>85</v>
      </c>
      <c r="F644" s="17">
        <v>42175</v>
      </c>
      <c r="G644" s="8" t="s">
        <v>1684</v>
      </c>
      <c r="H644" s="8" t="s">
        <v>189</v>
      </c>
      <c r="I644" s="8" t="s">
        <v>25</v>
      </c>
      <c r="J644" s="16" t="s">
        <v>1685</v>
      </c>
      <c r="K644" s="2" t="s">
        <v>1686</v>
      </c>
      <c r="L644" s="8" t="s">
        <v>1687</v>
      </c>
      <c r="M644" s="8" t="s">
        <v>391</v>
      </c>
      <c r="N644" s="2" t="s">
        <v>1688</v>
      </c>
      <c r="O644" s="8" t="s">
        <v>400</v>
      </c>
      <c r="P644" s="8" t="s">
        <v>401</v>
      </c>
      <c r="Q644" s="12" t="str">
        <f>HYPERLINK("http://theadvocate.com/news/12712188-123/father-at-a-loss-for","http://theadvocate.com/news/12712188-123/father-at-a-loss-for")</f>
        <v>http://theadvocate.com/news/12712188-123/father-at-a-loss-for</v>
      </c>
      <c r="R644" s="8" t="s">
        <v>967</v>
      </c>
      <c r="S644" s="8" t="s">
        <v>18</v>
      </c>
      <c r="T644" s="6"/>
      <c r="U644" s="8"/>
    </row>
    <row r="645" spans="1:34" ht="13" customHeight="1">
      <c r="A645" s="8" t="s">
        <v>1695</v>
      </c>
      <c r="B645" s="16">
        <v>21</v>
      </c>
      <c r="C645" s="8" t="s">
        <v>20</v>
      </c>
      <c r="D645" s="8" t="s">
        <v>85</v>
      </c>
      <c r="E645" s="8" t="str">
        <f>HYPERLINK("http://www.gannett-cdn.com/-mm-/15e60ce64e0a486e11e80fc1732b57a8401a0831/c=1-0-179-238&amp;r=537&amp;c=0-0-534-712/local/-/media/2015/06/19/Cincinnati/B9317795377Z.1_20150619211539_000_GCBB4NLT3.1-0.jpg","http://www.gannett-cdn.com/-mm-/15e60ce64e0a486e11e80fc1732b57a8401a0831/c=1-0-179-238&amp;r=537&amp;c=0-0-534-712/local/-/media/2015/06/19/Cincinnati/B9317795377Z.1_20150619211539_000_GCBB4NLT3.1-0.jpg")</f>
        <v>http://www.gannett-cdn.com/-mm-/15e60ce64e0a486e11e80fc1732b57a8401a0831/c=1-0-179-238&amp;r=537&amp;c=0-0-534-712/local/-/media/2015/06/19/Cincinnati/B9317795377Z.1_20150619211539_000_GCBB4NLT3.1-0.jpg</v>
      </c>
      <c r="F645" s="17">
        <v>42174</v>
      </c>
      <c r="G645" s="8" t="s">
        <v>1696</v>
      </c>
      <c r="H645" s="8" t="s">
        <v>547</v>
      </c>
      <c r="I645" s="8" t="s">
        <v>69</v>
      </c>
      <c r="J645" s="16" t="s">
        <v>1697</v>
      </c>
      <c r="K645" s="2" t="s">
        <v>548</v>
      </c>
      <c r="L645" s="8" t="s">
        <v>549</v>
      </c>
      <c r="M645" s="8" t="s">
        <v>27</v>
      </c>
      <c r="N645" s="2" t="s">
        <v>1698</v>
      </c>
      <c r="O645" s="8" t="s">
        <v>400</v>
      </c>
      <c r="P645" s="8" t="s">
        <v>401</v>
      </c>
      <c r="Q645" s="12" t="str">
        <f>HYPERLINK("http://www.cincinnati.com/story/news/2015/06/19/trepierre-hummons-past/29018599/","http://www.cincinnati.com/story/news/2015/06/19/trepierre-hummons-past/29018599/")</f>
        <v>http://www.cincinnati.com/story/news/2015/06/19/trepierre-hummons-past/29018599/</v>
      </c>
      <c r="R645" s="8" t="s">
        <v>100</v>
      </c>
      <c r="S645" s="8" t="s">
        <v>28</v>
      </c>
      <c r="T645" s="6"/>
      <c r="U645" s="8"/>
    </row>
    <row r="646" spans="1:34" ht="13" customHeight="1">
      <c r="A646" s="8" t="s">
        <v>1699</v>
      </c>
      <c r="B646" s="16">
        <v>45</v>
      </c>
      <c r="C646" s="8" t="s">
        <v>20</v>
      </c>
      <c r="D646" s="8" t="s">
        <v>48</v>
      </c>
      <c r="F646" s="17">
        <v>42174</v>
      </c>
      <c r="G646" s="8" t="s">
        <v>1700</v>
      </c>
      <c r="H646" s="8" t="s">
        <v>1701</v>
      </c>
      <c r="I646" s="8" t="s">
        <v>46</v>
      </c>
      <c r="J646" s="16" t="s">
        <v>1702</v>
      </c>
      <c r="K646" s="2" t="s">
        <v>1703</v>
      </c>
      <c r="L646" s="8" t="s">
        <v>16633</v>
      </c>
      <c r="M646" s="8" t="s">
        <v>27</v>
      </c>
      <c r="N646" s="2" t="s">
        <v>1704</v>
      </c>
      <c r="O646" s="8" t="s">
        <v>400</v>
      </c>
      <c r="P646" s="8" t="s">
        <v>401</v>
      </c>
      <c r="Q646" s="12" t="str">
        <f>HYPERLINK("http://www.necn.com/news/new-england/Sister-Speaks-Out-About-Police-Involved-Shooting-308721631.html","http://www.necn.com/news/new-england/Sister-Speaks-Out-About-Police-Involved-Shooting-308721631.html")</f>
        <v>http://www.necn.com/news/new-england/Sister-Speaks-Out-About-Police-Involved-Shooting-308721631.html</v>
      </c>
      <c r="R646" s="8" t="s">
        <v>555</v>
      </c>
      <c r="S646" s="8" t="s">
        <v>28</v>
      </c>
      <c r="T646" s="6"/>
      <c r="U646" s="8"/>
    </row>
    <row r="647" spans="1:34" ht="13" customHeight="1">
      <c r="A647" s="8" t="s">
        <v>1705</v>
      </c>
      <c r="B647" s="16">
        <v>50</v>
      </c>
      <c r="C647" s="8" t="s">
        <v>20</v>
      </c>
      <c r="D647" s="8" t="s">
        <v>48</v>
      </c>
      <c r="F647" s="17">
        <v>42174</v>
      </c>
      <c r="G647" s="8" t="s">
        <v>1706</v>
      </c>
      <c r="H647" s="8" t="s">
        <v>1707</v>
      </c>
      <c r="I647" s="8" t="s">
        <v>209</v>
      </c>
      <c r="J647" s="16" t="s">
        <v>1708</v>
      </c>
      <c r="K647" s="2" t="s">
        <v>1709</v>
      </c>
      <c r="L647" s="8" t="s">
        <v>1710</v>
      </c>
      <c r="M647" s="8" t="s">
        <v>27</v>
      </c>
      <c r="N647" s="2" t="s">
        <v>1711</v>
      </c>
      <c r="O647" s="8" t="s">
        <v>400</v>
      </c>
      <c r="P647" s="8" t="s">
        <v>401</v>
      </c>
      <c r="Q647" s="12" t="str">
        <f>HYPERLINK("http://www.greeleytribune.com/news/16932384-113/weld-district-attorney-releases-names-of-man-woman","http://www.greeleytribune.com/news/16932384-113/weld-district-attorney-releases-names-of-man-woman")</f>
        <v>http://www.greeleytribune.com/news/16932384-113/weld-district-attorney-releases-names-of-man-woman</v>
      </c>
      <c r="R647" s="8" t="s">
        <v>100</v>
      </c>
      <c r="S647" s="8" t="s">
        <v>28</v>
      </c>
      <c r="T647" s="6"/>
      <c r="U647" s="8"/>
      <c r="Y647" s="8"/>
      <c r="Z647" s="8"/>
      <c r="AA647" s="8"/>
      <c r="AB647" s="8"/>
      <c r="AC647" s="8"/>
      <c r="AD647" s="8"/>
      <c r="AE647" s="8"/>
      <c r="AF647" s="8"/>
      <c r="AG647" s="8"/>
      <c r="AH647" s="8"/>
    </row>
    <row r="648" spans="1:34" ht="13" customHeight="1">
      <c r="A648" s="8" t="s">
        <v>1712</v>
      </c>
      <c r="B648" s="16">
        <v>58</v>
      </c>
      <c r="C648" s="8" t="s">
        <v>20</v>
      </c>
      <c r="D648" s="8" t="s">
        <v>37</v>
      </c>
      <c r="F648" s="17">
        <v>42173</v>
      </c>
      <c r="G648" s="8" t="s">
        <v>1713</v>
      </c>
      <c r="H648" s="8" t="s">
        <v>1714</v>
      </c>
      <c r="I648" s="8" t="s">
        <v>423</v>
      </c>
      <c r="J648" s="16" t="s">
        <v>1715</v>
      </c>
      <c r="K648" s="2" t="s">
        <v>1716</v>
      </c>
      <c r="L648" s="8" t="s">
        <v>582</v>
      </c>
      <c r="M648" s="8" t="s">
        <v>27</v>
      </c>
      <c r="N648" s="2" t="s">
        <v>1717</v>
      </c>
      <c r="O648" s="8" t="s">
        <v>400</v>
      </c>
      <c r="P648" s="8" t="s">
        <v>401</v>
      </c>
      <c r="Q648" s="12" t="str">
        <f>HYPERLINK("http://www.nydailynews.com/new-york/suspect-shot-killed-cops-stabbing-officer-police-article-1.2262745","http://www.nydailynews.com/new-york/suspect-shot-killed-cops-stabbing-officer-police-article-1.2262745")</f>
        <v>http://www.nydailynews.com/new-york/suspect-shot-killed-cops-stabbing-officer-police-article-1.2262745</v>
      </c>
      <c r="R648" s="8" t="s">
        <v>29</v>
      </c>
      <c r="S648" s="8" t="s">
        <v>28</v>
      </c>
      <c r="T648" s="6"/>
      <c r="U648" s="8"/>
    </row>
    <row r="649" spans="1:34" ht="13" customHeight="1">
      <c r="A649" s="8" t="s">
        <v>1718</v>
      </c>
      <c r="B649" s="16">
        <v>31</v>
      </c>
      <c r="C649" s="8" t="s">
        <v>20</v>
      </c>
      <c r="D649" s="8" t="s">
        <v>139</v>
      </c>
      <c r="F649" s="17">
        <v>42172</v>
      </c>
      <c r="G649" s="8" t="s">
        <v>29</v>
      </c>
      <c r="H649" s="8" t="s">
        <v>1719</v>
      </c>
      <c r="I649" s="8" t="s">
        <v>1720</v>
      </c>
      <c r="K649" s="2" t="s">
        <v>1721</v>
      </c>
      <c r="L649" s="8" t="s">
        <v>1722</v>
      </c>
      <c r="M649" s="8" t="s">
        <v>27</v>
      </c>
      <c r="N649" s="2" t="s">
        <v>1723</v>
      </c>
      <c r="O649" s="8" t="s">
        <v>400</v>
      </c>
      <c r="P649" s="8" t="s">
        <v>401</v>
      </c>
      <c r="Q649" s="12" t="str">
        <f>HYPERLINK("http://www.grandforksherald.com/news/region/3770087-family-alleged-police-shooting-victim-speaks-out","http://www.grandforksherald.com/news/region/3770087-family-alleged-police-shooting-victim-speaks-out")</f>
        <v>http://www.grandforksherald.com/news/region/3770087-family-alleged-police-shooting-victim-speaks-out</v>
      </c>
      <c r="R649" s="8" t="s">
        <v>100</v>
      </c>
      <c r="S649" s="8" t="s">
        <v>28</v>
      </c>
      <c r="T649" s="6"/>
      <c r="U649" s="8"/>
    </row>
    <row r="650" spans="1:34" ht="13" customHeight="1">
      <c r="A650" s="8" t="s">
        <v>1724</v>
      </c>
      <c r="B650" s="16">
        <v>40</v>
      </c>
      <c r="C650" s="8" t="s">
        <v>114</v>
      </c>
      <c r="D650" s="8" t="s">
        <v>37</v>
      </c>
      <c r="F650" s="17">
        <v>42172</v>
      </c>
      <c r="G650" s="8" t="s">
        <v>1725</v>
      </c>
      <c r="H650" s="8" t="s">
        <v>1726</v>
      </c>
      <c r="I650" s="8" t="s">
        <v>94</v>
      </c>
      <c r="J650" s="16" t="s">
        <v>1727</v>
      </c>
      <c r="K650" s="2" t="s">
        <v>1728</v>
      </c>
      <c r="L650" s="8" t="s">
        <v>1729</v>
      </c>
      <c r="M650" s="8" t="s">
        <v>27</v>
      </c>
      <c r="N650" s="2" t="s">
        <v>1730</v>
      </c>
      <c r="O650" s="8" t="s">
        <v>400</v>
      </c>
      <c r="P650" s="8" t="s">
        <v>401</v>
      </c>
      <c r="Q650" s="12" t="str">
        <f>HYPERLINK("http://www.montgomeryadvertiser.com/story/news/local/progress/2015/06/18/sbi-investigate-officer-involved-shooting/28954689/","http://www.montgomeryadvertiser.com/story/news/local/progress/2015/06/18/sbi-investigate-officer-involved-shooting/28954689/")</f>
        <v>http://www.montgomeryadvertiser.com/story/news/local/progress/2015/06/18/sbi-investigate-officer-involved-shooting/28954689/</v>
      </c>
      <c r="R650" s="8" t="s">
        <v>100</v>
      </c>
      <c r="S650" s="8" t="s">
        <v>28</v>
      </c>
      <c r="T650" s="6"/>
      <c r="U650" s="8"/>
      <c r="Y650" s="8"/>
      <c r="Z650" s="8"/>
      <c r="AA650" s="8"/>
      <c r="AB650" s="8"/>
      <c r="AC650" s="8"/>
      <c r="AD650" s="8"/>
      <c r="AE650" s="8"/>
      <c r="AF650" s="8"/>
      <c r="AG650" s="8"/>
      <c r="AH650" s="8"/>
    </row>
    <row r="651" spans="1:34" ht="13" customHeight="1">
      <c r="A651" s="8" t="s">
        <v>1731</v>
      </c>
      <c r="B651" s="16">
        <v>48</v>
      </c>
      <c r="C651" s="8" t="s">
        <v>20</v>
      </c>
      <c r="D651" s="8" t="s">
        <v>37</v>
      </c>
      <c r="F651" s="17">
        <v>42172</v>
      </c>
      <c r="G651" s="8" t="s">
        <v>1732</v>
      </c>
      <c r="H651" s="8" t="s">
        <v>449</v>
      </c>
      <c r="I651" s="8" t="s">
        <v>195</v>
      </c>
      <c r="J651" s="16" t="s">
        <v>1733</v>
      </c>
      <c r="K651" s="2" t="s">
        <v>789</v>
      </c>
      <c r="L651" s="8" t="s">
        <v>450</v>
      </c>
      <c r="M651" s="8" t="s">
        <v>27</v>
      </c>
      <c r="N651" s="2" t="s">
        <v>1734</v>
      </c>
      <c r="O651" s="8" t="s">
        <v>400</v>
      </c>
      <c r="P651" s="8" t="s">
        <v>401</v>
      </c>
      <c r="Q651" s="12" t="str">
        <f>HYPERLINK("http://www.kob.com/article/stories/s3831288.shtml#.Vem0QNNVhBc","http://www.kob.com/article/stories/s3831288.shtml#.Vem0QNNVhBc")</f>
        <v>http://www.kob.com/article/stories/s3831288.shtml#.Vem0QNNVhBc</v>
      </c>
      <c r="R651" s="8" t="s">
        <v>29</v>
      </c>
      <c r="S651" s="8" t="s">
        <v>28</v>
      </c>
      <c r="T651" s="6"/>
      <c r="U651" s="8"/>
    </row>
    <row r="652" spans="1:34" ht="13" customHeight="1">
      <c r="A652" s="8" t="s">
        <v>1735</v>
      </c>
      <c r="B652" s="16">
        <v>42</v>
      </c>
      <c r="C652" s="8" t="s">
        <v>20</v>
      </c>
      <c r="D652" s="8" t="s">
        <v>85</v>
      </c>
      <c r="E652" s="8" t="s">
        <v>21236</v>
      </c>
      <c r="F652" s="17">
        <v>42171</v>
      </c>
      <c r="G652" s="8" t="s">
        <v>1736</v>
      </c>
      <c r="H652" s="8" t="s">
        <v>1737</v>
      </c>
      <c r="I652" s="8" t="s">
        <v>62</v>
      </c>
      <c r="J652" s="16" t="s">
        <v>1738</v>
      </c>
      <c r="K652" s="2" t="s">
        <v>1739</v>
      </c>
      <c r="L652" s="8" t="s">
        <v>1740</v>
      </c>
      <c r="M652" s="8" t="s">
        <v>2297</v>
      </c>
      <c r="N652" s="2" t="s">
        <v>21660</v>
      </c>
      <c r="O652" s="8" t="s">
        <v>400</v>
      </c>
      <c r="P652" s="8" t="s">
        <v>401</v>
      </c>
      <c r="Q652" s="59" t="str">
        <f>HYPERLINK("http://www.wptv.com/news/region-indian-river-county/drug-related-death-investigated-in-indian-river-county","http://www.wptv.com/news/region-indian-river-county/drug-related-death-investigated-in-indian-river-county")</f>
        <v>http://www.wptv.com/news/region-indian-river-county/drug-related-death-investigated-in-indian-river-county</v>
      </c>
      <c r="R652" s="8" t="s">
        <v>967</v>
      </c>
      <c r="S652" s="8" t="s">
        <v>18</v>
      </c>
      <c r="T652" s="6"/>
      <c r="U652" s="8"/>
    </row>
    <row r="653" spans="1:34" ht="13" customHeight="1">
      <c r="A653" s="8" t="s">
        <v>1741</v>
      </c>
      <c r="B653" s="16">
        <v>51</v>
      </c>
      <c r="C653" s="8" t="s">
        <v>114</v>
      </c>
      <c r="D653" s="8" t="s">
        <v>37</v>
      </c>
      <c r="F653" s="17">
        <v>42171</v>
      </c>
      <c r="G653" s="8" t="s">
        <v>1742</v>
      </c>
      <c r="H653" s="8" t="s">
        <v>1743</v>
      </c>
      <c r="I653" s="8" t="s">
        <v>81</v>
      </c>
      <c r="J653" s="16" t="s">
        <v>1744</v>
      </c>
      <c r="K653" s="2" t="s">
        <v>1745</v>
      </c>
      <c r="L653" s="8" t="s">
        <v>1746</v>
      </c>
      <c r="M653" s="8" t="s">
        <v>27</v>
      </c>
      <c r="N653" s="2" t="s">
        <v>1747</v>
      </c>
      <c r="O653" s="8" t="s">
        <v>400</v>
      </c>
      <c r="P653" s="8" t="s">
        <v>1162</v>
      </c>
      <c r="Q653" s="12" t="str">
        <f>HYPERLINK("http://newyork.cbslocal.com/2015/06/17/neptune-police-officer-shooting/","http://newyork.cbslocal.com/2015/06/17/neptune-police-officer-shooting/")</f>
        <v>http://newyork.cbslocal.com/2015/06/17/neptune-police-officer-shooting/</v>
      </c>
      <c r="R653" s="8" t="s">
        <v>100</v>
      </c>
      <c r="S653" s="8" t="s">
        <v>18</v>
      </c>
      <c r="T653" s="6"/>
      <c r="U653" s="8"/>
    </row>
    <row r="654" spans="1:34" ht="13" customHeight="1">
      <c r="A654" s="8" t="s">
        <v>1748</v>
      </c>
      <c r="B654" s="16">
        <v>28</v>
      </c>
      <c r="C654" s="8" t="s">
        <v>20</v>
      </c>
      <c r="D654" s="8" t="s">
        <v>37</v>
      </c>
      <c r="F654" s="17">
        <v>42171</v>
      </c>
      <c r="G654" s="8" t="s">
        <v>1749</v>
      </c>
      <c r="H654" s="8" t="s">
        <v>1750</v>
      </c>
      <c r="I654" s="8" t="s">
        <v>45</v>
      </c>
      <c r="J654" s="16" t="s">
        <v>1751</v>
      </c>
      <c r="K654" s="2" t="s">
        <v>1166</v>
      </c>
      <c r="L654" s="8" t="s">
        <v>1752</v>
      </c>
      <c r="M654" s="8" t="s">
        <v>27</v>
      </c>
      <c r="N654" s="2" t="s">
        <v>1753</v>
      </c>
      <c r="O654" s="8" t="s">
        <v>400</v>
      </c>
      <c r="P654" s="8" t="s">
        <v>401</v>
      </c>
      <c r="Q654" s="12" t="str">
        <f>HYPERLINK("http://abc30.com/news/visalia-police-shoot-and-kill-man-shortly-after-arriving-at-vacant-business-complex/789315/","http://abc30.com/news/visalia-police-shoot-and-kill-man-shortly-after-arriving-at-vacant-business-complex/789315/")</f>
        <v>http://abc30.com/news/visalia-police-shoot-and-kill-man-shortly-after-arriving-at-vacant-business-complex/789315/</v>
      </c>
      <c r="R654" s="8" t="s">
        <v>100</v>
      </c>
      <c r="S654" s="8" t="s">
        <v>28</v>
      </c>
      <c r="T654" s="6"/>
      <c r="U654" s="8"/>
    </row>
    <row r="655" spans="1:34" ht="13" customHeight="1">
      <c r="A655" s="8" t="s">
        <v>1754</v>
      </c>
      <c r="B655" s="16">
        <v>22</v>
      </c>
      <c r="C655" s="8" t="s">
        <v>20</v>
      </c>
      <c r="D655" s="8" t="s">
        <v>85</v>
      </c>
      <c r="E655" s="8" t="str">
        <f>HYPERLINK("http://www.kcra.com/image/view/-/33606430/medRes/1/-/maxh/460/maxw/620/-/xldfqjz/-/Kris-Jackson-061615-jpg.jpg","http://www.kcra.com/image/view/-/33606430/medRes/1/-/maxh/460/maxw/620/-/xldfqjz/-/Kris-Jackson-061615-jpg.jpg")</f>
        <v>http://www.kcra.com/image/view/-/33606430/medRes/1/-/maxh/460/maxw/620/-/xldfqjz/-/Kris-Jackson-061615-jpg.jpg</v>
      </c>
      <c r="F655" s="17">
        <v>42170</v>
      </c>
      <c r="G655" s="8" t="s">
        <v>1755</v>
      </c>
      <c r="H655" s="8" t="s">
        <v>1756</v>
      </c>
      <c r="I655" s="8" t="s">
        <v>45</v>
      </c>
      <c r="J655" s="16" t="s">
        <v>1757</v>
      </c>
      <c r="K655" s="2" t="s">
        <v>1758</v>
      </c>
      <c r="L655" s="8" t="s">
        <v>1759</v>
      </c>
      <c r="M655" s="8" t="s">
        <v>27</v>
      </c>
      <c r="N655" s="2" t="s">
        <v>1760</v>
      </c>
      <c r="O655" s="8" t="s">
        <v>400</v>
      </c>
      <c r="P655" s="8" t="s">
        <v>401</v>
      </c>
      <c r="Q655" s="12" t="s">
        <v>21296</v>
      </c>
      <c r="R655" s="8" t="s">
        <v>100</v>
      </c>
      <c r="S655" s="8" t="s">
        <v>18</v>
      </c>
      <c r="T655" s="6"/>
      <c r="U655" s="8"/>
    </row>
    <row r="656" spans="1:34" ht="13" customHeight="1">
      <c r="A656" s="8" t="s">
        <v>1761</v>
      </c>
      <c r="B656" s="16">
        <v>28</v>
      </c>
      <c r="C656" s="8" t="s">
        <v>20</v>
      </c>
      <c r="D656" s="8" t="s">
        <v>48</v>
      </c>
      <c r="E656" s="8" t="str">
        <f>HYPERLINK("https://tribfox40.files.wordpress.com/2015/06/kenneth-garcia.jpg","https://tribfox40.files.wordpress.com/2015/06/kenneth-garcia.jpg")</f>
        <v>https://tribfox40.files.wordpress.com/2015/06/kenneth-garcia.jpg</v>
      </c>
      <c r="F656" s="17">
        <v>42169</v>
      </c>
      <c r="G656" s="8" t="s">
        <v>1762</v>
      </c>
      <c r="H656" s="8" t="s">
        <v>1763</v>
      </c>
      <c r="I656" s="8" t="s">
        <v>45</v>
      </c>
      <c r="J656" s="16" t="s">
        <v>1764</v>
      </c>
      <c r="K656" s="2" t="s">
        <v>1765</v>
      </c>
      <c r="L656" s="8" t="s">
        <v>1766</v>
      </c>
      <c r="M656" s="8" t="s">
        <v>27</v>
      </c>
      <c r="N656" s="2" t="s">
        <v>1767</v>
      </c>
      <c r="O656" s="8" t="s">
        <v>400</v>
      </c>
      <c r="P656" s="8" t="s">
        <v>401</v>
      </c>
      <c r="Q656" s="12" t="str">
        <f>HYPERLINK("http://www.kcra.com/news/local-news/news-stockton/stockton-police-investigate-officerinvolved-shooting-1-suspect-dead/33578792","http://www.kcra.com/news/local-news/news-stockton/stockton-police-investigate-officerinvolved-shooting-1-suspect-dead/33578792")</f>
        <v>http://www.kcra.com/news/local-news/news-stockton/stockton-police-investigate-officerinvolved-shooting-1-suspect-dead/33578792</v>
      </c>
      <c r="R656" s="8" t="s">
        <v>100</v>
      </c>
      <c r="S656" s="8" t="s">
        <v>379</v>
      </c>
      <c r="T656" s="6"/>
      <c r="U656" s="8"/>
    </row>
    <row r="657" spans="1:34" ht="13" customHeight="1">
      <c r="A657" s="8" t="s">
        <v>1768</v>
      </c>
      <c r="B657" s="16">
        <v>15</v>
      </c>
      <c r="C657" s="8" t="s">
        <v>20</v>
      </c>
      <c r="D657" s="8" t="s">
        <v>37</v>
      </c>
      <c r="E657" s="8" t="str">
        <f>HYPERLINK("http://media.cmgdigital.com/shared/img/photos/2015/06/15/08/8a/Zane_Terryn.jpg","http://media.cmgdigital.com/shared/img/photos/2015/06/15/08/8a/Zane_Terryn.jpg")</f>
        <v>http://media.cmgdigital.com/shared/img/photos/2015/06/15/08/8a/Zane_Terryn.jpg</v>
      </c>
      <c r="F657" s="17">
        <v>42169</v>
      </c>
      <c r="G657" s="8" t="s">
        <v>1769</v>
      </c>
      <c r="H657" s="8" t="s">
        <v>1770</v>
      </c>
      <c r="I657" s="8" t="s">
        <v>62</v>
      </c>
      <c r="J657" s="16" t="s">
        <v>1771</v>
      </c>
      <c r="K657" s="2" t="s">
        <v>1772</v>
      </c>
      <c r="L657" s="8" t="s">
        <v>1028</v>
      </c>
      <c r="M657" s="8" t="s">
        <v>27</v>
      </c>
      <c r="N657" s="2" t="s">
        <v>1773</v>
      </c>
      <c r="O657" s="8" t="s">
        <v>400</v>
      </c>
      <c r="P657" s="8" t="s">
        <v>401</v>
      </c>
      <c r="Q657" s="12" t="str">
        <f>HYPERLINK("http://www.wftv.com/news/news/local/trooper-teens-idd-brevard-county-shooting/nmdGr/","http://www.wftv.com/news/news/local/trooper-teens-idd-brevard-county-shooting/nmdGr/")</f>
        <v>http://www.wftv.com/news/news/local/trooper-teens-idd-brevard-county-shooting/nmdGr/</v>
      </c>
      <c r="R657" s="8" t="s">
        <v>555</v>
      </c>
      <c r="S657" s="8" t="s">
        <v>28</v>
      </c>
      <c r="T657" s="6"/>
      <c r="U657" s="8"/>
    </row>
    <row r="658" spans="1:34" ht="13" customHeight="1">
      <c r="A658" s="8" t="s">
        <v>1778</v>
      </c>
      <c r="B658" s="16">
        <v>35</v>
      </c>
      <c r="C658" s="8" t="s">
        <v>20</v>
      </c>
      <c r="D658" s="8" t="s">
        <v>85</v>
      </c>
      <c r="E658" s="8" t="str">
        <f>HYPERLINK("http://www.gannett-cdn.com/-mm-/4a6db3c9477f4109c4cdeac9a88f4baf6e2f228c/c=0-5-305-412&amp;r=537&amp;c=0-0-534-712/local/-/media/2015/06/15/Louisville/B9317735012Z.1_20150615164435_000_GG6B398IT.1-0.jpg","http://www.gannett-cdn.com/-mm-/4a6db3c9477f4109c4cdeac9a88f4baf6e2f228c/c=0-5-305-412&amp;r=537&amp;c=0-0-534-712/local/-/media/2015/06/15/Louisville/B9317735012Z.1_20150615164435_000_GG6B398IT.1-0.jpg")</f>
        <v>http://www.gannett-cdn.com/-mm-/4a6db3c9477f4109c4cdeac9a88f4baf6e2f228c/c=0-5-305-412&amp;r=537&amp;c=0-0-534-712/local/-/media/2015/06/15/Louisville/B9317735012Z.1_20150615164435_000_GG6B398IT.1-0.jpg</v>
      </c>
      <c r="F658" s="17">
        <v>42168</v>
      </c>
      <c r="G658" s="8" t="s">
        <v>1779</v>
      </c>
      <c r="H658" s="8" t="s">
        <v>893</v>
      </c>
      <c r="I658" s="8" t="s">
        <v>315</v>
      </c>
      <c r="J658" s="16" t="s">
        <v>1780</v>
      </c>
      <c r="K658" s="2" t="s">
        <v>1781</v>
      </c>
      <c r="L658" s="8" t="s">
        <v>894</v>
      </c>
      <c r="M658" s="8" t="s">
        <v>27</v>
      </c>
      <c r="N658" s="2" t="s">
        <v>1782</v>
      </c>
      <c r="O658" s="8" t="s">
        <v>1013</v>
      </c>
      <c r="P658" s="8" t="s">
        <v>401</v>
      </c>
      <c r="Q658" s="12" t="str">
        <f>HYPERLINK("http://www.washingtonpost.com/news/morning-mix/wp/2015/06/14/new-video-shows-kentucky-police-officer-killing-flagpole-wielding-man/","http://www.washingtonpost.com/news/morning-mix/wp/2015/06/14/new-video-shows-kentucky-police-officer-killing-flagpole-wielding-man/")</f>
        <v>http://www.washingtonpost.com/news/morning-mix/wp/2015/06/14/new-video-shows-kentucky-police-officer-killing-flagpole-wielding-man/</v>
      </c>
      <c r="R658" s="8" t="s">
        <v>967</v>
      </c>
      <c r="S658" s="8" t="s">
        <v>28</v>
      </c>
      <c r="T658" s="6"/>
      <c r="U658" s="8"/>
    </row>
    <row r="659" spans="1:34" ht="13" customHeight="1">
      <c r="A659" s="8" t="s">
        <v>1774</v>
      </c>
      <c r="B659" s="16">
        <v>47</v>
      </c>
      <c r="C659" s="8" t="s">
        <v>20</v>
      </c>
      <c r="D659" s="8" t="s">
        <v>85</v>
      </c>
      <c r="E659" s="8" t="str">
        <f>HYPERLINK("http://whns.images.worldnow.com/images/8077680_G.jpg","http://whns.images.worldnow.com/images/8077680_G.jpg")</f>
        <v>http://whns.images.worldnow.com/images/8077680_G.jpg</v>
      </c>
      <c r="F659" s="17">
        <v>42168</v>
      </c>
      <c r="G659" s="8" t="s">
        <v>1775</v>
      </c>
      <c r="H659" s="8" t="s">
        <v>33</v>
      </c>
      <c r="I659" s="8" t="s">
        <v>32</v>
      </c>
      <c r="J659" s="16" t="s">
        <v>1776</v>
      </c>
      <c r="K659" s="2" t="s">
        <v>33</v>
      </c>
      <c r="L659" s="8" t="s">
        <v>34</v>
      </c>
      <c r="M659" s="8" t="s">
        <v>379</v>
      </c>
      <c r="N659" s="2" t="s">
        <v>1777</v>
      </c>
      <c r="O659" s="8" t="s">
        <v>1013</v>
      </c>
      <c r="P659" s="8" t="s">
        <v>401</v>
      </c>
      <c r="Q659" s="59" t="str">
        <f>HYPERLINK("http://www.greenvilleonline.com/story/news/local/2015/06/14/moped-driver-killed-crash-greenville-county-deputy/71207792/","http://www.greenvilleonline.com/story/news/local/2015/06/14/moped-driver-killed-crash-greenville-county-deputy/71207792/")</f>
        <v>http://www.greenvilleonline.com/story/news/local/2015/06/14/moped-driver-killed-crash-greenville-county-deputy/71207792/</v>
      </c>
      <c r="R659" s="8" t="s">
        <v>100</v>
      </c>
      <c r="S659" s="8" t="s">
        <v>18</v>
      </c>
      <c r="T659" s="6"/>
      <c r="U659" s="8"/>
      <c r="Y659" s="8"/>
      <c r="Z659" s="8"/>
      <c r="AA659" s="8"/>
      <c r="AB659" s="8"/>
      <c r="AC659" s="8"/>
      <c r="AD659" s="8"/>
      <c r="AE659" s="8"/>
      <c r="AF659" s="8"/>
      <c r="AG659" s="8"/>
      <c r="AH659" s="8"/>
    </row>
    <row r="660" spans="1:34" ht="13" customHeight="1">
      <c r="A660" s="8" t="s">
        <v>1797</v>
      </c>
      <c r="B660" s="16">
        <v>35</v>
      </c>
      <c r="C660" s="8" t="s">
        <v>20</v>
      </c>
      <c r="D660" s="8" t="s">
        <v>37</v>
      </c>
      <c r="E660" s="8" t="str">
        <f>HYPERLINK("http://www.dallasnews.com/incoming/20150613-james-lance-boulware-1-.jpg.ece/BINARY/James-Lance-Boulware+%281%29.jpg","http://www.dallasnews.com/incoming/20150613-james-lance-boulware-1-.jpg.ece/BINARY/James-Lance-Boulware+%281%29.jpg")</f>
        <v>http://www.dallasnews.com/incoming/20150613-james-lance-boulware-1-.jpg.ece/BINARY/James-Lance-Boulware+%281%29.jpg</v>
      </c>
      <c r="F660" s="17">
        <v>42168</v>
      </c>
      <c r="G660" s="8" t="s">
        <v>1798</v>
      </c>
      <c r="H660" s="8" t="s">
        <v>1799</v>
      </c>
      <c r="I660" s="8" t="s">
        <v>73</v>
      </c>
      <c r="J660" s="16" t="s">
        <v>1800</v>
      </c>
      <c r="K660" s="2" t="s">
        <v>285</v>
      </c>
      <c r="L660" s="8" t="s">
        <v>286</v>
      </c>
      <c r="M660" s="8" t="s">
        <v>27</v>
      </c>
      <c r="N660" s="2" t="s">
        <v>1801</v>
      </c>
      <c r="O660" s="8" t="s">
        <v>1013</v>
      </c>
      <c r="P660" s="8" t="s">
        <v>401</v>
      </c>
      <c r="Q660" s="12" t="str">
        <f>HYPERLINK("http://www.dallasnews.com/news/local-news/20150613-report-of-shots-fired-near-dallas-police-headquarters-prompts-chase.ece","http://www.dallasnews.com/news/local-news/20150613-report-of-shots-fired-near-dallas-police-headquarters-prompts-chase.ece")</f>
        <v>http://www.dallasnews.com/news/local-news/20150613-report-of-shots-fired-near-dallas-police-headquarters-prompts-chase.ece</v>
      </c>
      <c r="R660" s="8" t="s">
        <v>100</v>
      </c>
      <c r="S660" s="8" t="s">
        <v>28</v>
      </c>
      <c r="T660" s="6"/>
      <c r="U660" s="8"/>
    </row>
    <row r="661" spans="1:34" ht="13" customHeight="1">
      <c r="A661" s="8" t="s">
        <v>1802</v>
      </c>
      <c r="B661" s="16">
        <v>46</v>
      </c>
      <c r="C661" s="8" t="s">
        <v>20</v>
      </c>
      <c r="D661" s="8" t="s">
        <v>37</v>
      </c>
      <c r="E661" s="8" t="str">
        <f>HYPERLINK("http://assets.mediaspanonline.com/prod/11889528/7206529_h400.jpg","http://assets.mediaspanonline.com/prod/11889528/7206529_h400.jpg")</f>
        <v>http://assets.mediaspanonline.com/prod/11889528/7206529_h400.jpg</v>
      </c>
      <c r="F661" s="17">
        <v>42168</v>
      </c>
      <c r="G661" s="8" t="s">
        <v>1803</v>
      </c>
      <c r="H661" s="8" t="s">
        <v>1804</v>
      </c>
      <c r="I661" s="8" t="s">
        <v>217</v>
      </c>
      <c r="J661" s="16" t="s">
        <v>1805</v>
      </c>
      <c r="K661" s="2" t="s">
        <v>1806</v>
      </c>
      <c r="L661" s="8" t="s">
        <v>1807</v>
      </c>
      <c r="M661" s="8" t="s">
        <v>27</v>
      </c>
      <c r="N661" s="2" t="s">
        <v>1808</v>
      </c>
      <c r="O661" s="8" t="s">
        <v>1013</v>
      </c>
      <c r="P661" s="8" t="s">
        <v>401</v>
      </c>
      <c r="Q661" s="12" t="str">
        <f>HYPERLINK("http://wane.com/2015/06/15/coroner-releases-identity-of-man-shot-by-officer/","http://wane.com/2015/06/15/coroner-releases-identity-of-man-shot-by-officer/")</f>
        <v>http://wane.com/2015/06/15/coroner-releases-identity-of-man-shot-by-officer/</v>
      </c>
      <c r="R661" s="8" t="s">
        <v>100</v>
      </c>
      <c r="S661" s="8" t="s">
        <v>28</v>
      </c>
      <c r="T661" s="6"/>
      <c r="U661" s="8"/>
    </row>
    <row r="662" spans="1:34" ht="13" customHeight="1">
      <c r="A662" s="8" t="s">
        <v>1783</v>
      </c>
      <c r="B662" s="16">
        <v>24</v>
      </c>
      <c r="C662" s="8" t="s">
        <v>114</v>
      </c>
      <c r="D662" s="8" t="s">
        <v>37</v>
      </c>
      <c r="E662" s="8" t="str">
        <f>HYPERLINK("https://5f0ad1906cfcc43aa1e6-196c176a9165c4fb91294bcccfeafde1.ssl.cf1.rackcdn.com/b383b173-9988-4244-8538-f5128397eb44_profile.jpg","https://5f0ad1906cfcc43aa1e6-196c176a9165c4fb91294bcccfeafde1.ssl.cf1.rackcdn.com/b383b173-9988-4244-8538-f5128397eb44_profile.jpg")</f>
        <v>https://5f0ad1906cfcc43aa1e6-196c176a9165c4fb91294bcccfeafde1.ssl.cf1.rackcdn.com/b383b173-9988-4244-8538-f5128397eb44_profile.jpg</v>
      </c>
      <c r="F662" s="17">
        <v>42168</v>
      </c>
      <c r="G662" s="8" t="s">
        <v>1784</v>
      </c>
      <c r="H662" s="8" t="s">
        <v>1785</v>
      </c>
      <c r="I662" s="8" t="s">
        <v>32</v>
      </c>
      <c r="J662" s="16" t="s">
        <v>1786</v>
      </c>
      <c r="K662" s="2" t="s">
        <v>1787</v>
      </c>
      <c r="L662" s="8" t="s">
        <v>1788</v>
      </c>
      <c r="M662" s="8" t="s">
        <v>27</v>
      </c>
      <c r="N662" s="2" t="s">
        <v>1789</v>
      </c>
      <c r="O662" s="8" t="s">
        <v>1790</v>
      </c>
      <c r="P662" s="8" t="s">
        <v>401</v>
      </c>
      <c r="Q662" s="12" t="str">
        <f>HYPERLINK("http://www.wrdw.com/home/headlines/Shooting-on-Coulter-Drive-in-North-Augusta-307293011.html","http://www.wrdw.com/home/headlines/Shooting-on-Coulter-Drive-in-North-Augusta-307293011.html")</f>
        <v>http://www.wrdw.com/home/headlines/Shooting-on-Coulter-Drive-in-North-Augusta-307293011.html</v>
      </c>
      <c r="R662" s="8" t="s">
        <v>100</v>
      </c>
      <c r="S662" s="8" t="s">
        <v>35</v>
      </c>
      <c r="T662" s="6"/>
      <c r="U662" s="8"/>
      <c r="Y662" s="8"/>
      <c r="Z662" s="8"/>
      <c r="AA662" s="8"/>
      <c r="AB662" s="8"/>
      <c r="AC662" s="8"/>
      <c r="AD662" s="8"/>
      <c r="AE662" s="8"/>
      <c r="AF662" s="8"/>
      <c r="AG662" s="8"/>
      <c r="AH662" s="8"/>
    </row>
    <row r="663" spans="1:34" ht="13" customHeight="1">
      <c r="A663" s="8" t="s">
        <v>1791</v>
      </c>
      <c r="B663" s="16">
        <v>51</v>
      </c>
      <c r="C663" s="8" t="s">
        <v>20</v>
      </c>
      <c r="D663" s="8" t="s">
        <v>37</v>
      </c>
      <c r="E663" s="8" t="str">
        <f>HYPERLINK("http://media.cmgdigital.com/shared/img/photos/2015/07/01/63/fb/jimmy_payne_alteredREV2.jpg","http://media.cmgdigital.com/shared/img/photos/2015/07/01/63/fb/jimmy_payne_alteredREV2.jpg")</f>
        <v>http://media.cmgdigital.com/shared/img/photos/2015/07/01/63/fb/jimmy_payne_alteredREV2.jpg</v>
      </c>
      <c r="F663" s="17">
        <v>42168</v>
      </c>
      <c r="G663" s="8" t="s">
        <v>1792</v>
      </c>
      <c r="H663" s="8" t="s">
        <v>1793</v>
      </c>
      <c r="I663" s="8" t="s">
        <v>69</v>
      </c>
      <c r="J663" s="16" t="s">
        <v>1794</v>
      </c>
      <c r="K663" s="2" t="s">
        <v>1059</v>
      </c>
      <c r="L663" s="8" t="s">
        <v>1795</v>
      </c>
      <c r="M663" s="8" t="s">
        <v>379</v>
      </c>
      <c r="N663" s="2" t="s">
        <v>1796</v>
      </c>
      <c r="O663" s="8" t="s">
        <v>400</v>
      </c>
      <c r="P663" s="8" t="s">
        <v>401</v>
      </c>
      <c r="Q663" s="12" t="str">
        <f>HYPERLINK("http://www.whio.com/news/news/officer-on-leave-during-crash-investigation/nmjmX/","http://www.whio.com/news/news/officer-on-leave-during-crash-investigation/nmjmX/")</f>
        <v>http://www.whio.com/news/news/officer-on-leave-during-crash-investigation/nmjmX/</v>
      </c>
      <c r="R663" s="8" t="s">
        <v>100</v>
      </c>
      <c r="S663" s="8" t="s">
        <v>18</v>
      </c>
      <c r="T663" s="6"/>
      <c r="U663" s="8"/>
    </row>
    <row r="664" spans="1:34" ht="13" customHeight="1">
      <c r="A664" s="8" t="s">
        <v>1815</v>
      </c>
      <c r="B664" s="16">
        <v>50</v>
      </c>
      <c r="C664" s="8" t="s">
        <v>20</v>
      </c>
      <c r="D664" s="8" t="s">
        <v>37</v>
      </c>
      <c r="E664" s="8" t="str">
        <f>HYPERLINK("http://wvns.images.worldnow.com/images/8063652_G.jpg","http://wvns.images.worldnow.com/images/8063652_G.jpg")</f>
        <v>http://wvns.images.worldnow.com/images/8063652_G.jpg</v>
      </c>
      <c r="F664" s="17">
        <v>42167</v>
      </c>
      <c r="G664" s="8" t="s">
        <v>1816</v>
      </c>
      <c r="H664" s="8" t="s">
        <v>1817</v>
      </c>
      <c r="I664" s="8" t="s">
        <v>150</v>
      </c>
      <c r="J664" s="16">
        <v>25059</v>
      </c>
      <c r="K664" s="2" t="s">
        <v>1520</v>
      </c>
      <c r="L664" s="8" t="s">
        <v>1818</v>
      </c>
      <c r="M664" s="8" t="s">
        <v>2297</v>
      </c>
      <c r="P664" s="8" t="s">
        <v>401</v>
      </c>
      <c r="Q664" s="12" t="str">
        <f>HYPERLINK("http://www.wowktv.com/story/29310449/inmate-death-reported-at-mount-olive-prison-in-fayette-county","http://www.wowktv.com/story/29310449/inmate-death-reported-at-mount-olive-prison-in-fayette-county")</f>
        <v>http://www.wowktv.com/story/29310449/inmate-death-reported-at-mount-olive-prison-in-fayette-county</v>
      </c>
      <c r="S664" s="8" t="s">
        <v>18</v>
      </c>
      <c r="T664" s="6"/>
      <c r="U664" s="8"/>
    </row>
    <row r="665" spans="1:34" ht="13" customHeight="1">
      <c r="A665" s="8" t="s">
        <v>1809</v>
      </c>
      <c r="B665" s="16">
        <v>17</v>
      </c>
      <c r="C665" s="8" t="s">
        <v>114</v>
      </c>
      <c r="D665" s="8" t="s">
        <v>37</v>
      </c>
      <c r="E665" s="8" t="str">
        <f>HYPERLINK("http://bloximages.chicago2.vip.townnews.com/kokomotribune.com/content/tncms/assets/v3/editorial/7/fc/7fcd4704-6af4-59a9-8f7e-42671ea7d7cd/557df996651c8.image.jpg?resize=300%2C400","http://bloximages.chicago2.vip.townnews.com/kokomotribune.com/content/tncms/assets/v3/editorial/7/fc/7fcd4704-6af4-59a9-8f7e-42671ea7d7cd/557df996651c8.image.jpg?resize=300%2C400")</f>
        <v>http://bloximages.chicago2.vip.townnews.com/kokomotribune.com/content/tncms/assets/v3/editorial/7/fc/7fcd4704-6af4-59a9-8f7e-42671ea7d7cd/557df996651c8.image.jpg?resize=300%2C400</v>
      </c>
      <c r="F665" s="17">
        <v>42167</v>
      </c>
      <c r="G665" s="8" t="s">
        <v>1810</v>
      </c>
      <c r="H665" s="8" t="s">
        <v>1811</v>
      </c>
      <c r="I665" s="8" t="s">
        <v>217</v>
      </c>
      <c r="J665" s="16" t="s">
        <v>1812</v>
      </c>
      <c r="K665" s="2" t="s">
        <v>53</v>
      </c>
      <c r="L665" s="8" t="s">
        <v>1813</v>
      </c>
      <c r="M665" s="8" t="s">
        <v>27</v>
      </c>
      <c r="N665" s="2" t="s">
        <v>1814</v>
      </c>
      <c r="O665" s="8" t="s">
        <v>550</v>
      </c>
      <c r="P665" s="8" t="s">
        <v>401</v>
      </c>
      <c r="Q665" s="12" t="str">
        <f>HYPERLINK("http://www.kokomotribune.com/news/update-name-of-officer-involved-in-shooting-released/article_fac3c076-121b-11e5-91a2-63f77d795bb0.html","http://www.kokomotribune.com/news/update-name-of-officer-involved-in-shooting-released/article_fac3c076-121b-11e5-91a2-63f77d795bb0.html")</f>
        <v>http://www.kokomotribune.com/news/update-name-of-officer-involved-in-shooting-released/article_fac3c076-121b-11e5-91a2-63f77d795bb0.html</v>
      </c>
      <c r="R665" s="8" t="s">
        <v>100</v>
      </c>
      <c r="S665" s="8" t="s">
        <v>28</v>
      </c>
      <c r="T665" s="6"/>
      <c r="U665" s="8"/>
    </row>
    <row r="666" spans="1:34" ht="13" customHeight="1">
      <c r="A666" s="8" t="s">
        <v>1819</v>
      </c>
      <c r="B666" s="16">
        <v>40</v>
      </c>
      <c r="C666" s="8" t="s">
        <v>20</v>
      </c>
      <c r="D666" s="8" t="s">
        <v>85</v>
      </c>
      <c r="E666" s="8" t="str">
        <f>HYPERLINK("http://www.trbimg.com/img-557a9e9e/turbine/fl-pompano-beach-fatal-shoot-bso-20150611-003/550/550x309","http://www.trbimg.com/img-557a9e9e/turbine/fl-pompano-beach-fatal-shoot-bso-20150611-003/550/550x309")</f>
        <v>http://www.trbimg.com/img-557a9e9e/turbine/fl-pompano-beach-fatal-shoot-bso-20150611-003/550/550x309</v>
      </c>
      <c r="F666" s="17">
        <v>42166</v>
      </c>
      <c r="G666" s="8" t="s">
        <v>1820</v>
      </c>
      <c r="H666" s="8" t="s">
        <v>1821</v>
      </c>
      <c r="I666" s="8" t="s">
        <v>62</v>
      </c>
      <c r="J666" s="16" t="s">
        <v>1822</v>
      </c>
      <c r="K666" s="2" t="s">
        <v>1127</v>
      </c>
      <c r="L666" s="8" t="s">
        <v>4412</v>
      </c>
      <c r="M666" s="8" t="s">
        <v>27</v>
      </c>
      <c r="N666" s="2" t="s">
        <v>1823</v>
      </c>
      <c r="O666" s="8" t="s">
        <v>1013</v>
      </c>
      <c r="P666" s="8" t="s">
        <v>401</v>
      </c>
      <c r="Q666" s="12" t="str">
        <f>HYPERLINK("http://www.local10.com/news/bso-investigates-deputyinvolved-shooting-in-pompano-beach/33522974","http://www.local10.com/news/bso-investigates-deputyinvolved-shooting-in-pompano-beach/33522974")</f>
        <v>http://www.local10.com/news/bso-investigates-deputyinvolved-shooting-in-pompano-beach/33522974</v>
      </c>
      <c r="R666" s="8" t="s">
        <v>100</v>
      </c>
      <c r="S666" s="8" t="s">
        <v>28</v>
      </c>
      <c r="T666" s="6"/>
      <c r="U666" s="8"/>
    </row>
    <row r="667" spans="1:34" ht="13" customHeight="1">
      <c r="A667" s="8" t="s">
        <v>1824</v>
      </c>
      <c r="B667" s="16">
        <v>46</v>
      </c>
      <c r="C667" s="8" t="s">
        <v>20</v>
      </c>
      <c r="D667" s="8" t="s">
        <v>85</v>
      </c>
      <c r="E667" s="8" t="str">
        <f>HYPERLINK("http://i.dailymail.co.uk/i/pix/2015/06/12/08/298F3F8200000578-3120464-image-m-3_1434095771297.jpg","http://i.dailymail.co.uk/i/pix/2015/06/12/08/298F3F8200000578-3120464-image-m-3_1434095771297.jpg")</f>
        <v>http://i.dailymail.co.uk/i/pix/2015/06/12/08/298F3F8200000578-3120464-image-m-3_1434095771297.jpg</v>
      </c>
      <c r="F667" s="17">
        <v>42166</v>
      </c>
      <c r="G667" s="8" t="s">
        <v>1825</v>
      </c>
      <c r="H667" s="8" t="s">
        <v>213</v>
      </c>
      <c r="I667" s="8" t="s">
        <v>62</v>
      </c>
      <c r="J667" s="16" t="s">
        <v>1826</v>
      </c>
      <c r="K667" s="2" t="s">
        <v>161</v>
      </c>
      <c r="L667" s="8" t="s">
        <v>456</v>
      </c>
      <c r="M667" s="8" t="s">
        <v>27</v>
      </c>
      <c r="N667" s="2" t="s">
        <v>1827</v>
      </c>
      <c r="O667" s="8" t="s">
        <v>1013</v>
      </c>
      <c r="P667" s="8" t="s">
        <v>401</v>
      </c>
      <c r="Q667" s="12" t="str">
        <f>HYPERLINK("http://miami.cbslocal.com/2015/06/11/witnesses-police-officer-shoots-homeless-man-five-times-in-miami/","http://miami.cbslocal.com/2015/06/11/witnesses-police-officer-shoots-homeless-man-five-times-in-miami/")</f>
        <v>http://miami.cbslocal.com/2015/06/11/witnesses-police-officer-shoots-homeless-man-five-times-in-miami/</v>
      </c>
      <c r="R667" s="8" t="s">
        <v>29</v>
      </c>
      <c r="S667" s="8" t="s">
        <v>28</v>
      </c>
      <c r="T667" s="6"/>
      <c r="U667" s="8"/>
    </row>
    <row r="668" spans="1:34" ht="13" customHeight="1">
      <c r="A668" s="8" t="s">
        <v>1832</v>
      </c>
      <c r="B668" s="16">
        <v>22</v>
      </c>
      <c r="C668" s="8" t="s">
        <v>20</v>
      </c>
      <c r="D668" s="8" t="s">
        <v>48</v>
      </c>
      <c r="E668" s="8" t="str">
        <f>HYPERLINK("http://www.northjersey.com/polopoly_fs/1.1355145.1434164980!/fileImage/httpImage/image.jpg_gen/derivatives/landscape_300/hackensackshooting.jpg","http://www.northjersey.com/polopoly_fs/1.1355145.1434164980!/fileImage/httpImage/image.jpg_gen/derivatives/landscape_300/hackensackshooting.jpg")</f>
        <v>http://www.northjersey.com/polopoly_fs/1.1355145.1434164980!/fileImage/httpImage/image.jpg_gen/derivatives/landscape_300/hackensackshooting.jpg</v>
      </c>
      <c r="F668" s="17">
        <v>42166</v>
      </c>
      <c r="G668" s="8" t="s">
        <v>1833</v>
      </c>
      <c r="H668" s="8" t="s">
        <v>1834</v>
      </c>
      <c r="I668" s="8" t="s">
        <v>81</v>
      </c>
      <c r="J668" s="16" t="s">
        <v>1835</v>
      </c>
      <c r="K668" s="2" t="s">
        <v>1836</v>
      </c>
      <c r="L668" s="8" t="s">
        <v>1837</v>
      </c>
      <c r="M668" s="8" t="s">
        <v>27</v>
      </c>
      <c r="N668" s="2" t="s">
        <v>1838</v>
      </c>
      <c r="O668" s="8" t="s">
        <v>1013</v>
      </c>
      <c r="P668" s="8" t="s">
        <v>401</v>
      </c>
      <c r="Q668" s="12" t="str">
        <f>HYPERLINK("http://www.northjersey.com/news/hackensack-man-killed-in-police-involved-shooting-had-knife-officials-say-1.1354435","http://www.northjersey.com/news/hackensack-man-killed-in-police-involved-shooting-had-knife-officials-say-1.1354435")</f>
        <v>http://www.northjersey.com/news/hackensack-man-killed-in-police-involved-shooting-had-knife-officials-say-1.1354435</v>
      </c>
      <c r="R668" s="8" t="s">
        <v>555</v>
      </c>
      <c r="S668" s="8" t="s">
        <v>28</v>
      </c>
      <c r="T668" s="6"/>
      <c r="U668" s="8"/>
    </row>
    <row r="669" spans="1:34" ht="13" customHeight="1">
      <c r="A669" s="8" t="s">
        <v>1828</v>
      </c>
      <c r="B669" s="16">
        <v>28</v>
      </c>
      <c r="C669" s="8" t="s">
        <v>20</v>
      </c>
      <c r="D669" s="8" t="s">
        <v>48</v>
      </c>
      <c r="E669" s="8" t="str">
        <f>HYPERLINK("http://victimsofpolice.com/2015/images/Mark-Flores-Jr.jpg","http://victimsofpolice.com/2015/images/Mark-Flores-Jr.jpg")</f>
        <v>http://victimsofpolice.com/2015/images/Mark-Flores-Jr.jpg</v>
      </c>
      <c r="F669" s="17">
        <v>42166</v>
      </c>
      <c r="G669" s="8" t="s">
        <v>1829</v>
      </c>
      <c r="H669" s="8" t="s">
        <v>575</v>
      </c>
      <c r="I669" s="8" t="s">
        <v>73</v>
      </c>
      <c r="J669" s="16" t="s">
        <v>1830</v>
      </c>
      <c r="K669" s="2" t="s">
        <v>576</v>
      </c>
      <c r="L669" s="8" t="s">
        <v>585</v>
      </c>
      <c r="M669" s="8" t="s">
        <v>27</v>
      </c>
      <c r="N669" s="2" t="s">
        <v>1831</v>
      </c>
      <c r="O669" s="8" t="s">
        <v>400</v>
      </c>
      <c r="P669" s="8" t="s">
        <v>401</v>
      </c>
      <c r="Q669" s="12" t="str">
        <f>HYPERLINK("http://www.ksat.com/news/father-says-mental-issues-triggered-gun-fight-with-son","http://www.ksat.com/news/father-says-mental-issues-triggered-gun-fight-with-son")</f>
        <v>http://www.ksat.com/news/father-says-mental-issues-triggered-gun-fight-with-son</v>
      </c>
      <c r="R669" s="8" t="s">
        <v>555</v>
      </c>
      <c r="S669" s="8" t="s">
        <v>28</v>
      </c>
      <c r="T669" s="6"/>
      <c r="U669" s="8"/>
    </row>
    <row r="670" spans="1:34" ht="13" customHeight="1">
      <c r="A670" s="8" t="s">
        <v>1839</v>
      </c>
      <c r="B670" s="16">
        <v>86</v>
      </c>
      <c r="C670" s="8" t="s">
        <v>20</v>
      </c>
      <c r="D670" s="8" t="s">
        <v>37</v>
      </c>
      <c r="F670" s="17">
        <v>42166</v>
      </c>
      <c r="G670" s="8" t="s">
        <v>1840</v>
      </c>
      <c r="H670" s="8" t="s">
        <v>51</v>
      </c>
      <c r="I670" s="8" t="s">
        <v>319</v>
      </c>
      <c r="J670" s="16" t="s">
        <v>1841</v>
      </c>
      <c r="K670" s="2" t="s">
        <v>1842</v>
      </c>
      <c r="L670" s="8" t="s">
        <v>1843</v>
      </c>
      <c r="M670" s="8" t="s">
        <v>27</v>
      </c>
      <c r="N670" s="2" t="s">
        <v>1844</v>
      </c>
      <c r="O670" s="8" t="s">
        <v>400</v>
      </c>
      <c r="P670" s="8" t="s">
        <v>401</v>
      </c>
      <c r="Q670" s="12" t="str">
        <f>HYPERLINK("http://www.wsmv.com/story/29298752/officer-involved-fatal-shooting-reported-in-columbia","http://www.wsmv.com/story/29298752/officer-involved-fatal-shooting-reported-in-columbia")</f>
        <v>http://www.wsmv.com/story/29298752/officer-involved-fatal-shooting-reported-in-columbia</v>
      </c>
      <c r="R670" s="8" t="s">
        <v>29</v>
      </c>
      <c r="S670" s="8" t="s">
        <v>28</v>
      </c>
      <c r="T670" s="6"/>
      <c r="U670" s="8"/>
    </row>
    <row r="671" spans="1:34" ht="13" customHeight="1">
      <c r="A671" s="8" t="s">
        <v>1845</v>
      </c>
      <c r="B671" s="16">
        <v>19</v>
      </c>
      <c r="C671" s="8" t="s">
        <v>20</v>
      </c>
      <c r="D671" s="8" t="s">
        <v>85</v>
      </c>
      <c r="E671" s="8" t="str">
        <f>HYPERLINK("http://assets.dnainfo.com/generated/photo/2015/06/hampton-isaiah-13a2575-11-1433968556.jpg/extralarge.jpg","http://assets.dnainfo.com/generated/photo/2015/06/hampton-isaiah-13a2575-11-1433968556.jpg/extralarge.jpg")</f>
        <v>http://assets.dnainfo.com/generated/photo/2015/06/hampton-isaiah-13a2575-11-1433968556.jpg/extralarge.jpg</v>
      </c>
      <c r="F671" s="17">
        <v>42165</v>
      </c>
      <c r="G671" s="8" t="s">
        <v>1846</v>
      </c>
      <c r="H671" s="8" t="s">
        <v>1847</v>
      </c>
      <c r="I671" s="8" t="s">
        <v>423</v>
      </c>
      <c r="J671" s="16" t="s">
        <v>1848</v>
      </c>
      <c r="K671" s="2" t="s">
        <v>757</v>
      </c>
      <c r="L671" s="8" t="s">
        <v>582</v>
      </c>
      <c r="M671" s="8" t="s">
        <v>27</v>
      </c>
      <c r="N671" s="2" t="s">
        <v>1849</v>
      </c>
      <c r="O671" s="8" t="s">
        <v>400</v>
      </c>
      <c r="P671" s="8" t="s">
        <v>401</v>
      </c>
      <c r="Q671" s="12" t="str">
        <f>HYPERLINK("http://www.nydailynews.com/new-york/bronx/bronx-man-shot-police-responding-domestic-dispute-article-1.2253127","http://www.nydailynews.com/new-york/bronx/bronx-man-shot-police-responding-domestic-dispute-article-1.2253127")</f>
        <v>http://www.nydailynews.com/new-york/bronx/bronx-man-shot-police-responding-domestic-dispute-article-1.2253127</v>
      </c>
      <c r="R671" s="8" t="s">
        <v>100</v>
      </c>
      <c r="S671" s="7" t="s">
        <v>28</v>
      </c>
      <c r="T671" s="6"/>
      <c r="U671" s="8"/>
    </row>
    <row r="672" spans="1:34" ht="13" customHeight="1">
      <c r="A672" s="8" t="str">
        <f>HYPERLINK("http://www.killedbypolice.net/victims/150504.jpg","QuanDavier Hicks")</f>
        <v>QuanDavier Hicks</v>
      </c>
      <c r="B672" s="16">
        <v>22</v>
      </c>
      <c r="C672" s="8" t="s">
        <v>20</v>
      </c>
      <c r="D672" s="8" t="s">
        <v>85</v>
      </c>
      <c r="E672" s="8" t="str">
        <f>HYPERLINK("http://media2.wcpo.com/photo/2015/06/10/16x9/Cincinnati_fatal_officer_involved_shooti_3047750000_19584286_ver1.0_640_480.jpg","http://media2.wcpo.com/photo/2015/06/10/16x9/Cincinnati_fatal_officer_involved_shooti_3047750000_19584286_ver1.0_640_480.jpg")</f>
        <v>http://media2.wcpo.com/photo/2015/06/10/16x9/Cincinnati_fatal_officer_involved_shooti_3047750000_19584286_ver1.0_640_480.jpg</v>
      </c>
      <c r="F672" s="17">
        <v>42164</v>
      </c>
      <c r="G672" s="8" t="s">
        <v>1850</v>
      </c>
      <c r="H672" s="8" t="s">
        <v>547</v>
      </c>
      <c r="I672" s="8" t="s">
        <v>69</v>
      </c>
      <c r="J672" s="16" t="s">
        <v>1851</v>
      </c>
      <c r="K672" s="2" t="s">
        <v>548</v>
      </c>
      <c r="L672" s="8" t="s">
        <v>549</v>
      </c>
      <c r="M672" s="8" t="s">
        <v>27</v>
      </c>
      <c r="N672" s="2" t="s">
        <v>1852</v>
      </c>
      <c r="O672" s="8" t="s">
        <v>1013</v>
      </c>
      <c r="P672" s="8" t="s">
        <v>401</v>
      </c>
      <c r="Q672" s="12" t="str">
        <f>HYPERLINK("http://www.cincinnati.com/story/news/crime/2015/06/09/officer-involved-shooting-northside/28778129/","http://www.cincinnati.com/story/news/crime/2015/06/09/officer-involved-shooting-northside/28778129/")</f>
        <v>http://www.cincinnati.com/story/news/crime/2015/06/09/officer-involved-shooting-northside/28778129/</v>
      </c>
      <c r="R672" s="8" t="s">
        <v>29</v>
      </c>
      <c r="S672" s="7" t="s">
        <v>28</v>
      </c>
      <c r="T672" s="6"/>
      <c r="U672" s="8"/>
    </row>
    <row r="673" spans="1:39" ht="13" customHeight="1">
      <c r="A673" s="8" t="s">
        <v>1853</v>
      </c>
      <c r="B673" s="16">
        <v>25</v>
      </c>
      <c r="C673" s="8" t="s">
        <v>20</v>
      </c>
      <c r="D673" s="8" t="s">
        <v>85</v>
      </c>
      <c r="F673" s="17">
        <v>42164</v>
      </c>
      <c r="G673" s="8" t="s">
        <v>1854</v>
      </c>
      <c r="H673" s="8" t="s">
        <v>285</v>
      </c>
      <c r="I673" s="8" t="s">
        <v>73</v>
      </c>
      <c r="J673" s="16" t="s">
        <v>1855</v>
      </c>
      <c r="K673" s="2" t="s">
        <v>285</v>
      </c>
      <c r="L673" s="8" t="s">
        <v>286</v>
      </c>
      <c r="M673" s="8" t="s">
        <v>391</v>
      </c>
      <c r="N673" s="2" t="s">
        <v>1856</v>
      </c>
      <c r="O673" s="8" t="s">
        <v>1857</v>
      </c>
      <c r="P673" s="8" t="s">
        <v>401</v>
      </c>
      <c r="Q673" s="12" t="str">
        <f>HYPERLINK("http://www.dallasnews.com/news/metro/20150609-man-who-died-after-police-used-stun-gun-identified.ece","http://www.dallasnews.com/news/metro/20150609-man-who-died-after-police-used-stun-gun-identified.ece")</f>
        <v>http://www.dallasnews.com/news/metro/20150609-man-who-died-after-police-used-stun-gun-identified.ece</v>
      </c>
      <c r="R673" s="8" t="s">
        <v>100</v>
      </c>
      <c r="S673" s="7" t="s">
        <v>18</v>
      </c>
      <c r="T673" s="6"/>
      <c r="U673" s="8"/>
    </row>
    <row r="674" spans="1:39" ht="13" customHeight="1">
      <c r="A674" s="8" t="s">
        <v>1858</v>
      </c>
      <c r="B674" s="16">
        <v>45</v>
      </c>
      <c r="C674" s="8" t="s">
        <v>20</v>
      </c>
      <c r="D674" s="8" t="s">
        <v>37</v>
      </c>
      <c r="E674" s="8" t="s">
        <v>20664</v>
      </c>
      <c r="F674" s="17">
        <v>42164</v>
      </c>
      <c r="G674" s="8" t="s">
        <v>1859</v>
      </c>
      <c r="H674" s="8" t="s">
        <v>1860</v>
      </c>
      <c r="I674" s="8" t="s">
        <v>73</v>
      </c>
      <c r="J674" s="16" t="s">
        <v>1861</v>
      </c>
      <c r="K674" s="2" t="s">
        <v>558</v>
      </c>
      <c r="L674" s="8" t="s">
        <v>1862</v>
      </c>
      <c r="M674" s="8" t="s">
        <v>27</v>
      </c>
      <c r="N674" s="2" t="s">
        <v>1863</v>
      </c>
      <c r="O674" s="8" t="s">
        <v>1013</v>
      </c>
      <c r="P674" s="8" t="s">
        <v>401</v>
      </c>
      <c r="Q674" s="12" t="str">
        <f>HYPERLINK("http://www.yourhoustonnews.com/courier/news/one-dead-after-officer-involved-shooting/article_1cfb859f-d481-5895-abe3-9f10b2b50423.html","http://www.yourhoustonnews.com/courier/news/one-dead-after-officer-involved-shooting/article_1cfb859f-d481-5895-abe3-9f10b2b50423.html")</f>
        <v>http://www.yourhoustonnews.com/courier/news/one-dead-after-officer-involved-shooting/article_1cfb859f-d481-5895-abe3-9f10b2b50423.html</v>
      </c>
      <c r="R674" s="8" t="s">
        <v>100</v>
      </c>
      <c r="S674" s="7" t="s">
        <v>28</v>
      </c>
      <c r="T674" s="6"/>
      <c r="U674" s="8"/>
    </row>
    <row r="675" spans="1:39" ht="13" customHeight="1">
      <c r="A675" s="8" t="str">
        <f>HYPERLINK("http://www.killedbypolice.net/victims/150505.jpg","Ryan Keith Bolinger")</f>
        <v>Ryan Keith Bolinger</v>
      </c>
      <c r="B675" s="16">
        <v>28</v>
      </c>
      <c r="C675" s="8" t="s">
        <v>20</v>
      </c>
      <c r="D675" s="8" t="s">
        <v>37</v>
      </c>
      <c r="F675" s="17">
        <v>42164</v>
      </c>
      <c r="G675" s="8" t="s">
        <v>1864</v>
      </c>
      <c r="H675" s="8" t="s">
        <v>1865</v>
      </c>
      <c r="I675" s="8" t="s">
        <v>370</v>
      </c>
      <c r="J675" s="16" t="s">
        <v>1866</v>
      </c>
      <c r="K675" s="2" t="s">
        <v>1867</v>
      </c>
      <c r="L675" s="8" t="s">
        <v>1868</v>
      </c>
      <c r="M675" s="8" t="s">
        <v>27</v>
      </c>
      <c r="N675" s="2" t="s">
        <v>1869</v>
      </c>
      <c r="O675" s="8" t="s">
        <v>400</v>
      </c>
      <c r="P675" s="8" t="s">
        <v>401</v>
      </c>
      <c r="Q675" s="12" t="str">
        <f>HYPERLINK("http://www.desmoinesregister.com/story/news/crime-and-courts/2015/06/10/fatal-shooting-officer-involved-merle-hay-urbandale/28779873/","http://www.desmoinesregister.com/story/news/crime-and-courts/2015/06/10/fatal-shooting-officer-involved-merle-hay-urbandale/28779873/")</f>
        <v>http://www.desmoinesregister.com/story/news/crime-and-courts/2015/06/10/fatal-shooting-officer-involved-merle-hay-urbandale/28779873/</v>
      </c>
      <c r="R675" s="8" t="s">
        <v>100</v>
      </c>
      <c r="S675" s="7" t="s">
        <v>18</v>
      </c>
      <c r="T675" s="6"/>
      <c r="U675" s="8"/>
    </row>
    <row r="676" spans="1:39" ht="13" customHeight="1">
      <c r="A676" s="8" t="str">
        <f>HYPERLINK("http://www.killedbypolice.net/victims/150501.jpg","Jeremy John Linhart")</f>
        <v>Jeremy John Linhart</v>
      </c>
      <c r="B676" s="16">
        <v>30</v>
      </c>
      <c r="C676" s="8" t="s">
        <v>20</v>
      </c>
      <c r="D676" s="8" t="s">
        <v>37</v>
      </c>
      <c r="F676" s="17">
        <v>42164</v>
      </c>
      <c r="G676" s="8" t="s">
        <v>1870</v>
      </c>
      <c r="H676" s="8" t="s">
        <v>1871</v>
      </c>
      <c r="I676" s="8" t="s">
        <v>69</v>
      </c>
      <c r="J676" s="16" t="s">
        <v>1872</v>
      </c>
      <c r="K676" s="2" t="s">
        <v>1873</v>
      </c>
      <c r="L676" s="8" t="s">
        <v>1874</v>
      </c>
      <c r="M676" s="8" t="s">
        <v>27</v>
      </c>
      <c r="N676" s="2" t="s">
        <v>1875</v>
      </c>
      <c r="O676" s="8" t="s">
        <v>400</v>
      </c>
      <c r="P676" s="8" t="s">
        <v>401</v>
      </c>
      <c r="Q676" s="12" t="str">
        <f>HYPERLINK("https://www.toledoblade.com/Police-Fire/2015/06/09/Findlay-officer-involved-in-shooting.html","https://www.toledoblade.com/Police-Fire/2015/06/09/Findlay-officer-involved-in-shooting.html")</f>
        <v>https://www.toledoblade.com/Police-Fire/2015/06/09/Findlay-officer-involved-in-shooting.html</v>
      </c>
      <c r="R676" s="8" t="s">
        <v>100</v>
      </c>
      <c r="S676" s="7" t="s">
        <v>18</v>
      </c>
      <c r="T676" s="6"/>
      <c r="U676" s="8"/>
    </row>
    <row r="677" spans="1:39" ht="13" customHeight="1">
      <c r="A677" s="8" t="str">
        <f>HYPERLINK("http://www.killedbypolice.net/victims/150496.jpg","Matthew Wayne McDaniel")</f>
        <v>Matthew Wayne McDaniel</v>
      </c>
      <c r="B677" s="16">
        <v>35</v>
      </c>
      <c r="C677" s="8" t="s">
        <v>20</v>
      </c>
      <c r="D677" s="8" t="s">
        <v>21</v>
      </c>
      <c r="F677" s="17">
        <v>42163</v>
      </c>
      <c r="G677" s="8" t="s">
        <v>1876</v>
      </c>
      <c r="H677" s="8" t="s">
        <v>1877</v>
      </c>
      <c r="I677" s="8" t="s">
        <v>62</v>
      </c>
      <c r="J677" s="16" t="s">
        <v>1878</v>
      </c>
      <c r="K677" s="2" t="s">
        <v>1772</v>
      </c>
      <c r="L677" s="8" t="s">
        <v>1879</v>
      </c>
      <c r="M677" s="8" t="s">
        <v>27</v>
      </c>
      <c r="N677" s="2" t="s">
        <v>1880</v>
      </c>
      <c r="O677" s="8" t="s">
        <v>1013</v>
      </c>
      <c r="P677" s="8" t="s">
        <v>401</v>
      </c>
      <c r="Q677" s="12" t="str">
        <f>HYPERLINK("http://www.wftv.com/news/news/local/police-person-interest-killed-melbourne-officer-in/nmX7b/","http://www.wftv.com/news/news/local/police-person-interest-killed-melbourne-officer-in/nmX7b/")</f>
        <v>http://www.wftv.com/news/news/local/police-person-interest-killed-melbourne-officer-in/nmX7b/</v>
      </c>
      <c r="R677" s="8" t="s">
        <v>29</v>
      </c>
      <c r="S677" s="7" t="s">
        <v>28</v>
      </c>
      <c r="T677" s="6"/>
      <c r="U677" s="8"/>
      <c r="AI677" s="8"/>
      <c r="AJ677" s="8"/>
      <c r="AK677" s="8"/>
      <c r="AL677" s="8"/>
      <c r="AM677" s="8"/>
    </row>
    <row r="678" spans="1:39" ht="13" customHeight="1">
      <c r="A678" s="8" t="str">
        <f>HYPERLINK("http://www.killedbypolice.net/victims/150498.jpg","Rene Garcia")</f>
        <v>Rene Garcia</v>
      </c>
      <c r="B678" s="16">
        <v>30</v>
      </c>
      <c r="C678" s="8" t="s">
        <v>20</v>
      </c>
      <c r="D678" s="8" t="s">
        <v>48</v>
      </c>
      <c r="F678" s="17">
        <v>42163</v>
      </c>
      <c r="G678" s="8" t="s">
        <v>1881</v>
      </c>
      <c r="H678" s="8" t="s">
        <v>1882</v>
      </c>
      <c r="I678" s="8" t="s">
        <v>45</v>
      </c>
      <c r="J678" s="16" t="s">
        <v>1883</v>
      </c>
      <c r="K678" s="2" t="s">
        <v>1064</v>
      </c>
      <c r="L678" s="8" t="s">
        <v>1884</v>
      </c>
      <c r="M678" s="8" t="s">
        <v>27</v>
      </c>
      <c r="N678" s="2" t="s">
        <v>1885</v>
      </c>
      <c r="O678" s="8" t="s">
        <v>400</v>
      </c>
      <c r="P678" s="8" t="s">
        <v>401</v>
      </c>
      <c r="Q678" s="12" t="str">
        <f>HYPERLINK("http://www.ocregister.com/articles/shooting-665164-personnel-dispatchers.html","http://www.ocregister.com/articles/shooting-665164-personnel-dispatchers.html")</f>
        <v>http://www.ocregister.com/articles/shooting-665164-personnel-dispatchers.html</v>
      </c>
      <c r="R678" s="8" t="s">
        <v>555</v>
      </c>
      <c r="S678" s="7" t="s">
        <v>28</v>
      </c>
      <c r="T678" s="6"/>
      <c r="U678" s="8"/>
      <c r="Y678" s="8"/>
      <c r="Z678" s="8"/>
      <c r="AA678" s="8"/>
      <c r="AB678" s="8"/>
      <c r="AC678" s="8"/>
      <c r="AD678" s="8"/>
      <c r="AE678" s="8"/>
      <c r="AF678" s="8"/>
      <c r="AG678" s="8"/>
      <c r="AH678" s="8"/>
    </row>
    <row r="679" spans="1:39" ht="13" customHeight="1">
      <c r="A679" s="8" t="s">
        <v>1892</v>
      </c>
      <c r="B679" s="16">
        <v>69</v>
      </c>
      <c r="C679" s="8" t="s">
        <v>20</v>
      </c>
      <c r="D679" s="8" t="s">
        <v>30</v>
      </c>
      <c r="F679" s="17">
        <v>42163</v>
      </c>
      <c r="G679" s="8" t="s">
        <v>1893</v>
      </c>
      <c r="H679" s="8" t="s">
        <v>1894</v>
      </c>
      <c r="I679" s="8" t="s">
        <v>123</v>
      </c>
      <c r="J679" s="16" t="s">
        <v>1895</v>
      </c>
      <c r="K679" s="2" t="s">
        <v>635</v>
      </c>
      <c r="L679" s="8" t="s">
        <v>1896</v>
      </c>
      <c r="M679" s="8" t="s">
        <v>27</v>
      </c>
      <c r="N679" s="2" t="s">
        <v>1897</v>
      </c>
      <c r="O679" s="8" t="s">
        <v>1013</v>
      </c>
      <c r="P679" s="8" t="s">
        <v>401</v>
      </c>
      <c r="Q679" s="12" t="str">
        <f>HYPERLINK("http://www.azfamily.com/story/29270558/deputy-involved-shooting-in-sun-city","http://www.azfamily.com/story/29270558/deputy-involved-shooting-in-sun-city")</f>
        <v>http://www.azfamily.com/story/29270558/deputy-involved-shooting-in-sun-city</v>
      </c>
      <c r="R679" s="8" t="s">
        <v>555</v>
      </c>
      <c r="S679" s="7" t="s">
        <v>28</v>
      </c>
      <c r="T679" s="6"/>
      <c r="U679" s="8"/>
    </row>
    <row r="680" spans="1:39" ht="13" customHeight="1">
      <c r="A680" s="8" t="s">
        <v>1886</v>
      </c>
      <c r="B680" s="16">
        <v>54</v>
      </c>
      <c r="C680" s="8" t="s">
        <v>20</v>
      </c>
      <c r="D680" s="8" t="s">
        <v>37</v>
      </c>
      <c r="F680" s="17">
        <v>42163</v>
      </c>
      <c r="G680" s="8" t="s">
        <v>1887</v>
      </c>
      <c r="H680" s="8" t="s">
        <v>1888</v>
      </c>
      <c r="I680" s="8" t="s">
        <v>217</v>
      </c>
      <c r="J680" s="16" t="s">
        <v>1889</v>
      </c>
      <c r="K680" s="2" t="s">
        <v>420</v>
      </c>
      <c r="L680" s="8" t="s">
        <v>1890</v>
      </c>
      <c r="M680" s="8" t="s">
        <v>27</v>
      </c>
      <c r="N680" s="2" t="s">
        <v>1891</v>
      </c>
      <c r="O680" s="8" t="s">
        <v>400</v>
      </c>
      <c r="P680" s="8" t="s">
        <v>401</v>
      </c>
      <c r="Q680" s="12" t="str">
        <f>HYPERLINK("http://www.indystar.com/story/news/crime/2015/06/08/police-shooting-suspect-dead-beech-grove/28700455/","http://www.indystar.com/story/news/crime/2015/06/08/police-shooting-suspect-dead-beech-grove/28700455/")</f>
        <v>http://www.indystar.com/story/news/crime/2015/06/08/police-shooting-suspect-dead-beech-grove/28700455/</v>
      </c>
      <c r="R680" s="8" t="s">
        <v>555</v>
      </c>
      <c r="S680" s="7" t="s">
        <v>28</v>
      </c>
      <c r="T680" s="6"/>
      <c r="U680" s="8"/>
    </row>
    <row r="681" spans="1:39" ht="13" customHeight="1">
      <c r="A681" s="8" t="str">
        <f>HYPERLINK("http://www.killedbypolice.net/victims/150499.jpg","Mario Ocasio")</f>
        <v>Mario Ocasio</v>
      </c>
      <c r="B681" s="16">
        <v>51</v>
      </c>
      <c r="C681" s="8" t="s">
        <v>20</v>
      </c>
      <c r="D681" s="8" t="s">
        <v>37</v>
      </c>
      <c r="F681" s="17">
        <v>42163</v>
      </c>
      <c r="G681" s="8" t="s">
        <v>1898</v>
      </c>
      <c r="H681" s="8" t="s">
        <v>757</v>
      </c>
      <c r="I681" s="8" t="s">
        <v>423</v>
      </c>
      <c r="J681" s="16" t="s">
        <v>1899</v>
      </c>
      <c r="K681" s="2" t="s">
        <v>1847</v>
      </c>
      <c r="L681" s="8" t="s">
        <v>582</v>
      </c>
      <c r="M681" s="8" t="s">
        <v>391</v>
      </c>
      <c r="N681" s="2" t="s">
        <v>1900</v>
      </c>
      <c r="O681" s="8" t="s">
        <v>400</v>
      </c>
      <c r="P681" s="8" t="s">
        <v>401</v>
      </c>
      <c r="Q681" s="12" t="str">
        <f>HYPERLINK("http://www.nydailynews.com/new-york/bronx/bronx-man-shocked-taser-cops-dies-sources-article-1.2250703","http://www.nydailynews.com/new-york/bronx/bronx-man-shocked-taser-cops-dies-sources-article-1.2250703")</f>
        <v>http://www.nydailynews.com/new-york/bronx/bronx-man-shocked-taser-cops-dies-sources-article-1.2250703</v>
      </c>
      <c r="R681" s="8" t="s">
        <v>967</v>
      </c>
      <c r="S681" s="7" t="s">
        <v>28</v>
      </c>
      <c r="T681" s="6"/>
      <c r="U681" s="8"/>
    </row>
    <row r="682" spans="1:39" ht="13" customHeight="1">
      <c r="A682" s="8" t="s">
        <v>1908</v>
      </c>
      <c r="B682" s="16">
        <v>58</v>
      </c>
      <c r="C682" s="8" t="s">
        <v>20</v>
      </c>
      <c r="D682" s="8" t="s">
        <v>37</v>
      </c>
      <c r="F682" s="17">
        <v>42162</v>
      </c>
      <c r="G682" s="8" t="s">
        <v>1909</v>
      </c>
      <c r="H682" s="8" t="s">
        <v>1910</v>
      </c>
      <c r="I682" s="8" t="s">
        <v>303</v>
      </c>
      <c r="J682" s="16">
        <v>98674</v>
      </c>
      <c r="K682" s="2" t="s">
        <v>1911</v>
      </c>
      <c r="L682" s="8" t="s">
        <v>1912</v>
      </c>
      <c r="M682" s="8" t="s">
        <v>27</v>
      </c>
      <c r="N682" s="2" t="s">
        <v>1913</v>
      </c>
      <c r="O682" s="8" t="s">
        <v>400</v>
      </c>
      <c r="P682" s="8" t="s">
        <v>401</v>
      </c>
      <c r="Q682" s="12" t="str">
        <f>HYPERLINK("http://www.komonews.com/news/local/Police-officer-in-Woodland-shoots-kills-58-year-old-man-306422811.html","http://www.komonews.com/news/local/Police-officer-in-Woodland-shoots-kills-58-year-old-man-306422811.html")</f>
        <v>http://www.komonews.com/news/local/Police-officer-in-Woodland-shoots-kills-58-year-old-man-306422811.html</v>
      </c>
      <c r="R682" s="8" t="s">
        <v>555</v>
      </c>
      <c r="S682" s="7" t="s">
        <v>28</v>
      </c>
      <c r="T682" s="6"/>
      <c r="U682" s="8"/>
      <c r="V682" s="8"/>
      <c r="W682" s="8"/>
      <c r="X682" s="8"/>
    </row>
    <row r="683" spans="1:39" ht="13" customHeight="1">
      <c r="A683" s="8" t="s">
        <v>1901</v>
      </c>
      <c r="B683" s="16">
        <v>53</v>
      </c>
      <c r="C683" s="8" t="s">
        <v>20</v>
      </c>
      <c r="D683" s="8" t="s">
        <v>37</v>
      </c>
      <c r="E683" s="8" t="s">
        <v>20667</v>
      </c>
      <c r="F683" s="17">
        <v>42162</v>
      </c>
      <c r="G683" s="8" t="s">
        <v>1902</v>
      </c>
      <c r="H683" s="8" t="s">
        <v>1903</v>
      </c>
      <c r="I683" s="8" t="s">
        <v>62</v>
      </c>
      <c r="J683" s="16" t="s">
        <v>1904</v>
      </c>
      <c r="K683" s="2" t="s">
        <v>1905</v>
      </c>
      <c r="L683" s="8" t="s">
        <v>1906</v>
      </c>
      <c r="M683" s="8" t="s">
        <v>27</v>
      </c>
      <c r="N683" s="2" t="s">
        <v>1907</v>
      </c>
      <c r="O683" s="8" t="s">
        <v>400</v>
      </c>
      <c r="P683" s="8" t="s">
        <v>401</v>
      </c>
      <c r="Q683" s="12" t="str">
        <f>HYPERLINK("http://www.wfla.com/story/29258795/suspect-dead-after-deputy-involved-shooting-in-sarasota","http://www.wfla.com/story/29258795/suspect-dead-after-deputy-involved-shooting-in-sarasota")</f>
        <v>http://www.wfla.com/story/29258795/suspect-dead-after-deputy-involved-shooting-in-sarasota</v>
      </c>
      <c r="R683" s="8" t="s">
        <v>967</v>
      </c>
      <c r="S683" s="7" t="s">
        <v>28</v>
      </c>
      <c r="T683" s="6"/>
      <c r="U683" s="8"/>
    </row>
    <row r="684" spans="1:39" ht="13" customHeight="1">
      <c r="A684" s="8" t="str">
        <f>HYPERLINK("http://www.killedbypolice.net/victims/150490.jpg","Demouria Hogg")</f>
        <v>Demouria Hogg</v>
      </c>
      <c r="B684" s="16">
        <v>30</v>
      </c>
      <c r="C684" s="8" t="s">
        <v>20</v>
      </c>
      <c r="D684" s="8" t="s">
        <v>85</v>
      </c>
      <c r="F684" s="17">
        <v>42161</v>
      </c>
      <c r="G684" s="8" t="s">
        <v>1914</v>
      </c>
      <c r="H684" s="8" t="s">
        <v>603</v>
      </c>
      <c r="I684" s="8" t="s">
        <v>45</v>
      </c>
      <c r="J684" s="16" t="s">
        <v>1915</v>
      </c>
      <c r="K684" s="2" t="s">
        <v>604</v>
      </c>
      <c r="L684" s="8" t="s">
        <v>605</v>
      </c>
      <c r="M684" s="8" t="s">
        <v>27</v>
      </c>
      <c r="N684" s="2" t="s">
        <v>1916</v>
      </c>
      <c r="O684" s="8" t="s">
        <v>1013</v>
      </c>
      <c r="P684" s="8" t="s">
        <v>401</v>
      </c>
      <c r="Q684" s="12" t="str">
        <f>HYPERLINK("http://www.sfgate.com/crime/article/Oakland-police-shoot-suspect-near-Lake-Merritt-6311221.php","http://www.sfgate.com/crime/article/Oakland-police-shoot-suspect-near-Lake-Merritt-6311221.php")</f>
        <v>http://www.sfgate.com/crime/article/Oakland-police-shoot-suspect-near-Lake-Merritt-6311221.php</v>
      </c>
      <c r="R684" s="8" t="s">
        <v>100</v>
      </c>
      <c r="S684" s="7" t="s">
        <v>28</v>
      </c>
      <c r="T684" s="6"/>
      <c r="U684" s="8"/>
    </row>
    <row r="685" spans="1:39" ht="13" customHeight="1">
      <c r="A685" s="8" t="s">
        <v>1917</v>
      </c>
      <c r="B685" s="16">
        <v>19</v>
      </c>
      <c r="C685" s="8" t="s">
        <v>20</v>
      </c>
      <c r="D685" s="8" t="s">
        <v>85</v>
      </c>
      <c r="F685" s="17">
        <v>42161</v>
      </c>
      <c r="G685" s="8" t="s">
        <v>1918</v>
      </c>
      <c r="H685" s="8" t="s">
        <v>1919</v>
      </c>
      <c r="I685" s="8" t="s">
        <v>173</v>
      </c>
      <c r="J685" s="16" t="s">
        <v>1920</v>
      </c>
      <c r="K685" s="2" t="s">
        <v>1560</v>
      </c>
      <c r="L685" s="8" t="s">
        <v>1921</v>
      </c>
      <c r="M685" s="8" t="s">
        <v>379</v>
      </c>
      <c r="N685" s="2" t="s">
        <v>1922</v>
      </c>
      <c r="O685" s="8" t="s">
        <v>1013</v>
      </c>
      <c r="P685" s="8" t="s">
        <v>401</v>
      </c>
      <c r="Q685" s="12" t="s">
        <v>1923</v>
      </c>
      <c r="R685" s="8" t="s">
        <v>100</v>
      </c>
      <c r="S685" s="8" t="s">
        <v>379</v>
      </c>
      <c r="T685" s="6"/>
      <c r="U685" s="8"/>
    </row>
    <row r="686" spans="1:39" ht="13" customHeight="1">
      <c r="A686" s="8" t="str">
        <f>HYPERLINK("http://www.killedbypolice.net/victims/150489.jpg","Damien James Ramirez")</f>
        <v>Damien James Ramirez</v>
      </c>
      <c r="B686" s="16">
        <v>27</v>
      </c>
      <c r="C686" s="8" t="s">
        <v>20</v>
      </c>
      <c r="D686" s="8" t="s">
        <v>48</v>
      </c>
      <c r="F686" s="17">
        <v>42161</v>
      </c>
      <c r="G686" s="8" t="s">
        <v>1924</v>
      </c>
      <c r="H686" s="8" t="s">
        <v>1925</v>
      </c>
      <c r="I686" s="8" t="s">
        <v>209</v>
      </c>
      <c r="J686" s="16" t="s">
        <v>1926</v>
      </c>
      <c r="K686" s="2" t="s">
        <v>1927</v>
      </c>
      <c r="L686" s="8" t="s">
        <v>1928</v>
      </c>
      <c r="M686" s="8" t="s">
        <v>27</v>
      </c>
      <c r="N686" s="2" t="s">
        <v>1929</v>
      </c>
      <c r="O686" s="8" t="s">
        <v>1013</v>
      </c>
      <c r="P686" s="8" t="s">
        <v>401</v>
      </c>
      <c r="Q686" s="12" t="str">
        <f>HYPERLINK("http://www.denverpost.com/news/ci_28264788/man-was-fatally-shot-following-high-speed-chase","http://www.denverpost.com/news/ci_28264788/man-was-fatally-shot-following-high-speed-chase")</f>
        <v>http://www.denverpost.com/news/ci_28264788/man-was-fatally-shot-following-high-speed-chase</v>
      </c>
      <c r="R686" s="8" t="s">
        <v>100</v>
      </c>
      <c r="S686" s="7" t="s">
        <v>28</v>
      </c>
      <c r="T686" s="6"/>
      <c r="U686" s="8"/>
      <c r="Y686" s="8"/>
      <c r="Z686" s="8"/>
      <c r="AA686" s="8"/>
      <c r="AB686" s="8"/>
      <c r="AC686" s="8"/>
      <c r="AD686" s="8"/>
      <c r="AE686" s="8"/>
      <c r="AF686" s="8"/>
      <c r="AG686" s="8"/>
      <c r="AH686" s="8"/>
    </row>
    <row r="687" spans="1:39" ht="13" customHeight="1">
      <c r="A687" s="8" t="str">
        <f>HYPERLINK("http://www.killedbypolice.net/victims/150491.jpg","Alejandro Campos Fernandez")</f>
        <v>Alejandro Campos Fernandez</v>
      </c>
      <c r="B687" s="16">
        <v>45</v>
      </c>
      <c r="C687" s="8" t="s">
        <v>20</v>
      </c>
      <c r="D687" s="8" t="s">
        <v>48</v>
      </c>
      <c r="F687" s="17">
        <v>42161</v>
      </c>
      <c r="G687" s="8" t="s">
        <v>1930</v>
      </c>
      <c r="H687" s="8" t="s">
        <v>1931</v>
      </c>
      <c r="I687" s="8" t="s">
        <v>45</v>
      </c>
      <c r="J687" s="16" t="s">
        <v>1932</v>
      </c>
      <c r="K687" s="2" t="s">
        <v>1363</v>
      </c>
      <c r="L687" s="8" t="s">
        <v>1933</v>
      </c>
      <c r="M687" s="8" t="s">
        <v>27</v>
      </c>
      <c r="N687" s="2" t="s">
        <v>1934</v>
      </c>
      <c r="O687" s="8" t="s">
        <v>1013</v>
      </c>
      <c r="P687" s="8" t="s">
        <v>401</v>
      </c>
      <c r="Q687" s="12" t="str">
        <f>HYPERLINK("http://www.kionrightnow.com/news/local-news/officer-involvedshooting-in-watsonville-saturday-night-police-said/33444158","http://www.kionrightnow.com/news/local-news/officer-involvedshooting-in-watsonville-saturday-night-police-said/33444158")</f>
        <v>http://www.kionrightnow.com/news/local-news/officer-involvedshooting-in-watsonville-saturday-night-police-said/33444158</v>
      </c>
      <c r="R687" s="8" t="s">
        <v>100</v>
      </c>
      <c r="S687" s="7" t="s">
        <v>28</v>
      </c>
      <c r="T687" s="6"/>
      <c r="U687" s="8"/>
    </row>
    <row r="688" spans="1:39" ht="13" customHeight="1">
      <c r="A688" s="8" t="s">
        <v>1942</v>
      </c>
      <c r="B688" s="16">
        <v>42</v>
      </c>
      <c r="C688" s="8" t="s">
        <v>20</v>
      </c>
      <c r="D688" s="8" t="s">
        <v>37</v>
      </c>
      <c r="F688" s="17">
        <v>42161</v>
      </c>
      <c r="G688" s="8" t="s">
        <v>1943</v>
      </c>
      <c r="H688" s="8" t="s">
        <v>1944</v>
      </c>
      <c r="I688" s="8" t="s">
        <v>73</v>
      </c>
      <c r="J688" s="16" t="s">
        <v>1945</v>
      </c>
      <c r="K688" s="2" t="s">
        <v>1944</v>
      </c>
      <c r="L688" s="8" t="s">
        <v>1946</v>
      </c>
      <c r="M688" s="8" t="s">
        <v>27</v>
      </c>
      <c r="N688" s="2" t="s">
        <v>1947</v>
      </c>
      <c r="O688" s="8" t="s">
        <v>550</v>
      </c>
      <c r="P688" s="8" t="s">
        <v>401</v>
      </c>
      <c r="Q688" s="12" t="str">
        <f>HYPERLINK("http://www.wboy.com/story/29256189/monongalia-county-deputies-shoot-suspect-after-vehicle-pursuit","http://www.wboy.com/story/29256189/monongalia-county-deputies-shoot-suspect-after-vehicle-pursuit")</f>
        <v>http://www.wboy.com/story/29256189/monongalia-county-deputies-shoot-suspect-after-vehicle-pursuit</v>
      </c>
      <c r="R688" s="8" t="s">
        <v>29</v>
      </c>
      <c r="S688" s="7" t="s">
        <v>28</v>
      </c>
      <c r="T688" s="6"/>
      <c r="U688" s="8"/>
    </row>
    <row r="689" spans="1:39" ht="13" customHeight="1">
      <c r="A689" s="8" t="s">
        <v>1935</v>
      </c>
      <c r="B689" s="16">
        <v>45</v>
      </c>
      <c r="C689" s="8" t="s">
        <v>114</v>
      </c>
      <c r="D689" s="8" t="s">
        <v>37</v>
      </c>
      <c r="F689" s="17">
        <v>42161</v>
      </c>
      <c r="G689" s="8" t="s">
        <v>1936</v>
      </c>
      <c r="H689" s="8" t="s">
        <v>1937</v>
      </c>
      <c r="I689" s="8" t="s">
        <v>150</v>
      </c>
      <c r="J689" s="16" t="s">
        <v>1938</v>
      </c>
      <c r="K689" s="2" t="s">
        <v>1939</v>
      </c>
      <c r="L689" s="8" t="s">
        <v>1940</v>
      </c>
      <c r="M689" s="8" t="s">
        <v>27</v>
      </c>
      <c r="N689" s="2" t="s">
        <v>1941</v>
      </c>
      <c r="O689" s="8" t="s">
        <v>1013</v>
      </c>
      <c r="P689" s="8" t="s">
        <v>401</v>
      </c>
      <c r="Q689" s="12" t="str">
        <f>HYPERLINK("http://www.mrt.com/news/crime/article_eccc8aa0-0ccd-11e5-92a5-e30a35ff1af1.html","http://www.mrt.com/news/crime/article_eccc8aa0-0ccd-11e5-92a5-e30a35ff1af1.html")</f>
        <v>http://www.mrt.com/news/crime/article_eccc8aa0-0ccd-11e5-92a5-e30a35ff1af1.html</v>
      </c>
      <c r="R689" s="8" t="s">
        <v>100</v>
      </c>
      <c r="S689" s="7" t="s">
        <v>379</v>
      </c>
      <c r="T689" s="6"/>
      <c r="U689" s="8"/>
    </row>
    <row r="690" spans="1:39" ht="13" customHeight="1">
      <c r="A690" s="8" t="s">
        <v>1948</v>
      </c>
      <c r="B690" s="16">
        <v>33</v>
      </c>
      <c r="C690" s="8" t="s">
        <v>20</v>
      </c>
      <c r="D690" s="8" t="s">
        <v>85</v>
      </c>
      <c r="E690" s="8" t="s">
        <v>21234</v>
      </c>
      <c r="F690" s="17">
        <v>42160</v>
      </c>
      <c r="G690" s="8" t="s">
        <v>1949</v>
      </c>
      <c r="H690" s="8" t="s">
        <v>1103</v>
      </c>
      <c r="I690" s="8" t="s">
        <v>404</v>
      </c>
      <c r="J690" s="16" t="s">
        <v>1950</v>
      </c>
      <c r="K690" s="2" t="s">
        <v>1103</v>
      </c>
      <c r="L690" s="8" t="s">
        <v>1104</v>
      </c>
      <c r="M690" s="8" t="s">
        <v>27</v>
      </c>
      <c r="N690" s="2" t="s">
        <v>1951</v>
      </c>
      <c r="O690" s="8" t="s">
        <v>1013</v>
      </c>
      <c r="P690" s="8" t="s">
        <v>401</v>
      </c>
      <c r="Q690" s="12" t="str">
        <f>HYPERLINK("http://www.nbcphiladelphia.com/news/breaking/Rising-Sun-Pizza-Robbery-Shooting-306241121.html","http://www.nbcphiladelphia.com/news/breaking/Rising-Sun-Pizza-Robbery-Shooting-306241121.html")</f>
        <v>http://www.nbcphiladelphia.com/news/breaking/Rising-Sun-Pizza-Robbery-Shooting-306241121.html</v>
      </c>
      <c r="R690" s="8" t="s">
        <v>100</v>
      </c>
      <c r="S690" s="7" t="s">
        <v>28</v>
      </c>
      <c r="T690" s="6"/>
      <c r="U690" s="8"/>
    </row>
    <row r="691" spans="1:39" ht="13" customHeight="1">
      <c r="A691" s="8" t="s">
        <v>1952</v>
      </c>
      <c r="B691" s="16">
        <v>50</v>
      </c>
      <c r="C691" s="8" t="s">
        <v>20</v>
      </c>
      <c r="D691" s="8" t="s">
        <v>48</v>
      </c>
      <c r="F691" s="17">
        <v>42160</v>
      </c>
      <c r="G691" s="8" t="s">
        <v>1953</v>
      </c>
      <c r="H691" s="8" t="s">
        <v>1954</v>
      </c>
      <c r="I691" s="8" t="s">
        <v>45</v>
      </c>
      <c r="J691" s="16" t="s">
        <v>1955</v>
      </c>
      <c r="K691" s="2" t="s">
        <v>1956</v>
      </c>
      <c r="L691" s="8" t="s">
        <v>1957</v>
      </c>
      <c r="M691" s="8" t="s">
        <v>27</v>
      </c>
      <c r="N691" s="2" t="s">
        <v>1958</v>
      </c>
      <c r="O691" s="8" t="s">
        <v>400</v>
      </c>
      <c r="P691" s="8" t="s">
        <v>401</v>
      </c>
      <c r="Q691" s="12" t="str">
        <f>HYPERLINK("http://www.keyt.com/news/officer-involved-shooting-in-santa-maria-following-domestic-abuse-call/33434948","http://www.keyt.com/news/officer-involved-shooting-in-santa-maria-following-domestic-abuse-call/33434948")</f>
        <v>http://www.keyt.com/news/officer-involved-shooting-in-santa-maria-following-domestic-abuse-call/33434948</v>
      </c>
      <c r="R691" s="8" t="s">
        <v>100</v>
      </c>
      <c r="S691" s="7" t="s">
        <v>28</v>
      </c>
      <c r="T691" s="6"/>
      <c r="U691" s="8"/>
    </row>
    <row r="692" spans="1:39" ht="13" customHeight="1">
      <c r="A692" s="8" t="str">
        <f>HYPERLINK("http://www.killedbypolice.net/victims/150488.jpg","Donald J. Pinkerton-DeVito III")</f>
        <v>Donald J. Pinkerton-DeVito III</v>
      </c>
      <c r="B692" s="16">
        <v>23</v>
      </c>
      <c r="C692" s="8" t="s">
        <v>20</v>
      </c>
      <c r="D692" s="8" t="s">
        <v>37</v>
      </c>
      <c r="F692" s="17">
        <v>42160</v>
      </c>
      <c r="G692" s="8" t="s">
        <v>1959</v>
      </c>
      <c r="H692" s="8" t="s">
        <v>948</v>
      </c>
      <c r="I692" s="8" t="s">
        <v>45</v>
      </c>
      <c r="J692" s="16" t="s">
        <v>1960</v>
      </c>
      <c r="K692" s="2" t="s">
        <v>948</v>
      </c>
      <c r="L692" s="8" t="s">
        <v>949</v>
      </c>
      <c r="M692" s="8" t="s">
        <v>379</v>
      </c>
      <c r="N692" s="2" t="s">
        <v>1961</v>
      </c>
      <c r="O692" s="8" t="s">
        <v>1013</v>
      </c>
      <c r="P692" s="8" t="s">
        <v>401</v>
      </c>
      <c r="Q692" s="12" t="str">
        <f>HYPERLINK("http://sanfrancisco.cbslocal.com/2015/06/05/bicyclist-fatally-struck-san-francisco-police-car-mclaren-park/","http://sanfrancisco.cbslocal.com/2015/06/05/bicyclist-fatally-struck-san-francisco-police-car-mclaren-park/")</f>
        <v>http://sanfrancisco.cbslocal.com/2015/06/05/bicyclist-fatally-struck-san-francisco-police-car-mclaren-park/</v>
      </c>
      <c r="R692" s="8" t="s">
        <v>100</v>
      </c>
      <c r="S692" s="7" t="s">
        <v>18</v>
      </c>
      <c r="T692" s="6"/>
      <c r="U692" s="8"/>
    </row>
    <row r="693" spans="1:39" ht="13" customHeight="1">
      <c r="A693" s="8" t="str">
        <f>HYPERLINK("http://www.killedbypolice.net/victims/150483.jpg","Sherman Byrd")</f>
        <v>Sherman Byrd</v>
      </c>
      <c r="B693" s="16">
        <v>24</v>
      </c>
      <c r="C693" s="8" t="s">
        <v>20</v>
      </c>
      <c r="D693" s="8" t="s">
        <v>85</v>
      </c>
      <c r="F693" s="17">
        <v>42159</v>
      </c>
      <c r="G693" s="8" t="s">
        <v>1962</v>
      </c>
      <c r="H693" s="8" t="s">
        <v>403</v>
      </c>
      <c r="I693" s="8" t="s">
        <v>404</v>
      </c>
      <c r="J693" s="16" t="s">
        <v>1963</v>
      </c>
      <c r="K693" s="2" t="s">
        <v>403</v>
      </c>
      <c r="L693" s="8" t="s">
        <v>1964</v>
      </c>
      <c r="M693" s="8" t="s">
        <v>379</v>
      </c>
      <c r="N693" s="2" t="s">
        <v>1965</v>
      </c>
      <c r="O693" s="8" t="s">
        <v>400</v>
      </c>
      <c r="P693" s="8" t="s">
        <v>401</v>
      </c>
      <c r="Q693" s="12" t="str">
        <f>HYPERLINK("http://philadelphia.cbslocal.com/2015/06/04/police-cruiser-hits-kills-man-fleeing-officers-in-chester/","http://philadelphia.cbslocal.com/2015/06/04/police-cruiser-hits-kills-man-fleeing-officers-in-chester/")</f>
        <v>http://philadelphia.cbslocal.com/2015/06/04/police-cruiser-hits-kills-man-fleeing-officers-in-chester/</v>
      </c>
      <c r="R693" s="8" t="s">
        <v>29</v>
      </c>
      <c r="S693" s="7" t="s">
        <v>28</v>
      </c>
      <c r="T693" s="6"/>
      <c r="U693" s="8"/>
    </row>
    <row r="694" spans="1:39" ht="13" customHeight="1">
      <c r="A694" s="8" t="s">
        <v>1966</v>
      </c>
      <c r="B694" s="16">
        <v>46</v>
      </c>
      <c r="C694" s="8" t="s">
        <v>20</v>
      </c>
      <c r="D694" s="8" t="s">
        <v>48</v>
      </c>
      <c r="F694" s="17">
        <v>42159</v>
      </c>
      <c r="G694" s="8" t="s">
        <v>1967</v>
      </c>
      <c r="H694" s="8" t="s">
        <v>1968</v>
      </c>
      <c r="I694" s="8" t="s">
        <v>45</v>
      </c>
      <c r="J694" s="16" t="s">
        <v>1969</v>
      </c>
      <c r="K694" s="2" t="s">
        <v>682</v>
      </c>
      <c r="L694" s="8" t="s">
        <v>1970</v>
      </c>
      <c r="M694" s="8" t="s">
        <v>27</v>
      </c>
      <c r="N694" s="2" t="s">
        <v>1971</v>
      </c>
      <c r="O694" s="8" t="s">
        <v>400</v>
      </c>
      <c r="P694" s="8" t="s">
        <v>401</v>
      </c>
      <c r="Q694" s="12" t="str">
        <f>HYPERLINK("http://www.turnto23.com/news/local-news/delano-pd-shoot-kill-man-after-he-fires-at-police","http://www.turnto23.com/news/local-news/delano-pd-shoot-kill-man-after-he-fires-at-police")</f>
        <v>http://www.turnto23.com/news/local-news/delano-pd-shoot-kill-man-after-he-fires-at-police</v>
      </c>
      <c r="R694" s="8" t="s">
        <v>100</v>
      </c>
      <c r="S694" s="7" t="s">
        <v>28</v>
      </c>
      <c r="T694" s="6"/>
      <c r="U694" s="8"/>
    </row>
    <row r="695" spans="1:39" ht="13" customHeight="1">
      <c r="A695" s="8" t="str">
        <f>HYPERLINK("http://www.killedbypolice.net/victims/150485.jpg","Rudy Baca")</f>
        <v>Rudy Baca</v>
      </c>
      <c r="B695" s="16">
        <v>36</v>
      </c>
      <c r="C695" s="8" t="s">
        <v>20</v>
      </c>
      <c r="D695" s="8" t="s">
        <v>48</v>
      </c>
      <c r="F695" s="17">
        <v>42159</v>
      </c>
      <c r="G695" s="8" t="s">
        <v>1972</v>
      </c>
      <c r="H695" s="8" t="s">
        <v>1973</v>
      </c>
      <c r="I695" s="8" t="s">
        <v>195</v>
      </c>
      <c r="J695" s="16" t="s">
        <v>1974</v>
      </c>
      <c r="K695" s="2" t="s">
        <v>1975</v>
      </c>
      <c r="L695" s="8" t="s">
        <v>1976</v>
      </c>
      <c r="M695" s="8" t="s">
        <v>27</v>
      </c>
      <c r="N695" s="2" t="s">
        <v>1977</v>
      </c>
      <c r="O695" s="8" t="s">
        <v>400</v>
      </c>
      <c r="P695" s="8" t="s">
        <v>401</v>
      </c>
      <c r="Q695" s="12" t="str">
        <f>HYPERLINK("http://www.koat.com/news/valencia-county-deputy-involved-in-shooting/33383626","http://www.koat.com/news/valencia-county-deputy-involved-in-shooting/33383626")</f>
        <v>http://www.koat.com/news/valencia-county-deputy-involved-in-shooting/33383626</v>
      </c>
      <c r="R695" s="8" t="s">
        <v>100</v>
      </c>
      <c r="S695" s="7" t="s">
        <v>35</v>
      </c>
      <c r="T695" s="6"/>
      <c r="U695" s="8"/>
    </row>
    <row r="696" spans="1:39" ht="13" customHeight="1">
      <c r="A696" s="8" t="s">
        <v>1978</v>
      </c>
      <c r="B696" s="16">
        <v>18</v>
      </c>
      <c r="C696" s="8" t="s">
        <v>20</v>
      </c>
      <c r="D696" s="8" t="s">
        <v>48</v>
      </c>
      <c r="F696" s="17">
        <v>42158</v>
      </c>
      <c r="G696" s="8" t="s">
        <v>1979</v>
      </c>
      <c r="H696" s="8" t="s">
        <v>1980</v>
      </c>
      <c r="I696" s="8" t="s">
        <v>73</v>
      </c>
      <c r="J696" s="16" t="s">
        <v>1981</v>
      </c>
      <c r="K696" s="2" t="s">
        <v>1982</v>
      </c>
      <c r="L696" s="8" t="s">
        <v>1983</v>
      </c>
      <c r="M696" s="8" t="s">
        <v>27</v>
      </c>
      <c r="N696" s="2" t="s">
        <v>1984</v>
      </c>
      <c r="O696" s="8" t="s">
        <v>1013</v>
      </c>
      <c r="P696" s="8" t="s">
        <v>401</v>
      </c>
      <c r="Q696" s="12" t="str">
        <f>HYPERLINK("http://crimeblog.dallasnews.com/2015/06/two-men-dead-i-35e-shut-down-in-ellis-county-after-three-hour-chase.html/","http://crimeblog.dallasnews.com/2015/06/two-men-dead-i-35e-shut-down-in-ellis-county-after-three-hour-chase.html/")</f>
        <v>http://crimeblog.dallasnews.com/2015/06/two-men-dead-i-35e-shut-down-in-ellis-county-after-three-hour-chase.html/</v>
      </c>
      <c r="R696" s="8" t="s">
        <v>555</v>
      </c>
      <c r="S696" s="7" t="s">
        <v>28</v>
      </c>
      <c r="T696" s="6"/>
      <c r="U696" s="8"/>
    </row>
    <row r="697" spans="1:39" ht="13" customHeight="1">
      <c r="A697" s="8" t="s">
        <v>1985</v>
      </c>
      <c r="B697" s="16">
        <v>33</v>
      </c>
      <c r="C697" s="8" t="s">
        <v>20</v>
      </c>
      <c r="D697" s="8" t="s">
        <v>48</v>
      </c>
      <c r="F697" s="17">
        <v>42158</v>
      </c>
      <c r="G697" s="8" t="s">
        <v>1986</v>
      </c>
      <c r="H697" s="8" t="s">
        <v>726</v>
      </c>
      <c r="I697" s="8" t="s">
        <v>73</v>
      </c>
      <c r="J697" s="16" t="s">
        <v>1987</v>
      </c>
      <c r="K697" s="2" t="s">
        <v>558</v>
      </c>
      <c r="L697" s="8" t="s">
        <v>727</v>
      </c>
      <c r="M697" s="8" t="s">
        <v>27</v>
      </c>
      <c r="N697" s="2" t="s">
        <v>1988</v>
      </c>
      <c r="O697" s="8" t="s">
        <v>1013</v>
      </c>
      <c r="P697" s="8" t="s">
        <v>401</v>
      </c>
      <c r="Q697" s="12" t="str">
        <f>HYPERLINK("http://www.khou.com/story/news/crime/2015/06/03/chase-ends--shooting-southeast-houston/28402107/","http://www.khou.com/story/news/crime/2015/06/03/chase-ends--shooting-southeast-houston/28402107/")</f>
        <v>http://www.khou.com/story/news/crime/2015/06/03/chase-ends--shooting-southeast-houston/28402107/</v>
      </c>
      <c r="R697" s="8" t="s">
        <v>29</v>
      </c>
      <c r="S697" s="7" t="s">
        <v>28</v>
      </c>
      <c r="T697" s="6"/>
      <c r="U697" s="8"/>
    </row>
    <row r="698" spans="1:39" ht="13" customHeight="1">
      <c r="A698" s="8" t="s">
        <v>1989</v>
      </c>
      <c r="B698" s="16">
        <v>56</v>
      </c>
      <c r="C698" s="8" t="s">
        <v>20</v>
      </c>
      <c r="D698" s="8" t="s">
        <v>37</v>
      </c>
      <c r="E698" s="8" t="s">
        <v>20666</v>
      </c>
      <c r="F698" s="17">
        <v>42158</v>
      </c>
      <c r="G698" s="8" t="s">
        <v>1990</v>
      </c>
      <c r="H698" s="8" t="s">
        <v>1991</v>
      </c>
      <c r="I698" s="8" t="s">
        <v>81</v>
      </c>
      <c r="J698" s="16" t="s">
        <v>1992</v>
      </c>
      <c r="K698" s="2" t="s">
        <v>1993</v>
      </c>
      <c r="L698" s="8" t="s">
        <v>1994</v>
      </c>
      <c r="M698" s="8" t="s">
        <v>27</v>
      </c>
      <c r="N698" s="2" t="s">
        <v>1995</v>
      </c>
      <c r="O698" s="8" t="s">
        <v>400</v>
      </c>
      <c r="P698" s="8" t="s">
        <v>401</v>
      </c>
      <c r="Q698" s="12" t="str">
        <f>HYPERLINK("http://www.nj.com/sussex-county/index.ssf/2015/06/man_killed_in_sussex_county_police_shooting_authorities_say.html","http://www.nj.com/sussex-county/index.ssf/2015/06/man_killed_in_sussex_county_police_shooting_authorities_say.html")</f>
        <v>http://www.nj.com/sussex-county/index.ssf/2015/06/man_killed_in_sussex_county_police_shooting_authorities_say.html</v>
      </c>
      <c r="R698" s="8" t="s">
        <v>29</v>
      </c>
      <c r="S698" s="7" t="s">
        <v>28</v>
      </c>
      <c r="T698" s="6"/>
      <c r="U698" s="8"/>
    </row>
    <row r="699" spans="1:39" ht="13" customHeight="1">
      <c r="A699" s="8" t="str">
        <f>HYPERLINK("http://www.killedbypolice.net/victims/150479.jpg","Kamal Dajani")</f>
        <v>Kamal Dajani</v>
      </c>
      <c r="B699" s="16">
        <v>26</v>
      </c>
      <c r="C699" s="8" t="s">
        <v>20</v>
      </c>
      <c r="D699" s="8" t="s">
        <v>21</v>
      </c>
      <c r="F699" s="17">
        <v>42157</v>
      </c>
      <c r="G699" s="8" t="s">
        <v>1996</v>
      </c>
      <c r="H699" s="8" t="s">
        <v>1997</v>
      </c>
      <c r="I699" s="8" t="s">
        <v>73</v>
      </c>
      <c r="J699" s="16" t="s">
        <v>1998</v>
      </c>
      <c r="K699" s="2" t="s">
        <v>74</v>
      </c>
      <c r="L699" s="8" t="s">
        <v>1999</v>
      </c>
      <c r="M699" s="8" t="s">
        <v>27</v>
      </c>
      <c r="N699" s="2" t="s">
        <v>2000</v>
      </c>
      <c r="O699" s="8" t="s">
        <v>400</v>
      </c>
      <c r="P699" s="8" t="s">
        <v>401</v>
      </c>
      <c r="Q699" s="12"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699" s="8" t="s">
        <v>555</v>
      </c>
      <c r="S699" s="7" t="s">
        <v>28</v>
      </c>
      <c r="T699" s="6"/>
      <c r="U699" s="8"/>
      <c r="AI699" s="8"/>
      <c r="AJ699" s="8"/>
      <c r="AK699" s="8"/>
      <c r="AL699" s="8"/>
      <c r="AM699" s="8"/>
    </row>
    <row r="700" spans="1:39" ht="13" customHeight="1">
      <c r="A700" s="8" t="str">
        <f>HYPERLINK("http://www.killedbypolice.net/victims/150478.jpg","Usaamah Rahim")</f>
        <v>Usaamah Rahim</v>
      </c>
      <c r="B700" s="16">
        <v>26</v>
      </c>
      <c r="C700" s="8" t="s">
        <v>20</v>
      </c>
      <c r="D700" s="8" t="s">
        <v>85</v>
      </c>
      <c r="F700" s="17">
        <v>42157</v>
      </c>
      <c r="G700" s="8" t="s">
        <v>2001</v>
      </c>
      <c r="H700" s="8" t="s">
        <v>2002</v>
      </c>
      <c r="I700" s="8" t="s">
        <v>46</v>
      </c>
      <c r="J700" s="16" t="s">
        <v>2003</v>
      </c>
      <c r="K700" s="2" t="s">
        <v>1703</v>
      </c>
      <c r="L700" s="8" t="s">
        <v>3245</v>
      </c>
      <c r="M700" s="8" t="s">
        <v>27</v>
      </c>
      <c r="N700" s="2" t="s">
        <v>2004</v>
      </c>
      <c r="O700" s="8" t="s">
        <v>550</v>
      </c>
      <c r="P700" s="8" t="s">
        <v>401</v>
      </c>
      <c r="Q700" s="12" t="str">
        <f>HYPERLINK("http://www.whdh.com/story/29215946/one-dead-after-officer-involved-shooting-in-roslindale","http://www.whdh.com/story/29215946/one-dead-after-officer-involved-shooting-in-roslindale")</f>
        <v>http://www.whdh.com/story/29215946/one-dead-after-officer-involved-shooting-in-roslindale</v>
      </c>
      <c r="R700" s="8" t="s">
        <v>29</v>
      </c>
      <c r="S700" s="7" t="s">
        <v>28</v>
      </c>
      <c r="T700" s="6"/>
      <c r="U700" s="8"/>
    </row>
    <row r="701" spans="1:39" ht="13" customHeight="1">
      <c r="A701" s="8" t="s">
        <v>20629</v>
      </c>
      <c r="B701" s="16">
        <v>51</v>
      </c>
      <c r="C701" s="8" t="s">
        <v>20</v>
      </c>
      <c r="D701" s="8" t="s">
        <v>85</v>
      </c>
      <c r="E701" s="8" t="s">
        <v>20630</v>
      </c>
      <c r="F701" s="17">
        <v>42157</v>
      </c>
      <c r="G701" s="8" t="s">
        <v>20631</v>
      </c>
      <c r="H701" s="8" t="s">
        <v>20632</v>
      </c>
      <c r="I701" s="8" t="s">
        <v>94</v>
      </c>
      <c r="J701" s="3" t="s">
        <v>20633</v>
      </c>
      <c r="K701" s="3" t="s">
        <v>5453</v>
      </c>
      <c r="L701" s="3" t="s">
        <v>20634</v>
      </c>
      <c r="M701" s="3" t="s">
        <v>379</v>
      </c>
      <c r="N701" s="3" t="s">
        <v>20636</v>
      </c>
      <c r="O701" s="3" t="s">
        <v>400</v>
      </c>
      <c r="P701" s="8" t="s">
        <v>401</v>
      </c>
      <c r="Q701" s="20" t="s">
        <v>20635</v>
      </c>
      <c r="R701" s="3" t="s">
        <v>29</v>
      </c>
      <c r="S701" s="3" t="s">
        <v>379</v>
      </c>
      <c r="T701" s="3"/>
      <c r="U701" s="23"/>
      <c r="V701" s="23"/>
      <c r="W701" s="23"/>
      <c r="X701" s="23"/>
      <c r="Y701" s="23"/>
      <c r="Z701" s="23"/>
      <c r="AA701" s="23"/>
      <c r="AB701" s="23"/>
      <c r="AC701" s="23"/>
      <c r="AD701" s="23"/>
      <c r="AE701" s="23"/>
      <c r="AF701" s="23"/>
      <c r="AG701" s="23"/>
      <c r="AH701" s="23"/>
      <c r="AI701" s="23"/>
      <c r="AJ701" s="23"/>
      <c r="AK701" s="23"/>
      <c r="AL701" s="23"/>
      <c r="AM701" s="24"/>
    </row>
    <row r="702" spans="1:39" ht="13" customHeight="1">
      <c r="A702" s="8" t="str">
        <f>HYPERLINK("http://www.killedbypolice.net/victims/150476.jpg","Joseph M. Ladd")</f>
        <v>Joseph M. Ladd</v>
      </c>
      <c r="B702" s="16">
        <v>23</v>
      </c>
      <c r="C702" s="8" t="s">
        <v>20</v>
      </c>
      <c r="D702" s="8" t="s">
        <v>37</v>
      </c>
      <c r="F702" s="17">
        <v>42156</v>
      </c>
      <c r="G702" s="8" t="s">
        <v>2005</v>
      </c>
      <c r="H702" s="8" t="s">
        <v>2006</v>
      </c>
      <c r="I702" s="8" t="s">
        <v>423</v>
      </c>
      <c r="J702" s="16" t="s">
        <v>2007</v>
      </c>
      <c r="K702" s="2" t="s">
        <v>1108</v>
      </c>
      <c r="L702" s="8" t="s">
        <v>2008</v>
      </c>
      <c r="M702" s="8" t="s">
        <v>27</v>
      </c>
      <c r="N702" s="2" t="s">
        <v>2009</v>
      </c>
      <c r="O702" s="8" t="s">
        <v>400</v>
      </c>
      <c r="P702" s="8" t="s">
        <v>401</v>
      </c>
      <c r="Q702" s="12" t="str">
        <f>HYPERLINK("http://www.democratandchronicle.com/story/news/2015/06/01/police-investigate-near-sears-mall-greece-ridge/28314217/","http://www.democratandchronicle.com/story/news/2015/06/01/police-investigate-near-sears-mall-greece-ridge/28314217/")</f>
        <v>http://www.democratandchronicle.com/story/news/2015/06/01/police-investigate-near-sears-mall-greece-ridge/28314217/</v>
      </c>
      <c r="R702" s="8" t="s">
        <v>967</v>
      </c>
      <c r="S702" s="7" t="s">
        <v>28</v>
      </c>
      <c r="T702" s="6"/>
      <c r="U702" s="8"/>
    </row>
    <row r="703" spans="1:39" ht="13" customHeight="1">
      <c r="A703" s="8" t="str">
        <f>HYPERLINK("http://www.killedbypolice.net/victims/150475.jpg","James D. Bushey")</f>
        <v>James D. Bushey</v>
      </c>
      <c r="B703" s="16">
        <v>47</v>
      </c>
      <c r="C703" s="8" t="s">
        <v>20</v>
      </c>
      <c r="D703" s="8" t="s">
        <v>37</v>
      </c>
      <c r="F703" s="17">
        <v>42156</v>
      </c>
      <c r="G703" s="8" t="s">
        <v>2010</v>
      </c>
      <c r="H703" s="8" t="s">
        <v>2011</v>
      </c>
      <c r="I703" s="8" t="s">
        <v>73</v>
      </c>
      <c r="J703" s="16" t="s">
        <v>2012</v>
      </c>
      <c r="K703" s="2" t="s">
        <v>252</v>
      </c>
      <c r="L703" s="8" t="s">
        <v>2013</v>
      </c>
      <c r="M703" s="8" t="s">
        <v>27</v>
      </c>
      <c r="N703" s="2" t="s">
        <v>2014</v>
      </c>
      <c r="O703" s="8" t="s">
        <v>400</v>
      </c>
      <c r="P703" s="8" t="s">
        <v>401</v>
      </c>
      <c r="Q703" s="12" t="str">
        <f>HYPERLINK("http://www.kplctv.com/story/29203366/palestine-police-id-victim-in-officer-involved-shooting","http://www.kplctv.com/story/29203366/palestine-police-id-victim-in-officer-involved-shooting")</f>
        <v>http://www.kplctv.com/story/29203366/palestine-police-id-victim-in-officer-involved-shooting</v>
      </c>
      <c r="R703" s="8" t="s">
        <v>100</v>
      </c>
      <c r="S703" s="7" t="s">
        <v>28</v>
      </c>
      <c r="T703" s="6"/>
      <c r="U703" s="8"/>
    </row>
    <row r="704" spans="1:39" ht="13" customHeight="1">
      <c r="A704" s="8" t="s">
        <v>2015</v>
      </c>
      <c r="B704" s="16">
        <v>50</v>
      </c>
      <c r="C704" s="8" t="s">
        <v>20</v>
      </c>
      <c r="D704" s="8" t="s">
        <v>85</v>
      </c>
      <c r="E704" s="8" t="s">
        <v>2016</v>
      </c>
      <c r="F704" s="17">
        <v>42155</v>
      </c>
      <c r="G704" s="8" t="s">
        <v>2017</v>
      </c>
      <c r="H704" s="8" t="s">
        <v>2006</v>
      </c>
      <c r="I704" s="8" t="s">
        <v>423</v>
      </c>
      <c r="J704" s="16" t="s">
        <v>2018</v>
      </c>
      <c r="K704" s="2" t="s">
        <v>1108</v>
      </c>
      <c r="L704" s="8" t="s">
        <v>2019</v>
      </c>
      <c r="M704" s="8" t="s">
        <v>391</v>
      </c>
      <c r="N704" s="2" t="s">
        <v>2020</v>
      </c>
      <c r="O704" s="8" t="s">
        <v>1013</v>
      </c>
      <c r="P704" s="8" t="s">
        <v>401</v>
      </c>
      <c r="Q704" s="12" t="str">
        <f>HYPERLINK("http://www.democratandchronicle.com/story/news/2015/05/31/police-holding-press-briefing-tremont-st-incident/28263079/","http://www.democratandchronicle.com/story/news/2015/05/31/police-holding-press-briefing-tremont-st-incident/28263079/")</f>
        <v>http://www.democratandchronicle.com/story/news/2015/05/31/police-holding-press-briefing-tremont-st-incident/28263079/</v>
      </c>
      <c r="R704" s="8" t="s">
        <v>29</v>
      </c>
      <c r="S704" s="7" t="s">
        <v>18</v>
      </c>
      <c r="T704" s="6"/>
      <c r="U704" s="8"/>
    </row>
    <row r="705" spans="1:39" ht="13" customHeight="1">
      <c r="A705" s="8" t="s">
        <v>2021</v>
      </c>
      <c r="B705" s="16">
        <v>40</v>
      </c>
      <c r="C705" s="8" t="s">
        <v>20</v>
      </c>
      <c r="D705" s="8" t="s">
        <v>37</v>
      </c>
      <c r="F705" s="17">
        <v>42155</v>
      </c>
      <c r="G705" s="8" t="s">
        <v>2022</v>
      </c>
      <c r="H705" s="8" t="s">
        <v>2023</v>
      </c>
      <c r="I705" s="8" t="s">
        <v>117</v>
      </c>
      <c r="J705" s="16" t="s">
        <v>2024</v>
      </c>
      <c r="K705" s="2" t="s">
        <v>433</v>
      </c>
      <c r="L705" s="8" t="s">
        <v>2025</v>
      </c>
      <c r="M705" s="8" t="s">
        <v>27</v>
      </c>
      <c r="N705" s="2" t="s">
        <v>2026</v>
      </c>
      <c r="O705" s="8" t="s">
        <v>400</v>
      </c>
      <c r="P705" s="8" t="s">
        <v>401</v>
      </c>
      <c r="Q705" s="12" t="s">
        <v>2027</v>
      </c>
      <c r="R705" s="8" t="s">
        <v>555</v>
      </c>
      <c r="S705" s="7" t="s">
        <v>28</v>
      </c>
      <c r="T705" s="6"/>
      <c r="U705" s="8"/>
    </row>
    <row r="706" spans="1:39" ht="13" customHeight="1">
      <c r="A706" s="8" t="s">
        <v>2028</v>
      </c>
      <c r="B706" s="16">
        <v>39</v>
      </c>
      <c r="C706" s="8" t="s">
        <v>20</v>
      </c>
      <c r="D706" s="8" t="s">
        <v>48</v>
      </c>
      <c r="E706" s="8" t="s">
        <v>2029</v>
      </c>
      <c r="F706" s="17">
        <v>42154</v>
      </c>
      <c r="G706" s="8" t="s">
        <v>2030</v>
      </c>
      <c r="H706" s="8" t="s">
        <v>2031</v>
      </c>
      <c r="I706" s="8" t="s">
        <v>319</v>
      </c>
      <c r="J706" s="16" t="s">
        <v>2032</v>
      </c>
      <c r="K706" s="2" t="s">
        <v>882</v>
      </c>
      <c r="L706" s="8" t="s">
        <v>883</v>
      </c>
      <c r="M706" s="8" t="s">
        <v>27</v>
      </c>
      <c r="N706" s="2" t="s">
        <v>2033</v>
      </c>
      <c r="O706" s="8" t="s">
        <v>1013</v>
      </c>
      <c r="P706" s="8" t="s">
        <v>401</v>
      </c>
      <c r="Q706" s="12" t="str">
        <f>HYPERLINK("http://www.scrippsmedia.com/newschannel5/news/Investigation-Ongoing-At-Scene-Of-Alleged-Shooting-305572891.html","http://www.scrippsmedia.com/newschannel5/news/Investigation-Ongoing-At-Scene-Of-Alleged-Shooting-305572891.html")</f>
        <v>http://www.scrippsmedia.com/newschannel5/news/Investigation-Ongoing-At-Scene-Of-Alleged-Shooting-305572891.html</v>
      </c>
      <c r="R706" s="8" t="s">
        <v>100</v>
      </c>
      <c r="S706" s="7" t="s">
        <v>28</v>
      </c>
      <c r="T706" s="6"/>
      <c r="U706" s="8"/>
    </row>
    <row r="707" spans="1:39" ht="13" customHeight="1">
      <c r="A707" s="8" t="s">
        <v>2051</v>
      </c>
      <c r="B707" s="16">
        <v>55</v>
      </c>
      <c r="C707" s="8" t="s">
        <v>20</v>
      </c>
      <c r="D707" s="8" t="s">
        <v>37</v>
      </c>
      <c r="F707" s="17">
        <v>42154</v>
      </c>
      <c r="G707" s="8" t="s">
        <v>2052</v>
      </c>
      <c r="H707" s="8" t="s">
        <v>2053</v>
      </c>
      <c r="I707" s="8" t="s">
        <v>117</v>
      </c>
      <c r="J707" s="16" t="s">
        <v>2054</v>
      </c>
      <c r="K707" s="2" t="s">
        <v>1541</v>
      </c>
      <c r="L707" s="8" t="s">
        <v>2055</v>
      </c>
      <c r="M707" s="8" t="s">
        <v>27</v>
      </c>
      <c r="N707" s="2" t="s">
        <v>2056</v>
      </c>
      <c r="O707" s="8" t="s">
        <v>400</v>
      </c>
      <c r="P707" s="8" t="s">
        <v>401</v>
      </c>
      <c r="Q707" s="12" t="str">
        <f>HYPERLINK("http://koin.com/2015/05/30/osp-troopers-shoot-kill-man-in-wilderville/","http://koin.com/2015/05/30/osp-troopers-shoot-kill-man-in-wilderville/")</f>
        <v>http://koin.com/2015/05/30/osp-troopers-shoot-kill-man-in-wilderville/</v>
      </c>
      <c r="R707" s="8" t="s">
        <v>29</v>
      </c>
      <c r="S707" s="7" t="s">
        <v>28</v>
      </c>
      <c r="T707" s="6"/>
      <c r="U707" s="8"/>
    </row>
    <row r="708" spans="1:39" ht="13" customHeight="1">
      <c r="A708" s="8" t="s">
        <v>2034</v>
      </c>
      <c r="B708" s="16">
        <v>19</v>
      </c>
      <c r="C708" s="8" t="s">
        <v>20</v>
      </c>
      <c r="D708" s="8" t="s">
        <v>37</v>
      </c>
      <c r="E708" s="8" t="s">
        <v>2035</v>
      </c>
      <c r="F708" s="17">
        <v>42154</v>
      </c>
      <c r="G708" s="8" t="s">
        <v>2036</v>
      </c>
      <c r="H708" s="8" t="s">
        <v>2037</v>
      </c>
      <c r="I708" s="8" t="s">
        <v>123</v>
      </c>
      <c r="J708" s="16" t="s">
        <v>2038</v>
      </c>
      <c r="K708" s="2" t="s">
        <v>179</v>
      </c>
      <c r="L708" s="8" t="s">
        <v>2039</v>
      </c>
      <c r="M708" s="8" t="s">
        <v>27</v>
      </c>
      <c r="N708" s="2" t="s">
        <v>2040</v>
      </c>
      <c r="O708" s="8" t="s">
        <v>400</v>
      </c>
      <c r="P708" s="8" t="s">
        <v>401</v>
      </c>
      <c r="Q708" s="12" t="s">
        <v>2041</v>
      </c>
      <c r="R708" s="8" t="s">
        <v>100</v>
      </c>
      <c r="S708" s="7" t="s">
        <v>18</v>
      </c>
      <c r="T708" s="6"/>
      <c r="U708" s="8"/>
    </row>
    <row r="709" spans="1:39" ht="13" customHeight="1">
      <c r="A709" s="8" t="s">
        <v>2042</v>
      </c>
      <c r="B709" s="16">
        <v>35</v>
      </c>
      <c r="C709" s="8" t="s">
        <v>20</v>
      </c>
      <c r="D709" s="8" t="s">
        <v>37</v>
      </c>
      <c r="E709" s="8" t="s">
        <v>2043</v>
      </c>
      <c r="F709" s="17">
        <v>42154</v>
      </c>
      <c r="G709" s="8" t="s">
        <v>2044</v>
      </c>
      <c r="H709" s="8" t="s">
        <v>2045</v>
      </c>
      <c r="I709" s="8" t="s">
        <v>395</v>
      </c>
      <c r="J709" s="16" t="s">
        <v>2046</v>
      </c>
      <c r="K709" s="2" t="s">
        <v>2047</v>
      </c>
      <c r="L709" s="8" t="s">
        <v>2048</v>
      </c>
      <c r="M709" s="8" t="s">
        <v>27</v>
      </c>
      <c r="N709" s="2" t="s">
        <v>2049</v>
      </c>
      <c r="O709" s="8" t="s">
        <v>400</v>
      </c>
      <c r="P709" s="8" t="s">
        <v>401</v>
      </c>
      <c r="Q709" s="12" t="s">
        <v>2050</v>
      </c>
      <c r="R709" s="8" t="s">
        <v>100</v>
      </c>
      <c r="S709" s="7" t="s">
        <v>35</v>
      </c>
      <c r="T709" s="6"/>
      <c r="U709" s="8"/>
    </row>
    <row r="710" spans="1:39" ht="13" customHeight="1">
      <c r="A710" s="8" t="s">
        <v>2057</v>
      </c>
      <c r="B710" s="16">
        <v>36</v>
      </c>
      <c r="C710" s="8" t="s">
        <v>20</v>
      </c>
      <c r="D710" s="8" t="s">
        <v>85</v>
      </c>
      <c r="E710" s="8" t="s">
        <v>2058</v>
      </c>
      <c r="F710" s="17">
        <v>42153</v>
      </c>
      <c r="G710" s="8" t="s">
        <v>2059</v>
      </c>
      <c r="H710" s="8" t="s">
        <v>2060</v>
      </c>
      <c r="I710" s="8" t="s">
        <v>81</v>
      </c>
      <c r="J710" s="16" t="s">
        <v>2061</v>
      </c>
      <c r="K710" s="2" t="s">
        <v>1836</v>
      </c>
      <c r="L710" s="8" t="s">
        <v>2062</v>
      </c>
      <c r="M710" s="8" t="s">
        <v>27</v>
      </c>
      <c r="N710" s="2" t="s">
        <v>2063</v>
      </c>
      <c r="O710" s="8" t="s">
        <v>2064</v>
      </c>
      <c r="P710" s="8" t="s">
        <v>401</v>
      </c>
      <c r="Q710" s="12" t="str">
        <f>HYPERLINK("http://newyork.cbslocal.com/2015/05/29/lyndhurst-library-police-shooting/","http://newyork.cbslocal.com/2015/05/29/lyndhurst-library-police-shooting/")</f>
        <v>http://newyork.cbslocal.com/2015/05/29/lyndhurst-library-police-shooting/</v>
      </c>
      <c r="R710" s="8" t="s">
        <v>100</v>
      </c>
      <c r="S710" s="7" t="s">
        <v>28</v>
      </c>
      <c r="T710" s="6"/>
      <c r="U710" s="8"/>
    </row>
    <row r="711" spans="1:39" ht="13" customHeight="1">
      <c r="A711" s="8" t="s">
        <v>2065</v>
      </c>
      <c r="B711" s="16">
        <v>35</v>
      </c>
      <c r="C711" s="8" t="s">
        <v>20</v>
      </c>
      <c r="D711" s="8" t="s">
        <v>48</v>
      </c>
      <c r="F711" s="17">
        <v>42153</v>
      </c>
      <c r="G711" s="8" t="s">
        <v>2066</v>
      </c>
      <c r="H711" s="8" t="s">
        <v>1737</v>
      </c>
      <c r="I711" s="8" t="s">
        <v>62</v>
      </c>
      <c r="J711" s="16" t="s">
        <v>2067</v>
      </c>
      <c r="K711" s="2" t="s">
        <v>1739</v>
      </c>
      <c r="L711" s="8" t="s">
        <v>1740</v>
      </c>
      <c r="M711" s="8" t="s">
        <v>29</v>
      </c>
      <c r="P711" s="8" t="s">
        <v>401</v>
      </c>
      <c r="Q711" s="12" t="s">
        <v>2068</v>
      </c>
      <c r="S711" s="7" t="s">
        <v>18</v>
      </c>
      <c r="T711" s="6"/>
      <c r="U711" s="8"/>
    </row>
    <row r="712" spans="1:39" ht="13" customHeight="1">
      <c r="A712" s="8" t="str">
        <f>HYPERLINK("http://www.killedbypolice.net/victims/150477.jpg","Billy J. Collins")</f>
        <v>Billy J. Collins</v>
      </c>
      <c r="B712" s="16">
        <v>56</v>
      </c>
      <c r="C712" s="8" t="s">
        <v>20</v>
      </c>
      <c r="D712" s="8" t="s">
        <v>37</v>
      </c>
      <c r="E712" s="8" t="s">
        <v>2069</v>
      </c>
      <c r="F712" s="17">
        <v>42153</v>
      </c>
      <c r="G712" s="8" t="s">
        <v>2070</v>
      </c>
      <c r="H712" s="8" t="s">
        <v>2071</v>
      </c>
      <c r="I712" s="8" t="s">
        <v>315</v>
      </c>
      <c r="J712" s="16" t="s">
        <v>2072</v>
      </c>
      <c r="K712" s="2" t="s">
        <v>2073</v>
      </c>
      <c r="L712" s="8" t="s">
        <v>2074</v>
      </c>
      <c r="M712" s="8" t="s">
        <v>391</v>
      </c>
      <c r="N712" s="2" t="s">
        <v>2075</v>
      </c>
      <c r="O712" s="8" t="s">
        <v>400</v>
      </c>
      <c r="P712" s="8" t="s">
        <v>401</v>
      </c>
      <c r="Q712" s="12" t="str">
        <f>HYPERLINK("http://www.thelevisalazer.com/news/local-news/11484-louisa-man-dies-after-being-tasered-by-police-during-arrest.html","http://www.thelevisalazer.com/news/local-news/11484-louisa-man-dies-after-being-tasered-by-police-during-arrest.html")</f>
        <v>http://www.thelevisalazer.com/news/local-news/11484-louisa-man-dies-after-being-tasered-by-police-during-arrest.html</v>
      </c>
      <c r="R712" s="8" t="s">
        <v>29</v>
      </c>
      <c r="S712" s="7" t="s">
        <v>28</v>
      </c>
      <c r="T712" s="6"/>
      <c r="U712" s="8"/>
    </row>
    <row r="713" spans="1:39" ht="13" customHeight="1">
      <c r="A713" s="8" t="s">
        <v>2076</v>
      </c>
      <c r="B713" s="16">
        <v>20</v>
      </c>
      <c r="C713" s="8" t="s">
        <v>20</v>
      </c>
      <c r="D713" s="8" t="s">
        <v>21</v>
      </c>
      <c r="E713" s="8" t="s">
        <v>2077</v>
      </c>
      <c r="F713" s="17">
        <v>42152</v>
      </c>
      <c r="G713" s="8" t="s">
        <v>2078</v>
      </c>
      <c r="H713" s="8" t="s">
        <v>489</v>
      </c>
      <c r="I713" s="8" t="s">
        <v>45</v>
      </c>
      <c r="J713" s="16" t="s">
        <v>2079</v>
      </c>
      <c r="K713" s="2" t="s">
        <v>98</v>
      </c>
      <c r="L713" s="8" t="s">
        <v>490</v>
      </c>
      <c r="M713" s="8" t="s">
        <v>27</v>
      </c>
      <c r="N713" s="2" t="s">
        <v>2080</v>
      </c>
      <c r="O713" s="8" t="s">
        <v>400</v>
      </c>
      <c r="P713" s="8" t="s">
        <v>401</v>
      </c>
      <c r="Q713" s="12"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713" s="8" t="s">
        <v>967</v>
      </c>
      <c r="S713" s="7" t="s">
        <v>18</v>
      </c>
      <c r="T713" s="6"/>
      <c r="U713" s="8"/>
      <c r="AI713" s="8"/>
      <c r="AJ713" s="8"/>
      <c r="AK713" s="8"/>
      <c r="AL713" s="8"/>
      <c r="AM713" s="8"/>
    </row>
    <row r="714" spans="1:39" ht="13" customHeight="1">
      <c r="A714" s="8" t="s">
        <v>2081</v>
      </c>
      <c r="B714" s="16">
        <v>40</v>
      </c>
      <c r="C714" s="8" t="s">
        <v>20</v>
      </c>
      <c r="D714" s="8" t="s">
        <v>85</v>
      </c>
      <c r="E714" s="8" t="s">
        <v>2082</v>
      </c>
      <c r="F714" s="17">
        <v>42152</v>
      </c>
      <c r="G714" s="8" t="s">
        <v>2083</v>
      </c>
      <c r="H714" s="8" t="s">
        <v>2084</v>
      </c>
      <c r="I714" s="8" t="s">
        <v>173</v>
      </c>
      <c r="J714" s="16" t="s">
        <v>2085</v>
      </c>
      <c r="K714" s="2" t="s">
        <v>2086</v>
      </c>
      <c r="L714" s="8" t="s">
        <v>2087</v>
      </c>
      <c r="M714" s="8" t="s">
        <v>27</v>
      </c>
      <c r="N714" s="2" t="s">
        <v>2088</v>
      </c>
      <c r="O714" s="8" t="s">
        <v>2089</v>
      </c>
      <c r="P714" s="8" t="s">
        <v>401</v>
      </c>
      <c r="Q714" s="12" t="str">
        <f>HYPERLINK("http://www.11alive.com/story/news/local/carrollton/2015/05/28/carrolton-officer-involved-shooting/28130059/","http://www.11alive.com/story/news/local/carrollton/2015/05/28/carrolton-officer-involved-shooting/28130059/")</f>
        <v>http://www.11alive.com/story/news/local/carrollton/2015/05/28/carrolton-officer-involved-shooting/28130059/</v>
      </c>
      <c r="R714" s="8" t="s">
        <v>100</v>
      </c>
      <c r="S714" s="7" t="s">
        <v>28</v>
      </c>
      <c r="T714" s="6"/>
      <c r="U714" s="8"/>
    </row>
    <row r="715" spans="1:39" ht="13" customHeight="1">
      <c r="A715" s="8" t="s">
        <v>2103</v>
      </c>
      <c r="B715" s="16">
        <v>18</v>
      </c>
      <c r="C715" s="8" t="s">
        <v>20</v>
      </c>
      <c r="D715" s="8" t="s">
        <v>37</v>
      </c>
      <c r="E715" s="8" t="s">
        <v>2104</v>
      </c>
      <c r="F715" s="17">
        <v>42152</v>
      </c>
      <c r="G715" s="8" t="s">
        <v>2105</v>
      </c>
      <c r="H715" s="8" t="s">
        <v>2106</v>
      </c>
      <c r="I715" s="8" t="s">
        <v>57</v>
      </c>
      <c r="J715" s="16" t="s">
        <v>2107</v>
      </c>
      <c r="K715" s="2" t="s">
        <v>1132</v>
      </c>
      <c r="L715" s="8" t="s">
        <v>2108</v>
      </c>
      <c r="M715" s="8" t="s">
        <v>27</v>
      </c>
      <c r="N715" s="2" t="s">
        <v>2109</v>
      </c>
      <c r="O715" s="8" t="s">
        <v>400</v>
      </c>
      <c r="P715" s="8" t="s">
        <v>401</v>
      </c>
      <c r="Q715" s="12" t="str">
        <f>HYPERLINK("http://www.clickondetroit.com/news/man-attacks-officer-shot-by-police-trenton/33276844","http://www.clickondetroit.com/news/man-attacks-officer-shot-by-police-trenton/33276844")</f>
        <v>http://www.clickondetroit.com/news/man-attacks-officer-shot-by-police-trenton/33276844</v>
      </c>
      <c r="R715" s="8" t="s">
        <v>967</v>
      </c>
      <c r="S715" s="7" t="s">
        <v>28</v>
      </c>
      <c r="T715" s="6"/>
      <c r="U715" s="8"/>
    </row>
    <row r="716" spans="1:39" ht="13" customHeight="1">
      <c r="A716" s="8" t="s">
        <v>2090</v>
      </c>
      <c r="B716" s="16">
        <v>32</v>
      </c>
      <c r="C716" s="8" t="s">
        <v>20</v>
      </c>
      <c r="D716" s="8" t="s">
        <v>37</v>
      </c>
      <c r="F716" s="17">
        <v>42152</v>
      </c>
      <c r="G716" s="8" t="s">
        <v>2091</v>
      </c>
      <c r="H716" s="8" t="s">
        <v>2092</v>
      </c>
      <c r="I716" s="8" t="s">
        <v>209</v>
      </c>
      <c r="J716" s="16" t="s">
        <v>2093</v>
      </c>
      <c r="K716" s="2" t="s">
        <v>1927</v>
      </c>
      <c r="L716" s="8" t="s">
        <v>2094</v>
      </c>
      <c r="M716" s="8" t="s">
        <v>27</v>
      </c>
      <c r="N716" s="2" t="s">
        <v>2095</v>
      </c>
      <c r="O716" s="8" t="s">
        <v>29</v>
      </c>
      <c r="P716" s="8" t="s">
        <v>401</v>
      </c>
      <c r="Q716" s="12" t="str">
        <f>HYPERLINK("http://www.thedenverchannel.com/news/local-news/injured-northglenn-police-officer-taken-to-hospital","http://www.thedenverchannel.com/news/local-news/injured-northglenn-police-officer-taken-to-hospital")</f>
        <v>http://www.thedenverchannel.com/news/local-news/injured-northglenn-police-officer-taken-to-hospital</v>
      </c>
      <c r="R716" s="8" t="s">
        <v>100</v>
      </c>
      <c r="S716" s="7" t="s">
        <v>28</v>
      </c>
      <c r="T716" s="6"/>
      <c r="U716" s="8"/>
    </row>
    <row r="717" spans="1:39" ht="13" customHeight="1">
      <c r="A717" s="8" t="s">
        <v>2096</v>
      </c>
      <c r="B717" s="16">
        <v>57</v>
      </c>
      <c r="C717" s="8" t="s">
        <v>20</v>
      </c>
      <c r="D717" s="8" t="s">
        <v>37</v>
      </c>
      <c r="F717" s="17">
        <v>42152</v>
      </c>
      <c r="G717" s="8" t="s">
        <v>2097</v>
      </c>
      <c r="H717" s="8" t="s">
        <v>2098</v>
      </c>
      <c r="I717" s="8" t="s">
        <v>173</v>
      </c>
      <c r="J717" s="16" t="s">
        <v>2099</v>
      </c>
      <c r="K717" s="2" t="s">
        <v>2100</v>
      </c>
      <c r="L717" s="8" t="s">
        <v>2101</v>
      </c>
      <c r="M717" s="8" t="s">
        <v>27</v>
      </c>
      <c r="N717" s="2" t="s">
        <v>2102</v>
      </c>
      <c r="O717" s="8" t="s">
        <v>400</v>
      </c>
      <c r="P717" s="8" t="s">
        <v>401</v>
      </c>
      <c r="Q717" s="12" t="str">
        <f>HYPERLINK("http://www.macon.com/2015/05/28/3768612/putnam-deputy-shoots-and-kills.html","http://www.macon.com/2015/05/28/3768612/putnam-deputy-shoots-and-kills.html")</f>
        <v>http://www.macon.com/2015/05/28/3768612/putnam-deputy-shoots-and-kills.html</v>
      </c>
      <c r="R717" s="8" t="s">
        <v>555</v>
      </c>
      <c r="S717" s="7" t="s">
        <v>28</v>
      </c>
      <c r="T717" s="6"/>
      <c r="U717" s="8"/>
    </row>
    <row r="718" spans="1:39" ht="13" customHeight="1">
      <c r="A718" s="8" t="s">
        <v>2110</v>
      </c>
      <c r="B718" s="16">
        <v>60</v>
      </c>
      <c r="C718" s="8" t="s">
        <v>20</v>
      </c>
      <c r="D718" s="8" t="s">
        <v>37</v>
      </c>
      <c r="E718" s="8" t="s">
        <v>2111</v>
      </c>
      <c r="F718" s="17">
        <v>42152</v>
      </c>
      <c r="G718" s="8" t="s">
        <v>2112</v>
      </c>
      <c r="H718" s="8" t="s">
        <v>1496</v>
      </c>
      <c r="I718" s="8" t="s">
        <v>32</v>
      </c>
      <c r="J718" s="16" t="s">
        <v>2113</v>
      </c>
      <c r="K718" s="2" t="s">
        <v>1496</v>
      </c>
      <c r="L718" s="8" t="s">
        <v>2114</v>
      </c>
      <c r="M718" s="8" t="s">
        <v>27</v>
      </c>
      <c r="N718" s="2" t="s">
        <v>2115</v>
      </c>
      <c r="O718" s="8" t="s">
        <v>400</v>
      </c>
      <c r="P718" s="8" t="s">
        <v>401</v>
      </c>
      <c r="Q718" s="12" t="str">
        <f>HYPERLINK("http://www.wsoctv.com/news/news/local/sled-responding-possible-officer-involved-shooting/nmQSJ/","http://www.wsoctv.com/news/news/local/sled-responding-possible-officer-involved-shooting/nmQSJ/")</f>
        <v>http://www.wsoctv.com/news/news/local/sled-responding-possible-officer-involved-shooting/nmQSJ/</v>
      </c>
      <c r="R718" s="8" t="s">
        <v>29</v>
      </c>
      <c r="S718" s="7" t="s">
        <v>28</v>
      </c>
      <c r="T718" s="6"/>
      <c r="U718" s="8"/>
    </row>
    <row r="719" spans="1:39" ht="13" customHeight="1">
      <c r="A719" s="8" t="s">
        <v>2134</v>
      </c>
      <c r="B719" s="16">
        <v>24</v>
      </c>
      <c r="C719" s="8" t="s">
        <v>20</v>
      </c>
      <c r="D719" s="8" t="s">
        <v>37</v>
      </c>
      <c r="E719" s="8" t="s">
        <v>2135</v>
      </c>
      <c r="F719" s="17">
        <v>42151</v>
      </c>
      <c r="G719" s="8" t="s">
        <v>2136</v>
      </c>
      <c r="H719" s="8" t="s">
        <v>2137</v>
      </c>
      <c r="I719" s="8" t="s">
        <v>395</v>
      </c>
      <c r="J719" s="16" t="s">
        <v>2138</v>
      </c>
      <c r="K719" s="2" t="s">
        <v>1098</v>
      </c>
      <c r="L719" s="8" t="s">
        <v>2139</v>
      </c>
      <c r="M719" s="8" t="s">
        <v>27</v>
      </c>
      <c r="N719" s="2" t="s">
        <v>2140</v>
      </c>
      <c r="O719" s="8" t="s">
        <v>400</v>
      </c>
      <c r="P719" s="8" t="s">
        <v>401</v>
      </c>
      <c r="Q719" s="12" t="str">
        <f>HYPERLINK("http://kfor.com/2015/05/27/breaking-news-officer-involved-shooting-in-edmond/","http://kfor.com/2015/05/27/breaking-news-officer-involved-shooting-in-edmond/")</f>
        <v>http://kfor.com/2015/05/27/breaking-news-officer-involved-shooting-in-edmond/</v>
      </c>
      <c r="R719" s="8" t="s">
        <v>555</v>
      </c>
      <c r="S719" s="7" t="s">
        <v>28</v>
      </c>
      <c r="T719" s="6"/>
      <c r="U719" s="8"/>
    </row>
    <row r="720" spans="1:39" ht="13" customHeight="1">
      <c r="A720" s="8" t="s">
        <v>2116</v>
      </c>
      <c r="B720" s="16">
        <v>33</v>
      </c>
      <c r="C720" s="8" t="s">
        <v>20</v>
      </c>
      <c r="D720" s="8" t="s">
        <v>37</v>
      </c>
      <c r="F720" s="17">
        <v>42151</v>
      </c>
      <c r="G720" s="8" t="s">
        <v>2117</v>
      </c>
      <c r="H720" s="8" t="s">
        <v>2118</v>
      </c>
      <c r="I720" s="8" t="s">
        <v>45</v>
      </c>
      <c r="J720" s="16" t="s">
        <v>2119</v>
      </c>
      <c r="K720" s="2" t="s">
        <v>156</v>
      </c>
      <c r="L720" s="8" t="s">
        <v>2120</v>
      </c>
      <c r="M720" s="8" t="s">
        <v>27</v>
      </c>
      <c r="N720" s="2" t="s">
        <v>2121</v>
      </c>
      <c r="O720" s="8" t="s">
        <v>1013</v>
      </c>
      <c r="P720" s="8" t="s">
        <v>401</v>
      </c>
      <c r="Q720" s="12" t="str">
        <f>HYPERLINK("http://www.nbcsandiego.com/news/local/Reported-Shots-Fired-Alpine-305259931.html","http://www.nbcsandiego.com/news/local/Reported-Shots-Fired-Alpine-305259931.html")</f>
        <v>http://www.nbcsandiego.com/news/local/Reported-Shots-Fired-Alpine-305259931.html</v>
      </c>
      <c r="R720" s="8" t="s">
        <v>555</v>
      </c>
      <c r="S720" s="7" t="s">
        <v>28</v>
      </c>
      <c r="T720" s="6"/>
      <c r="U720" s="8"/>
    </row>
    <row r="721" spans="1:34" ht="13" customHeight="1">
      <c r="A721" s="8" t="s">
        <v>2128</v>
      </c>
      <c r="B721" s="16">
        <v>39</v>
      </c>
      <c r="C721" s="8" t="s">
        <v>20</v>
      </c>
      <c r="D721" s="8" t="s">
        <v>37</v>
      </c>
      <c r="F721" s="17">
        <v>42151</v>
      </c>
      <c r="G721" s="8" t="s">
        <v>2129</v>
      </c>
      <c r="H721" s="8" t="s">
        <v>2130</v>
      </c>
      <c r="I721" s="8" t="s">
        <v>81</v>
      </c>
      <c r="J721" s="16" t="s">
        <v>2131</v>
      </c>
      <c r="K721" s="2" t="s">
        <v>1745</v>
      </c>
      <c r="L721" s="8" t="s">
        <v>2132</v>
      </c>
      <c r="M721" s="8" t="s">
        <v>27</v>
      </c>
      <c r="N721" s="2" t="s">
        <v>2133</v>
      </c>
      <c r="O721" s="8" t="s">
        <v>400</v>
      </c>
      <c r="P721" s="8" t="s">
        <v>401</v>
      </c>
      <c r="Q721" s="12" t="str">
        <f>HYPERLINK("http://7online.com/news/man-holding-17-month-old-son-hostage-killed-in-middletown-police-shooting/744277/","http://7online.com/news/man-holding-17-month-old-son-hostage-killed-in-middletown-police-shooting/744277/")</f>
        <v>http://7online.com/news/man-holding-17-month-old-son-hostage-killed-in-middletown-police-shooting/744277/</v>
      </c>
      <c r="R721" s="8" t="s">
        <v>29</v>
      </c>
      <c r="S721" s="7" t="s">
        <v>28</v>
      </c>
      <c r="T721" s="6"/>
      <c r="U721" s="8"/>
    </row>
    <row r="722" spans="1:34" ht="13" customHeight="1">
      <c r="A722" s="8" t="s">
        <v>2122</v>
      </c>
      <c r="B722" s="16">
        <v>34</v>
      </c>
      <c r="C722" s="8" t="s">
        <v>20</v>
      </c>
      <c r="D722" s="8" t="s">
        <v>37</v>
      </c>
      <c r="E722" s="8" t="s">
        <v>2123</v>
      </c>
      <c r="F722" s="17">
        <v>42151</v>
      </c>
      <c r="G722" s="8" t="s">
        <v>2124</v>
      </c>
      <c r="H722" s="8" t="s">
        <v>430</v>
      </c>
      <c r="I722" s="8" t="s">
        <v>363</v>
      </c>
      <c r="J722" s="16" t="s">
        <v>2125</v>
      </c>
      <c r="K722" s="2" t="s">
        <v>600</v>
      </c>
      <c r="L722" s="8" t="s">
        <v>2126</v>
      </c>
      <c r="M722" s="8" t="s">
        <v>391</v>
      </c>
      <c r="N722" s="2" t="s">
        <v>2127</v>
      </c>
      <c r="O722" s="8" t="s">
        <v>1013</v>
      </c>
      <c r="P722" s="8" t="s">
        <v>401</v>
      </c>
      <c r="Q722" s="12" t="str">
        <f>HYPERLINK("http://www.kmbc.com/news/person-taken-to-hospital-after-kck-officer-uses-force-at-family-dollar/33249942","http://www.kmbc.com/news/person-taken-to-hospital-after-kck-officer-uses-force-at-family-dollar/33249942")</f>
        <v>http://www.kmbc.com/news/person-taken-to-hospital-after-kck-officer-uses-force-at-family-dollar/33249942</v>
      </c>
      <c r="R722" s="8" t="s">
        <v>967</v>
      </c>
      <c r="S722" s="7" t="s">
        <v>18</v>
      </c>
      <c r="T722" s="6"/>
      <c r="U722" s="8"/>
    </row>
    <row r="723" spans="1:34" ht="13" customHeight="1">
      <c r="A723" s="8" t="s">
        <v>2141</v>
      </c>
      <c r="B723" s="16">
        <v>51</v>
      </c>
      <c r="C723" s="8" t="s">
        <v>20</v>
      </c>
      <c r="D723" s="8" t="s">
        <v>85</v>
      </c>
      <c r="E723" s="8" t="s">
        <v>2142</v>
      </c>
      <c r="F723" s="17">
        <v>42150</v>
      </c>
      <c r="G723" s="8" t="s">
        <v>2143</v>
      </c>
      <c r="H723" s="8" t="s">
        <v>757</v>
      </c>
      <c r="I723" s="8" t="s">
        <v>423</v>
      </c>
      <c r="J723" s="16" t="s">
        <v>2144</v>
      </c>
      <c r="K723" s="2" t="s">
        <v>757</v>
      </c>
      <c r="L723" s="8" t="s">
        <v>582</v>
      </c>
      <c r="M723" s="8" t="s">
        <v>27</v>
      </c>
      <c r="N723" s="2" t="s">
        <v>2145</v>
      </c>
      <c r="O723" s="8" t="s">
        <v>1013</v>
      </c>
      <c r="P723" s="8" t="s">
        <v>401</v>
      </c>
      <c r="Q723" s="12" t="str">
        <f>HYPERLINK("http://pix11.com/2015/05/26/police-shoot-man-in-brooklyn-school-parking-lot/","http://pix11.com/2015/05/26/police-shoot-man-in-brooklyn-school-parking-lot/")</f>
        <v>http://pix11.com/2015/05/26/police-shoot-man-in-brooklyn-school-parking-lot/</v>
      </c>
      <c r="R723" s="8" t="s">
        <v>100</v>
      </c>
      <c r="S723" s="7" t="s">
        <v>28</v>
      </c>
      <c r="T723" s="6"/>
      <c r="U723" s="8"/>
    </row>
    <row r="724" spans="1:34" ht="13" customHeight="1">
      <c r="A724" s="8" t="s">
        <v>2146</v>
      </c>
      <c r="B724" s="16">
        <v>24</v>
      </c>
      <c r="C724" s="8" t="s">
        <v>20</v>
      </c>
      <c r="D724" s="8" t="s">
        <v>37</v>
      </c>
      <c r="E724" s="8" t="s">
        <v>2147</v>
      </c>
      <c r="F724" s="17">
        <v>42150</v>
      </c>
      <c r="G724" s="8" t="s">
        <v>2148</v>
      </c>
      <c r="H724" s="8" t="s">
        <v>2149</v>
      </c>
      <c r="I724" s="8" t="s">
        <v>25</v>
      </c>
      <c r="J724" s="16" t="s">
        <v>2150</v>
      </c>
      <c r="K724" s="2" t="s">
        <v>2151</v>
      </c>
      <c r="L724" s="8" t="s">
        <v>405</v>
      </c>
      <c r="M724" s="8" t="s">
        <v>27</v>
      </c>
      <c r="N724" s="2" t="s">
        <v>2152</v>
      </c>
      <c r="O724" s="8" t="s">
        <v>1013</v>
      </c>
      <c r="P724" s="8" t="s">
        <v>401</v>
      </c>
      <c r="Q724" s="12" t="str">
        <f>HYPERLINK("http://www.nbcdfw.com/news/local/9-Year-Old-Child-Reported-Missing-in-Benbrook-304947651.html","http://www.nbcdfw.com/news/local/9-Year-Old-Child-Reported-Missing-in-Benbrook-304947651.html")</f>
        <v>http://www.nbcdfw.com/news/local/9-Year-Old-Child-Reported-Missing-in-Benbrook-304947651.html</v>
      </c>
      <c r="R724" s="8" t="s">
        <v>100</v>
      </c>
      <c r="S724" s="7" t="s">
        <v>28</v>
      </c>
      <c r="T724" s="6"/>
      <c r="U724" s="8"/>
    </row>
    <row r="725" spans="1:34" ht="13" customHeight="1">
      <c r="A725" s="8" t="s">
        <v>2153</v>
      </c>
      <c r="B725" s="16">
        <v>62</v>
      </c>
      <c r="C725" s="8" t="s">
        <v>20</v>
      </c>
      <c r="D725" s="8" t="s">
        <v>37</v>
      </c>
      <c r="F725" s="17">
        <v>42150</v>
      </c>
      <c r="G725" s="8" t="s">
        <v>2154</v>
      </c>
      <c r="H725" s="8" t="s">
        <v>2155</v>
      </c>
      <c r="I725" s="8" t="s">
        <v>303</v>
      </c>
      <c r="J725" s="16" t="s">
        <v>2156</v>
      </c>
      <c r="K725" s="2" t="s">
        <v>2155</v>
      </c>
      <c r="L725" s="8" t="s">
        <v>2157</v>
      </c>
      <c r="M725" s="8" t="s">
        <v>27</v>
      </c>
      <c r="N725" s="2" t="s">
        <v>2158</v>
      </c>
      <c r="O725" s="8" t="s">
        <v>2159</v>
      </c>
      <c r="P725" s="8" t="s">
        <v>401</v>
      </c>
      <c r="Q725" s="12" t="str">
        <f>HYPERLINK("http://www.kirotv.com/news/news/breaking-news-deputy-shoots-kills-man-near-monroe/nmNnq/","http://www.kirotv.com/news/news/breaking-news-deputy-shoots-kills-man-near-monroe/nmNnq/")</f>
        <v>http://www.kirotv.com/news/news/breaking-news-deputy-shoots-kills-man-near-monroe/nmNnq/</v>
      </c>
      <c r="R725" s="8" t="s">
        <v>29</v>
      </c>
      <c r="S725" s="7" t="s">
        <v>28</v>
      </c>
      <c r="T725" s="6"/>
      <c r="U725" s="8"/>
    </row>
    <row r="726" spans="1:34" ht="13" customHeight="1">
      <c r="A726" s="8" t="s">
        <v>2160</v>
      </c>
      <c r="B726" s="16">
        <v>38</v>
      </c>
      <c r="C726" s="8" t="s">
        <v>20</v>
      </c>
      <c r="D726" s="8" t="s">
        <v>85</v>
      </c>
      <c r="E726" s="8" t="s">
        <v>2161</v>
      </c>
      <c r="F726" s="17">
        <v>42149</v>
      </c>
      <c r="G726" s="8" t="s">
        <v>2162</v>
      </c>
      <c r="H726" s="8" t="s">
        <v>2163</v>
      </c>
      <c r="I726" s="8" t="s">
        <v>94</v>
      </c>
      <c r="J726" s="16" t="s">
        <v>2164</v>
      </c>
      <c r="K726" s="2" t="s">
        <v>2165</v>
      </c>
      <c r="L726" s="8" t="s">
        <v>2166</v>
      </c>
      <c r="M726" s="8" t="s">
        <v>27</v>
      </c>
      <c r="N726" s="2" t="s">
        <v>2167</v>
      </c>
      <c r="O726" s="8" t="s">
        <v>1013</v>
      </c>
      <c r="P726" s="8" t="s">
        <v>401</v>
      </c>
      <c r="Q726" s="12" t="str">
        <f>HYPERLINK("http://www.waaytv.com/appnews/huntsville-police-investigate-fatal-officer-involved-shooting/article_ed55e3aa-035d-11e5-86b1-a7abaa619c23.html","http://www.waaytv.com/appnews/huntsville-police-investigate-fatal-officer-involved-shooting/article_ed55e3aa-035d-11e5-86b1-a7abaa619c23.html")</f>
        <v>http://www.waaytv.com/appnews/huntsville-police-investigate-fatal-officer-involved-shooting/article_ed55e3aa-035d-11e5-86b1-a7abaa619c23.html</v>
      </c>
      <c r="R726" s="8" t="s">
        <v>29</v>
      </c>
      <c r="S726" s="7" t="s">
        <v>28</v>
      </c>
      <c r="T726" s="6"/>
      <c r="U726" s="8"/>
    </row>
    <row r="727" spans="1:34" ht="13" customHeight="1">
      <c r="A727" s="8" t="s">
        <v>2168</v>
      </c>
      <c r="B727" s="16">
        <v>31</v>
      </c>
      <c r="C727" s="8" t="s">
        <v>114</v>
      </c>
      <c r="D727" s="8" t="s">
        <v>37</v>
      </c>
      <c r="F727" s="17">
        <v>42149</v>
      </c>
      <c r="G727" s="8" t="s">
        <v>2169</v>
      </c>
      <c r="H727" s="8" t="s">
        <v>1316</v>
      </c>
      <c r="I727" s="8" t="s">
        <v>73</v>
      </c>
      <c r="J727" s="16" t="s">
        <v>2170</v>
      </c>
      <c r="K727" s="2" t="s">
        <v>1317</v>
      </c>
      <c r="L727" s="8" t="s">
        <v>1318</v>
      </c>
      <c r="M727" s="8" t="s">
        <v>27</v>
      </c>
      <c r="N727" s="2" t="s">
        <v>2171</v>
      </c>
      <c r="O727" s="8" t="s">
        <v>1013</v>
      </c>
      <c r="P727" s="8" t="s">
        <v>401</v>
      </c>
      <c r="Q727" s="12" t="str">
        <f>HYPERLINK("http://kxan.com/2015/05/25/woman-shot-dead-after-five-hour-standoff-with-apd-swat-officers/","http://kxan.com/2015/05/25/woman-shot-dead-after-five-hour-standoff-with-apd-swat-officers/")</f>
        <v>http://kxan.com/2015/05/25/woman-shot-dead-after-five-hour-standoff-with-apd-swat-officers/</v>
      </c>
      <c r="R727" s="8" t="s">
        <v>555</v>
      </c>
      <c r="S727" s="7" t="s">
        <v>28</v>
      </c>
      <c r="T727" s="6"/>
      <c r="U727" s="8"/>
      <c r="Y727" s="8"/>
      <c r="Z727" s="8"/>
      <c r="AA727" s="8"/>
      <c r="AB727" s="8"/>
      <c r="AC727" s="8"/>
      <c r="AD727" s="8"/>
      <c r="AE727" s="8"/>
      <c r="AF727" s="8"/>
      <c r="AG727" s="8"/>
      <c r="AH727" s="8"/>
    </row>
    <row r="728" spans="1:34" ht="13" customHeight="1">
      <c r="A728" s="8" t="s">
        <v>2172</v>
      </c>
      <c r="B728" s="16">
        <v>40</v>
      </c>
      <c r="C728" s="8" t="s">
        <v>20</v>
      </c>
      <c r="D728" s="8" t="s">
        <v>37</v>
      </c>
      <c r="F728" s="17">
        <v>42148</v>
      </c>
      <c r="G728" s="8" t="s">
        <v>2173</v>
      </c>
      <c r="H728" s="8" t="s">
        <v>2174</v>
      </c>
      <c r="I728" s="8" t="s">
        <v>123</v>
      </c>
      <c r="J728" s="16" t="s">
        <v>2175</v>
      </c>
      <c r="K728" s="2" t="s">
        <v>2176</v>
      </c>
      <c r="L728" s="8" t="s">
        <v>2177</v>
      </c>
      <c r="M728" s="8" t="s">
        <v>27</v>
      </c>
      <c r="N728" s="2" t="s">
        <v>2178</v>
      </c>
      <c r="O728" s="8" t="s">
        <v>400</v>
      </c>
      <c r="P728" s="8" t="s">
        <v>401</v>
      </c>
      <c r="Q728" s="12" t="str">
        <f>HYPERLINK("http://www.kpho.com/story/29143797/suspect-dead-following-police-shooting-in-eagar-ariz","http://www.kpho.com/story/29143797/suspect-dead-following-police-shooting-in-eagar-ariz")</f>
        <v>http://www.kpho.com/story/29143797/suspect-dead-following-police-shooting-in-eagar-ariz</v>
      </c>
      <c r="R728" s="8" t="s">
        <v>29</v>
      </c>
      <c r="S728" s="7" t="s">
        <v>28</v>
      </c>
      <c r="T728" s="6"/>
      <c r="U728" s="8"/>
    </row>
    <row r="729" spans="1:34" ht="13" customHeight="1">
      <c r="A729" s="8" t="s">
        <v>2179</v>
      </c>
      <c r="B729" s="16">
        <v>25</v>
      </c>
      <c r="C729" s="8" t="s">
        <v>20</v>
      </c>
      <c r="D729" s="8" t="s">
        <v>85</v>
      </c>
      <c r="F729" s="17">
        <v>42147</v>
      </c>
      <c r="G729" s="8" t="s">
        <v>2180</v>
      </c>
      <c r="H729" s="8" t="s">
        <v>444</v>
      </c>
      <c r="I729" s="8" t="s">
        <v>57</v>
      </c>
      <c r="J729" s="16" t="s">
        <v>2181</v>
      </c>
      <c r="K729" s="2" t="s">
        <v>1132</v>
      </c>
      <c r="L729" s="8" t="s">
        <v>2182</v>
      </c>
      <c r="M729" s="8" t="s">
        <v>27</v>
      </c>
      <c r="N729" s="2" t="s">
        <v>2183</v>
      </c>
      <c r="O729" s="8" t="s">
        <v>1013</v>
      </c>
      <c r="P729" s="8" t="s">
        <v>401</v>
      </c>
      <c r="Q729" s="12" t="str">
        <f>HYPERLINK("http://www.freep.com/story/news/local/michigan/detroit/2015/05/23/barricaded-standoff-detroit/27839681/","http://www.freep.com/story/news/local/michigan/detroit/2015/05/23/barricaded-standoff-detroit/27839681/")</f>
        <v>http://www.freep.com/story/news/local/michigan/detroit/2015/05/23/barricaded-standoff-detroit/27839681/</v>
      </c>
      <c r="R729" s="8" t="s">
        <v>555</v>
      </c>
      <c r="S729" s="7" t="s">
        <v>28</v>
      </c>
      <c r="T729" s="6"/>
      <c r="U729" s="8"/>
    </row>
    <row r="730" spans="1:34" ht="13" customHeight="1">
      <c r="A730" s="8" t="s">
        <v>2184</v>
      </c>
      <c r="B730" s="16">
        <v>47</v>
      </c>
      <c r="C730" s="8" t="s">
        <v>20</v>
      </c>
      <c r="D730" s="8" t="s">
        <v>37</v>
      </c>
      <c r="E730" s="8" t="s">
        <v>2185</v>
      </c>
      <c r="F730" s="17">
        <v>42147</v>
      </c>
      <c r="G730" s="8" t="s">
        <v>2186</v>
      </c>
      <c r="H730" s="8" t="s">
        <v>2187</v>
      </c>
      <c r="I730" s="8" t="s">
        <v>431</v>
      </c>
      <c r="J730" s="16" t="s">
        <v>2188</v>
      </c>
      <c r="K730" s="2" t="s">
        <v>2189</v>
      </c>
      <c r="L730" s="8" t="s">
        <v>2190</v>
      </c>
      <c r="M730" s="8" t="s">
        <v>27</v>
      </c>
      <c r="N730" s="2" t="s">
        <v>2191</v>
      </c>
      <c r="O730" s="8" t="s">
        <v>1013</v>
      </c>
      <c r="P730" s="8" t="s">
        <v>401</v>
      </c>
      <c r="Q730" s="12" t="str">
        <f>HYPERLINK("http://www.kshb.com/news/crime/james-horn-man-who-locked-woman-in-box-wanted-in-connection-to-double-murder","http://www.kshb.com/news/crime/james-horn-man-who-locked-woman-in-box-wanted-in-connection-to-double-murder")</f>
        <v>http://www.kshb.com/news/crime/james-horn-man-who-locked-woman-in-box-wanted-in-connection-to-double-murder</v>
      </c>
      <c r="R730" s="8" t="s">
        <v>100</v>
      </c>
      <c r="S730" s="7" t="s">
        <v>28</v>
      </c>
      <c r="T730" s="6"/>
      <c r="U730" s="8"/>
    </row>
    <row r="731" spans="1:34" ht="13" customHeight="1">
      <c r="A731" s="8" t="s">
        <v>2192</v>
      </c>
      <c r="B731" s="16">
        <v>40</v>
      </c>
      <c r="C731" s="8" t="s">
        <v>20</v>
      </c>
      <c r="D731" s="8" t="s">
        <v>37</v>
      </c>
      <c r="E731" s="8" t="s">
        <v>2193</v>
      </c>
      <c r="F731" s="17">
        <v>42146</v>
      </c>
      <c r="G731" s="8" t="s">
        <v>2194</v>
      </c>
      <c r="H731" s="8" t="s">
        <v>2195</v>
      </c>
      <c r="I731" s="8" t="s">
        <v>404</v>
      </c>
      <c r="J731" s="16" t="s">
        <v>2196</v>
      </c>
      <c r="K731" s="2" t="s">
        <v>2195</v>
      </c>
      <c r="L731" s="8" t="s">
        <v>9400</v>
      </c>
      <c r="M731" s="8" t="s">
        <v>27</v>
      </c>
      <c r="N731" s="2" t="s">
        <v>2197</v>
      </c>
      <c r="O731" s="8" t="s">
        <v>400</v>
      </c>
      <c r="P731" s="8" t="s">
        <v>401</v>
      </c>
      <c r="Q731" s="12" t="str">
        <f>HYPERLINK("http://www.wpxi.com/news/news/local/troopers-shoot-person-inside-grocery-store/nmMF2/","http://www.wpxi.com/news/news/local/troopers-shoot-person-inside-grocery-store/nmMF2/")</f>
        <v>http://www.wpxi.com/news/news/local/troopers-shoot-person-inside-grocery-store/nmMF2/</v>
      </c>
      <c r="R731" s="8" t="s">
        <v>100</v>
      </c>
      <c r="S731" s="7" t="s">
        <v>18</v>
      </c>
      <c r="T731" s="6"/>
      <c r="U731" s="8"/>
    </row>
    <row r="732" spans="1:34" ht="13" customHeight="1">
      <c r="A732" s="8" t="s">
        <v>2203</v>
      </c>
      <c r="B732" s="16">
        <v>29</v>
      </c>
      <c r="C732" s="8" t="s">
        <v>20</v>
      </c>
      <c r="D732" s="8" t="s">
        <v>85</v>
      </c>
      <c r="E732" s="8" t="s">
        <v>2204</v>
      </c>
      <c r="F732" s="17">
        <v>42145</v>
      </c>
      <c r="G732" s="8" t="s">
        <v>2205</v>
      </c>
      <c r="H732" s="8" t="s">
        <v>2201</v>
      </c>
      <c r="I732" s="8" t="s">
        <v>62</v>
      </c>
      <c r="J732" s="16" t="s">
        <v>2206</v>
      </c>
      <c r="K732" s="2" t="s">
        <v>1127</v>
      </c>
      <c r="L732" s="8" t="s">
        <v>2207</v>
      </c>
      <c r="M732" s="8" t="s">
        <v>27</v>
      </c>
      <c r="N732" s="2" t="s">
        <v>2208</v>
      </c>
      <c r="O732" s="8" t="s">
        <v>1013</v>
      </c>
      <c r="P732" s="8" t="s">
        <v>401</v>
      </c>
      <c r="Q732" s="12" t="str">
        <f>HYPERLINK("http://www.wsvn.com/story/29128211/man-dead-after-barricading-himself-inside-fort-lauderdale-home","http://www.wsvn.com/story/29128211/man-dead-after-barricading-himself-inside-fort-lauderdale-home")</f>
        <v>http://www.wsvn.com/story/29128211/man-dead-after-barricading-himself-inside-fort-lauderdale-home</v>
      </c>
      <c r="R732" s="8" t="s">
        <v>2209</v>
      </c>
      <c r="S732" s="7" t="s">
        <v>28</v>
      </c>
      <c r="T732" s="6"/>
      <c r="U732" s="8"/>
    </row>
    <row r="733" spans="1:34" ht="13" customHeight="1">
      <c r="A733" s="8" t="s">
        <v>2218</v>
      </c>
      <c r="B733" s="16">
        <v>32</v>
      </c>
      <c r="C733" s="8" t="s">
        <v>20</v>
      </c>
      <c r="D733" s="8" t="s">
        <v>85</v>
      </c>
      <c r="E733" s="8" t="s">
        <v>2219</v>
      </c>
      <c r="F733" s="17">
        <v>42145</v>
      </c>
      <c r="G733" s="8" t="s">
        <v>2220</v>
      </c>
      <c r="H733" s="8" t="s">
        <v>2221</v>
      </c>
      <c r="I733" s="8" t="s">
        <v>32</v>
      </c>
      <c r="J733" s="16" t="s">
        <v>2222</v>
      </c>
      <c r="K733" s="2" t="s">
        <v>2221</v>
      </c>
      <c r="L733" s="8" t="s">
        <v>2223</v>
      </c>
      <c r="M733" s="8" t="s">
        <v>27</v>
      </c>
      <c r="N733" s="2" t="s">
        <v>2224</v>
      </c>
      <c r="O733" s="8" t="s">
        <v>1013</v>
      </c>
      <c r="P733" s="8" t="s">
        <v>401</v>
      </c>
      <c r="Q733" s="12" t="str">
        <f>HYPERLINK("http://www.abcnews4.com/story/29122044/police-close-off-downtown-charleston-streets-believe-lt-rogers-shooting-suspect-inside","http://www.abcnews4.com/story/29122044/police-close-off-downtown-charleston-streets-believe-lt-rogers-shooting-suspect-inside")</f>
        <v>http://www.abcnews4.com/story/29122044/police-close-off-downtown-charleston-streets-believe-lt-rogers-shooting-suspect-inside</v>
      </c>
      <c r="R733" s="8" t="s">
        <v>100</v>
      </c>
      <c r="S733" s="7" t="s">
        <v>28</v>
      </c>
      <c r="T733" s="6"/>
      <c r="U733" s="8"/>
    </row>
    <row r="734" spans="1:34" ht="13" customHeight="1">
      <c r="A734" s="8" t="s">
        <v>2210</v>
      </c>
      <c r="B734" s="16">
        <v>38</v>
      </c>
      <c r="C734" s="8" t="s">
        <v>20</v>
      </c>
      <c r="D734" s="8" t="s">
        <v>85</v>
      </c>
      <c r="E734" s="8" t="s">
        <v>2211</v>
      </c>
      <c r="F734" s="17">
        <v>42145</v>
      </c>
      <c r="G734" s="8" t="s">
        <v>2212</v>
      </c>
      <c r="H734" s="8" t="s">
        <v>2213</v>
      </c>
      <c r="I734" s="8" t="s">
        <v>315</v>
      </c>
      <c r="J734" s="16" t="s">
        <v>2214</v>
      </c>
      <c r="K734" s="2" t="s">
        <v>2215</v>
      </c>
      <c r="L734" s="8" t="s">
        <v>2216</v>
      </c>
      <c r="M734" s="8" t="s">
        <v>27</v>
      </c>
      <c r="N734" s="2" t="s">
        <v>2217</v>
      </c>
      <c r="O734" s="8" t="s">
        <v>1013</v>
      </c>
      <c r="P734" s="8" t="s">
        <v>401</v>
      </c>
      <c r="Q734" s="12" t="str">
        <f>HYPERLINK("http://www.wave3.com/story/29120867/shooting-investigation-in-owensboro","http://www.wave3.com/story/29120867/shooting-investigation-in-owensboro")</f>
        <v>http://www.wave3.com/story/29120867/shooting-investigation-in-owensboro</v>
      </c>
      <c r="R734" s="8" t="s">
        <v>100</v>
      </c>
      <c r="S734" s="7" t="s">
        <v>28</v>
      </c>
      <c r="T734" s="6"/>
      <c r="U734" s="8"/>
    </row>
    <row r="735" spans="1:34" ht="13" customHeight="1">
      <c r="A735" s="8" t="s">
        <v>2198</v>
      </c>
      <c r="B735" s="16">
        <v>26</v>
      </c>
      <c r="C735" s="8" t="s">
        <v>20</v>
      </c>
      <c r="D735" s="8" t="s">
        <v>85</v>
      </c>
      <c r="E735" s="8" t="s">
        <v>2199</v>
      </c>
      <c r="F735" s="17">
        <v>42145</v>
      </c>
      <c r="G735" s="8" t="s">
        <v>2200</v>
      </c>
      <c r="H735" s="8" t="s">
        <v>2201</v>
      </c>
      <c r="I735" s="8" t="s">
        <v>62</v>
      </c>
      <c r="J735" s="16" t="s">
        <v>2202</v>
      </c>
      <c r="K735" s="2" t="s">
        <v>1127</v>
      </c>
      <c r="L735" s="8" t="s">
        <v>4412</v>
      </c>
      <c r="M735" s="8" t="s">
        <v>29</v>
      </c>
      <c r="N735" s="2" t="s">
        <v>21661</v>
      </c>
      <c r="O735" s="8" t="s">
        <v>1013</v>
      </c>
      <c r="P735" s="8" t="s">
        <v>401</v>
      </c>
      <c r="Q735" s="12" t="str">
        <f>HYPERLINK("http://www.local10.com/news/markus-clark-dies-at-florida-medical-center-after-arrest/33152392","http://www.local10.com/news/markus-clark-dies-at-florida-medical-center-after-arrest/33152392")</f>
        <v>http://www.local10.com/news/markus-clark-dies-at-florida-medical-center-after-arrest/33152392</v>
      </c>
      <c r="R735" s="8" t="s">
        <v>29</v>
      </c>
      <c r="S735" s="7" t="s">
        <v>18</v>
      </c>
      <c r="T735" s="6"/>
      <c r="U735" s="8"/>
    </row>
    <row r="736" spans="1:34" ht="13" customHeight="1">
      <c r="A736" s="8" t="s">
        <v>2229</v>
      </c>
      <c r="B736" s="16">
        <v>22</v>
      </c>
      <c r="C736" s="8" t="s">
        <v>20</v>
      </c>
      <c r="D736" s="8" t="s">
        <v>48</v>
      </c>
      <c r="F736" s="17">
        <v>42145</v>
      </c>
      <c r="G736" s="8" t="s">
        <v>2230</v>
      </c>
      <c r="H736" s="8" t="s">
        <v>860</v>
      </c>
      <c r="I736" s="8" t="s">
        <v>73</v>
      </c>
      <c r="J736" s="16" t="s">
        <v>2231</v>
      </c>
      <c r="K736" s="2" t="s">
        <v>860</v>
      </c>
      <c r="L736" s="8" t="s">
        <v>861</v>
      </c>
      <c r="M736" s="8" t="s">
        <v>27</v>
      </c>
      <c r="N736" s="2" t="s">
        <v>2232</v>
      </c>
      <c r="O736" s="8" t="s">
        <v>550</v>
      </c>
      <c r="P736" s="8" t="s">
        <v>401</v>
      </c>
      <c r="Q736" s="12" t="str">
        <f>HYPERLINK("http://www.elpasotimes.com/latestnews/ci_28159979/officer-involved-shooting-northeast-el-paso","http://www.elpasotimes.com/latestnews/ci_28159979/officer-involved-shooting-northeast-el-paso")</f>
        <v>http://www.elpasotimes.com/latestnews/ci_28159979/officer-involved-shooting-northeast-el-paso</v>
      </c>
      <c r="R736" s="8" t="s">
        <v>555</v>
      </c>
      <c r="S736" s="7" t="s">
        <v>28</v>
      </c>
      <c r="T736" s="6"/>
      <c r="U736" s="8"/>
    </row>
    <row r="737" spans="1:34" ht="13" customHeight="1">
      <c r="A737" s="8" t="s">
        <v>2225</v>
      </c>
      <c r="B737" s="16">
        <v>24</v>
      </c>
      <c r="C737" s="8" t="s">
        <v>20</v>
      </c>
      <c r="D737" s="8" t="s">
        <v>48</v>
      </c>
      <c r="E737" s="8" t="s">
        <v>2226</v>
      </c>
      <c r="F737" s="17">
        <v>42145</v>
      </c>
      <c r="G737" s="8" t="s">
        <v>2227</v>
      </c>
      <c r="H737" s="8" t="s">
        <v>1834</v>
      </c>
      <c r="I737" s="8" t="s">
        <v>81</v>
      </c>
      <c r="J737" s="16" t="s">
        <v>1835</v>
      </c>
      <c r="K737" s="2" t="s">
        <v>1836</v>
      </c>
      <c r="L737" s="8" t="s">
        <v>1837</v>
      </c>
      <c r="M737" s="8" t="s">
        <v>27</v>
      </c>
      <c r="N737" s="2" t="s">
        <v>2228</v>
      </c>
      <c r="O737" s="8" t="s">
        <v>1013</v>
      </c>
      <c r="P737" s="8" t="s">
        <v>401</v>
      </c>
      <c r="Q737" s="12" t="str">
        <f>HYPERLINK("http://www.nj.com/bergen/index.ssf/2015/05/police-involved_shooting_under_investigation_in_ha.html","http://www.nj.com/bergen/index.ssf/2015/05/police-involved_shooting_under_investigation_in_ha.html")</f>
        <v>http://www.nj.com/bergen/index.ssf/2015/05/police-involved_shooting_under_investigation_in_ha.html</v>
      </c>
      <c r="R737" s="8" t="s">
        <v>100</v>
      </c>
      <c r="S737" s="7" t="s">
        <v>28</v>
      </c>
      <c r="T737" s="6"/>
      <c r="U737" s="8"/>
    </row>
    <row r="738" spans="1:34" ht="13" customHeight="1">
      <c r="A738" s="8" t="s">
        <v>2246</v>
      </c>
      <c r="B738" s="16">
        <v>39</v>
      </c>
      <c r="C738" s="8" t="s">
        <v>114</v>
      </c>
      <c r="D738" s="8" t="s">
        <v>37</v>
      </c>
      <c r="E738" s="8" t="s">
        <v>2247</v>
      </c>
      <c r="F738" s="17">
        <v>42145</v>
      </c>
      <c r="G738" s="8" t="s">
        <v>2248</v>
      </c>
      <c r="H738" s="8" t="s">
        <v>2249</v>
      </c>
      <c r="I738" s="8" t="s">
        <v>1086</v>
      </c>
      <c r="J738" s="16" t="s">
        <v>2250</v>
      </c>
      <c r="K738" s="2" t="s">
        <v>2251</v>
      </c>
      <c r="L738" s="8" t="s">
        <v>2252</v>
      </c>
      <c r="M738" s="8" t="s">
        <v>27</v>
      </c>
      <c r="N738" s="2" t="s">
        <v>2253</v>
      </c>
      <c r="O738" s="8" t="s">
        <v>400</v>
      </c>
      <c r="P738" s="8" t="s">
        <v>401</v>
      </c>
      <c r="Q738" s="12" t="str">
        <f>HYPERLINK("http://www.gillettenewsrecord.com/news/local/article_8ce9749e-ffea-11e4-b7e5-5f207815da4f.html","http://www.gillettenewsrecord.com/news/local/article_8ce9749e-ffea-11e4-b7e5-5f207815da4f.html")</f>
        <v>http://www.gillettenewsrecord.com/news/local/article_8ce9749e-ffea-11e4-b7e5-5f207815da4f.html</v>
      </c>
      <c r="R738" s="8" t="s">
        <v>100</v>
      </c>
      <c r="S738" s="7" t="s">
        <v>28</v>
      </c>
      <c r="T738" s="6"/>
      <c r="U738" s="8"/>
    </row>
    <row r="739" spans="1:34" ht="13" customHeight="1">
      <c r="A739" s="8" t="s">
        <v>2240</v>
      </c>
      <c r="B739" s="16">
        <v>43</v>
      </c>
      <c r="C739" s="8" t="s">
        <v>20</v>
      </c>
      <c r="D739" s="8" t="s">
        <v>37</v>
      </c>
      <c r="E739" s="8" t="s">
        <v>2241</v>
      </c>
      <c r="F739" s="17">
        <v>42145</v>
      </c>
      <c r="G739" s="8" t="s">
        <v>2242</v>
      </c>
      <c r="H739" s="8" t="s">
        <v>2221</v>
      </c>
      <c r="I739" s="8" t="s">
        <v>32</v>
      </c>
      <c r="J739" s="16" t="s">
        <v>2243</v>
      </c>
      <c r="K739" s="2" t="s">
        <v>2221</v>
      </c>
      <c r="L739" s="8" t="s">
        <v>2244</v>
      </c>
      <c r="M739" s="8" t="s">
        <v>27</v>
      </c>
      <c r="N739" s="2" t="s">
        <v>2245</v>
      </c>
      <c r="O739" s="8" t="s">
        <v>1013</v>
      </c>
      <c r="P739" s="8" t="s">
        <v>401</v>
      </c>
      <c r="Q739" s="12" t="str">
        <f>HYPERLINK("http://www.postandcourier.com/article/20150521/PC16/150529889/man-shot-last-night-after-cutting-deputy-dies","http://www.postandcourier.com/article/20150521/PC16/150529889/man-shot-last-night-after-cutting-deputy-dies")</f>
        <v>http://www.postandcourier.com/article/20150521/PC16/150529889/man-shot-last-night-after-cutting-deputy-dies</v>
      </c>
      <c r="R739" s="8" t="s">
        <v>100</v>
      </c>
      <c r="S739" s="7" t="s">
        <v>28</v>
      </c>
      <c r="T739" s="6"/>
      <c r="U739" s="8"/>
    </row>
    <row r="740" spans="1:34" ht="13" customHeight="1">
      <c r="A740" s="8" t="s">
        <v>2233</v>
      </c>
      <c r="B740" s="16">
        <v>53</v>
      </c>
      <c r="C740" s="8" t="s">
        <v>20</v>
      </c>
      <c r="D740" s="8" t="s">
        <v>37</v>
      </c>
      <c r="E740" s="8" t="s">
        <v>2234</v>
      </c>
      <c r="F740" s="17">
        <v>42145</v>
      </c>
      <c r="G740" s="8" t="s">
        <v>2235</v>
      </c>
      <c r="H740" s="8" t="s">
        <v>2236</v>
      </c>
      <c r="I740" s="8" t="s">
        <v>62</v>
      </c>
      <c r="J740" s="16" t="s">
        <v>2237</v>
      </c>
      <c r="K740" s="2" t="s">
        <v>2238</v>
      </c>
      <c r="L740" s="8" t="s">
        <v>5524</v>
      </c>
      <c r="M740" s="8" t="s">
        <v>27</v>
      </c>
      <c r="N740" s="2" t="s">
        <v>2239</v>
      </c>
      <c r="O740" s="8" t="s">
        <v>1013</v>
      </c>
      <c r="P740" s="8" t="s">
        <v>401</v>
      </c>
      <c r="Q740" s="12" t="str">
        <f>HYPERLINK("http://jacksonville.com/news/crime/2015-05-21/story/suspect-shot-deputies-st-augustine-beach-has-died","http://jacksonville.com/news/crime/2015-05-21/story/suspect-shot-deputies-st-augustine-beach-has-died")</f>
        <v>http://jacksonville.com/news/crime/2015-05-21/story/suspect-shot-deputies-st-augustine-beach-has-died</v>
      </c>
      <c r="R740" s="8" t="s">
        <v>555</v>
      </c>
      <c r="S740" s="7" t="s">
        <v>28</v>
      </c>
      <c r="T740" s="6"/>
      <c r="U740" s="8"/>
    </row>
    <row r="741" spans="1:34" ht="13" customHeight="1">
      <c r="A741" s="8" t="s">
        <v>2254</v>
      </c>
      <c r="B741" s="16">
        <v>26</v>
      </c>
      <c r="C741" s="8" t="s">
        <v>20</v>
      </c>
      <c r="D741" s="8" t="s">
        <v>85</v>
      </c>
      <c r="E741" s="8" t="s">
        <v>2255</v>
      </c>
      <c r="F741" s="17">
        <v>42144</v>
      </c>
      <c r="G741" s="8" t="s">
        <v>2256</v>
      </c>
      <c r="H741" s="8" t="s">
        <v>1631</v>
      </c>
      <c r="I741" s="8" t="s">
        <v>463</v>
      </c>
      <c r="J741" s="16" t="s">
        <v>2257</v>
      </c>
      <c r="K741" s="2" t="s">
        <v>941</v>
      </c>
      <c r="L741" s="8" t="s">
        <v>2258</v>
      </c>
      <c r="M741" s="8" t="s">
        <v>27</v>
      </c>
      <c r="N741" s="2" t="s">
        <v>2259</v>
      </c>
      <c r="O741" s="8" t="s">
        <v>550</v>
      </c>
      <c r="P741" s="8" t="s">
        <v>401</v>
      </c>
      <c r="Q741" s="12" t="str">
        <f>HYPERLINK("http://www.wowt.com/home/headlines/Police-Officer-Shot-304450711.html?ref=711","http://www.wowt.com/home/headlines/Police-Officer-Shot-304450711.html?ref=711")</f>
        <v>http://www.wowt.com/home/headlines/Police-Officer-Shot-304450711.html?ref=711</v>
      </c>
      <c r="R741" s="8" t="s">
        <v>100</v>
      </c>
      <c r="S741" s="7" t="s">
        <v>28</v>
      </c>
      <c r="T741" s="6"/>
      <c r="U741" s="8"/>
    </row>
    <row r="742" spans="1:34" ht="13" customHeight="1">
      <c r="A742" s="8" t="s">
        <v>2260</v>
      </c>
      <c r="B742" s="16">
        <v>35</v>
      </c>
      <c r="C742" s="8" t="s">
        <v>20</v>
      </c>
      <c r="D742" s="8" t="s">
        <v>37</v>
      </c>
      <c r="E742" s="8" t="s">
        <v>2261</v>
      </c>
      <c r="F742" s="17">
        <v>42144</v>
      </c>
      <c r="G742" s="8" t="s">
        <v>2262</v>
      </c>
      <c r="H742" s="8" t="s">
        <v>2263</v>
      </c>
      <c r="I742" s="8" t="s">
        <v>981</v>
      </c>
      <c r="J742" s="16" t="s">
        <v>2264</v>
      </c>
      <c r="K742" s="2" t="s">
        <v>2265</v>
      </c>
      <c r="L742" s="8" t="s">
        <v>2266</v>
      </c>
      <c r="M742" s="8" t="s">
        <v>27</v>
      </c>
      <c r="N742" s="2" t="s">
        <v>2267</v>
      </c>
      <c r="O742" s="8" t="s">
        <v>1013</v>
      </c>
      <c r="P742" s="8" t="s">
        <v>401</v>
      </c>
      <c r="Q742" s="12" t="str">
        <f>HYPERLINK("http://www.thv11.com/story/news/crime/2015/05/19/police-respond-to-cabot-shooting/27627629/","http://www.thv11.com/story/news/crime/2015/05/19/police-respond-to-cabot-shooting/27627629/")</f>
        <v>http://www.thv11.com/story/news/crime/2015/05/19/police-respond-to-cabot-shooting/27627629/</v>
      </c>
      <c r="R742" s="8" t="s">
        <v>100</v>
      </c>
      <c r="S742" s="7" t="s">
        <v>28</v>
      </c>
      <c r="T742" s="6"/>
      <c r="U742" s="8"/>
    </row>
    <row r="743" spans="1:34" ht="13" customHeight="1">
      <c r="A743" s="8" t="s">
        <v>2268</v>
      </c>
      <c r="B743" s="16">
        <v>52</v>
      </c>
      <c r="C743" s="8" t="s">
        <v>20</v>
      </c>
      <c r="D743" s="8" t="s">
        <v>37</v>
      </c>
      <c r="E743" s="8" t="s">
        <v>2269</v>
      </c>
      <c r="F743" s="17">
        <v>42144</v>
      </c>
      <c r="G743" s="8" t="s">
        <v>2270</v>
      </c>
      <c r="H743" s="8" t="s">
        <v>1109</v>
      </c>
      <c r="I743" s="8" t="s">
        <v>69</v>
      </c>
      <c r="J743" s="16" t="s">
        <v>2271</v>
      </c>
      <c r="K743" s="2" t="s">
        <v>2272</v>
      </c>
      <c r="L743" s="8" t="s">
        <v>2273</v>
      </c>
      <c r="M743" s="8" t="s">
        <v>27</v>
      </c>
      <c r="N743" s="2" t="s">
        <v>2274</v>
      </c>
      <c r="O743" s="8" t="s">
        <v>1013</v>
      </c>
      <c r="P743" s="8" t="s">
        <v>401</v>
      </c>
      <c r="Q743" s="12" t="str">
        <f>HYPERLINK("http://www.newsnet5.com/news/local-news/oh-summit/summit-county-sheriffs-deputy-fatally-shoots-man-with-knife-in-green","http://www.newsnet5.com/news/local-news/oh-summit/summit-county-sheriffs-deputy-fatally-shoots-man-with-knife-in-green")</f>
        <v>http://www.newsnet5.com/news/local-news/oh-summit/summit-county-sheriffs-deputy-fatally-shoots-man-with-knife-in-green</v>
      </c>
      <c r="R743" s="8" t="s">
        <v>100</v>
      </c>
      <c r="S743" s="7" t="s">
        <v>28</v>
      </c>
      <c r="T743" s="6"/>
      <c r="U743" s="8"/>
    </row>
    <row r="744" spans="1:34" ht="13" customHeight="1">
      <c r="A744" s="8" t="s">
        <v>2275</v>
      </c>
      <c r="B744" s="16">
        <v>29</v>
      </c>
      <c r="C744" s="8" t="s">
        <v>20</v>
      </c>
      <c r="D744" s="8" t="s">
        <v>85</v>
      </c>
      <c r="E744" s="8" t="s">
        <v>2276</v>
      </c>
      <c r="F744" s="17">
        <v>42143</v>
      </c>
      <c r="G744" s="8" t="s">
        <v>2277</v>
      </c>
      <c r="H744" s="8" t="s">
        <v>1496</v>
      </c>
      <c r="I744" s="8" t="s">
        <v>404</v>
      </c>
      <c r="J744" s="16" t="s">
        <v>2278</v>
      </c>
      <c r="K744" s="2" t="s">
        <v>1496</v>
      </c>
      <c r="L744" s="8" t="s">
        <v>2279</v>
      </c>
      <c r="M744" s="8" t="s">
        <v>27</v>
      </c>
      <c r="N744" s="2" t="s">
        <v>2280</v>
      </c>
      <c r="O744" s="8" t="s">
        <v>1013</v>
      </c>
      <c r="P744" s="8" t="s">
        <v>401</v>
      </c>
      <c r="Q744" s="12" t="str">
        <f>HYPERLINK("http://www.wgal.com/news/breaking-news-officer-shot-in-lancaster/33104470","http://www.wgal.com/news/breaking-news-officer-shot-in-lancaster/33104470")</f>
        <v>http://www.wgal.com/news/breaking-news-officer-shot-in-lancaster/33104470</v>
      </c>
      <c r="R744" s="8" t="s">
        <v>100</v>
      </c>
      <c r="S744" s="7" t="s">
        <v>28</v>
      </c>
      <c r="T744" s="6"/>
      <c r="U744" s="8"/>
    </row>
    <row r="745" spans="1:34" ht="13" customHeight="1">
      <c r="A745" s="8" t="s">
        <v>2281</v>
      </c>
      <c r="B745" s="16">
        <v>54</v>
      </c>
      <c r="C745" s="8" t="s">
        <v>20</v>
      </c>
      <c r="D745" s="8" t="s">
        <v>48</v>
      </c>
      <c r="F745" s="17">
        <v>42143</v>
      </c>
      <c r="G745" s="8" t="s">
        <v>2282</v>
      </c>
      <c r="H745" s="8" t="s">
        <v>846</v>
      </c>
      <c r="I745" s="8" t="s">
        <v>244</v>
      </c>
      <c r="J745" s="16" t="s">
        <v>2283</v>
      </c>
      <c r="K745" s="2" t="s">
        <v>846</v>
      </c>
      <c r="L745" s="8" t="s">
        <v>20841</v>
      </c>
      <c r="M745" s="8" t="s">
        <v>27</v>
      </c>
      <c r="N745" s="2" t="s">
        <v>2284</v>
      </c>
      <c r="O745" s="8" t="s">
        <v>400</v>
      </c>
      <c r="P745" s="8" t="s">
        <v>401</v>
      </c>
      <c r="Q745" s="12" t="str">
        <f>HYPERLINK("http://www.arlnow.com/2015/05/19/breaking-officer-involved-shooting-in-buckingham/","http://www.arlnow.com/2015/05/19/breaking-officer-involved-shooting-in-buckingham/")</f>
        <v>http://www.arlnow.com/2015/05/19/breaking-officer-involved-shooting-in-buckingham/</v>
      </c>
      <c r="R745" s="8" t="s">
        <v>2285</v>
      </c>
      <c r="S745" s="7" t="s">
        <v>28</v>
      </c>
      <c r="T745" s="6"/>
      <c r="U745" s="8"/>
      <c r="Y745" s="8"/>
      <c r="Z745" s="8"/>
      <c r="AA745" s="8"/>
      <c r="AB745" s="8"/>
      <c r="AC745" s="8"/>
      <c r="AD745" s="8"/>
      <c r="AE745" s="8"/>
      <c r="AF745" s="8"/>
      <c r="AG745" s="8"/>
      <c r="AH745" s="8"/>
    </row>
    <row r="746" spans="1:34" ht="13" customHeight="1">
      <c r="A746" s="8" t="s">
        <v>2286</v>
      </c>
      <c r="B746" s="16">
        <v>17</v>
      </c>
      <c r="C746" s="8" t="s">
        <v>20</v>
      </c>
      <c r="D746" s="8" t="s">
        <v>37</v>
      </c>
      <c r="F746" s="17">
        <v>42143</v>
      </c>
      <c r="G746" s="8" t="s">
        <v>2287</v>
      </c>
      <c r="H746" s="8" t="s">
        <v>2288</v>
      </c>
      <c r="I746" s="8" t="s">
        <v>209</v>
      </c>
      <c r="J746" s="16" t="s">
        <v>2289</v>
      </c>
      <c r="K746" s="2" t="s">
        <v>1432</v>
      </c>
      <c r="L746" s="8" t="s">
        <v>2290</v>
      </c>
      <c r="M746" s="8" t="s">
        <v>27</v>
      </c>
      <c r="N746" s="2" t="s">
        <v>2291</v>
      </c>
      <c r="O746" s="8" t="s">
        <v>400</v>
      </c>
      <c r="P746" s="8" t="s">
        <v>401</v>
      </c>
      <c r="Q746" s="12" t="str">
        <f>HYPERLINK("http://www.kjct8.com/news/headlines/Officer-involved-shooting-near-downtown-Grand-Junction-304404101.html","http://www.kjct8.com/news/headlines/Officer-involved-shooting-near-downtown-Grand-Junction-304404101.html")</f>
        <v>http://www.kjct8.com/news/headlines/Officer-involved-shooting-near-downtown-Grand-Junction-304404101.html</v>
      </c>
      <c r="R746" s="8" t="s">
        <v>2292</v>
      </c>
      <c r="S746" s="7" t="s">
        <v>28</v>
      </c>
      <c r="T746" s="6"/>
      <c r="U746" s="8"/>
    </row>
    <row r="747" spans="1:34" ht="13" customHeight="1">
      <c r="A747" s="8" t="s">
        <v>2293</v>
      </c>
      <c r="B747" s="16">
        <v>46</v>
      </c>
      <c r="C747" s="8" t="s">
        <v>20</v>
      </c>
      <c r="D747" s="8" t="s">
        <v>37</v>
      </c>
      <c r="E747" s="8" t="s">
        <v>2294</v>
      </c>
      <c r="F747" s="17">
        <v>42143</v>
      </c>
      <c r="G747" s="8" t="s">
        <v>2295</v>
      </c>
      <c r="H747" s="8" t="s">
        <v>1322</v>
      </c>
      <c r="I747" s="8" t="s">
        <v>1086</v>
      </c>
      <c r="L747" s="8" t="s">
        <v>2296</v>
      </c>
      <c r="M747" s="8" t="s">
        <v>2297</v>
      </c>
      <c r="P747" s="8" t="s">
        <v>401</v>
      </c>
      <c r="Q747" s="12" t="str">
        <f>HYPERLINK("http://k2radio.com/inmate-fought-deputies-before-dying-affidavit-details-bin-williams-last-days/","http://k2radio.com/inmate-fought-deputies-before-dying-affidavit-details-bin-williams-last-days/")</f>
        <v>http://k2radio.com/inmate-fought-deputies-before-dying-affidavit-details-bin-williams-last-days/</v>
      </c>
      <c r="S747" s="7" t="s">
        <v>18</v>
      </c>
      <c r="T747" s="6"/>
      <c r="U747" s="8"/>
    </row>
    <row r="748" spans="1:34" ht="13" customHeight="1">
      <c r="A748" s="8" t="s">
        <v>2298</v>
      </c>
      <c r="B748" s="16">
        <v>45</v>
      </c>
      <c r="C748" s="8" t="s">
        <v>20</v>
      </c>
      <c r="D748" s="8" t="s">
        <v>85</v>
      </c>
      <c r="E748" s="8" t="s">
        <v>2299</v>
      </c>
      <c r="F748" s="17">
        <v>42141</v>
      </c>
      <c r="G748" s="8" t="s">
        <v>2300</v>
      </c>
      <c r="H748" s="8" t="s">
        <v>2301</v>
      </c>
      <c r="I748" s="8" t="s">
        <v>44</v>
      </c>
      <c r="J748" s="16" t="s">
        <v>2302</v>
      </c>
      <c r="K748" s="2" t="s">
        <v>88</v>
      </c>
      <c r="L748" s="8" t="s">
        <v>2303</v>
      </c>
      <c r="M748" s="8" t="s">
        <v>27</v>
      </c>
      <c r="N748" s="2" t="s">
        <v>2304</v>
      </c>
      <c r="O748" s="8" t="s">
        <v>1013</v>
      </c>
      <c r="P748" s="8" t="s">
        <v>401</v>
      </c>
      <c r="Q748" s="12" t="str">
        <f>HYPERLINK("http://www.chicagotribune.com/news/local/breaking/ct-officials-robbery-suspect-shot-dead-after-opening-fire-on-cops-20150517-story.html","http://www.chicagotribune.com/news/local/breaking/ct-officials-robbery-suspect-shot-dead-after-opening-fire-on-cops-20150517-story.html")</f>
        <v>http://www.chicagotribune.com/news/local/breaking/ct-officials-robbery-suspect-shot-dead-after-opening-fire-on-cops-20150517-story.html</v>
      </c>
      <c r="R748" s="8" t="s">
        <v>100</v>
      </c>
      <c r="S748" s="7" t="s">
        <v>28</v>
      </c>
      <c r="T748" s="6"/>
      <c r="U748" s="8"/>
    </row>
    <row r="749" spans="1:34" ht="13" customHeight="1">
      <c r="A749" s="8" t="s">
        <v>2311</v>
      </c>
      <c r="B749" s="16">
        <v>18</v>
      </c>
      <c r="C749" s="8" t="s">
        <v>20</v>
      </c>
      <c r="D749" s="8" t="s">
        <v>37</v>
      </c>
      <c r="E749" s="8" t="s">
        <v>2312</v>
      </c>
      <c r="F749" s="17">
        <v>42141</v>
      </c>
      <c r="G749" s="8" t="s">
        <v>2313</v>
      </c>
      <c r="H749" s="8" t="s">
        <v>2314</v>
      </c>
      <c r="I749" s="8" t="s">
        <v>62</v>
      </c>
      <c r="J749" s="16" t="s">
        <v>2315</v>
      </c>
      <c r="K749" s="2" t="s">
        <v>2316</v>
      </c>
      <c r="L749" s="8" t="s">
        <v>2317</v>
      </c>
      <c r="M749" s="8" t="s">
        <v>27</v>
      </c>
      <c r="N749" s="2" t="s">
        <v>2318</v>
      </c>
      <c r="O749" s="8" t="s">
        <v>1013</v>
      </c>
      <c r="P749" s="8" t="s">
        <v>401</v>
      </c>
      <c r="Q749" s="12" t="str">
        <f>HYPERLINK("http://www.baynews9.com/content/news/baynews9/news/article.html/content/news/articles/bn9/2015/5/17/st_pete_officer_shot.html","http://www.baynews9.com/content/news/baynews9/news/article.html/content/news/articles/bn9/2015/5/17/st_pete_officer_shot.html")</f>
        <v>http://www.baynews9.com/content/news/baynews9/news/article.html/content/news/articles/bn9/2015/5/17/st_pete_officer_shot.html</v>
      </c>
      <c r="R749" s="8" t="s">
        <v>555</v>
      </c>
      <c r="S749" s="7" t="s">
        <v>28</v>
      </c>
      <c r="T749" s="6"/>
      <c r="U749" s="8"/>
    </row>
    <row r="750" spans="1:34" ht="13" customHeight="1">
      <c r="A750" s="8" t="s">
        <v>2319</v>
      </c>
      <c r="B750" s="16">
        <v>27</v>
      </c>
      <c r="C750" s="8" t="s">
        <v>20</v>
      </c>
      <c r="D750" s="8" t="s">
        <v>37</v>
      </c>
      <c r="E750" s="8" t="s">
        <v>2320</v>
      </c>
      <c r="F750" s="17">
        <v>42141</v>
      </c>
      <c r="G750" s="8" t="s">
        <v>2321</v>
      </c>
      <c r="H750" s="8" t="s">
        <v>2322</v>
      </c>
      <c r="I750" s="8" t="s">
        <v>195</v>
      </c>
      <c r="J750" s="16" t="s">
        <v>2323</v>
      </c>
      <c r="K750" s="2" t="s">
        <v>2324</v>
      </c>
      <c r="L750" s="8" t="s">
        <v>2325</v>
      </c>
      <c r="M750" s="8" t="s">
        <v>27</v>
      </c>
      <c r="N750" s="2" t="s">
        <v>2326</v>
      </c>
      <c r="O750" s="8" t="s">
        <v>400</v>
      </c>
      <c r="P750" s="8" t="s">
        <v>401</v>
      </c>
      <c r="Q750" s="12" t="str">
        <f>HYPERLINK("http://www.kob.com/article/stories/s3798987.shtml#.VVkL0zY4nTY","http://www.kob.com/article/stories/s3798987.shtml#.VVkL0zY4nTY")</f>
        <v>http://www.kob.com/article/stories/s3798987.shtml#.VVkL0zY4nTY</v>
      </c>
      <c r="R750" s="8" t="s">
        <v>100</v>
      </c>
      <c r="S750" s="7" t="s">
        <v>28</v>
      </c>
      <c r="T750" s="6"/>
      <c r="U750" s="8"/>
    </row>
    <row r="751" spans="1:34" ht="13" customHeight="1">
      <c r="A751" s="8" t="s">
        <v>2305</v>
      </c>
      <c r="B751" s="16">
        <v>34</v>
      </c>
      <c r="C751" s="8" t="s">
        <v>20</v>
      </c>
      <c r="D751" s="8" t="s">
        <v>37</v>
      </c>
      <c r="E751" s="8" t="s">
        <v>2306</v>
      </c>
      <c r="F751" s="17">
        <v>42141</v>
      </c>
      <c r="G751" s="8" t="s">
        <v>2307</v>
      </c>
      <c r="H751" s="8" t="s">
        <v>156</v>
      </c>
      <c r="I751" s="8" t="s">
        <v>45</v>
      </c>
      <c r="J751" s="16" t="s">
        <v>2308</v>
      </c>
      <c r="K751" s="2" t="s">
        <v>156</v>
      </c>
      <c r="L751" s="8" t="s">
        <v>157</v>
      </c>
      <c r="M751" s="8" t="s">
        <v>27</v>
      </c>
      <c r="N751" s="2" t="s">
        <v>2309</v>
      </c>
      <c r="O751" s="8" t="s">
        <v>400</v>
      </c>
      <c r="P751" s="8" t="s">
        <v>401</v>
      </c>
      <c r="Q751" s="12" t="str">
        <f>HYPERLINK("http://www.utsandiego.com/news/2015/may/17/sdpd-ois-officer-shot-kearny-mesa-hospital/","http://www.utsandiego.com/news/2015/may/17/sdpd-ois-officer-shot-kearny-mesa-hospital/")</f>
        <v>http://www.utsandiego.com/news/2015/may/17/sdpd-ois-officer-shot-kearny-mesa-hospital/</v>
      </c>
      <c r="R751" s="8" t="s">
        <v>2310</v>
      </c>
      <c r="S751" s="7" t="s">
        <v>28</v>
      </c>
      <c r="T751" s="6"/>
      <c r="U751" s="8"/>
    </row>
    <row r="752" spans="1:34" ht="13" customHeight="1">
      <c r="A752" s="8" t="s">
        <v>2327</v>
      </c>
      <c r="B752" s="16">
        <v>42</v>
      </c>
      <c r="C752" s="8" t="s">
        <v>20</v>
      </c>
      <c r="D752" s="8" t="s">
        <v>37</v>
      </c>
      <c r="E752" s="8" t="s">
        <v>2328</v>
      </c>
      <c r="F752" s="17">
        <v>42140</v>
      </c>
      <c r="G752" s="8" t="s">
        <v>2329</v>
      </c>
      <c r="H752" s="8" t="s">
        <v>1646</v>
      </c>
      <c r="I752" s="8" t="s">
        <v>45</v>
      </c>
      <c r="J752" s="16" t="s">
        <v>2330</v>
      </c>
      <c r="K752" s="2" t="s">
        <v>1646</v>
      </c>
      <c r="L752" s="8" t="s">
        <v>2331</v>
      </c>
      <c r="M752" s="8" t="s">
        <v>27</v>
      </c>
      <c r="N752" s="2" t="s">
        <v>2332</v>
      </c>
      <c r="O752" s="8" t="s">
        <v>1013</v>
      </c>
      <c r="P752" s="8" t="s">
        <v>401</v>
      </c>
      <c r="Q752" s="12" t="str">
        <f>HYPERLINK("http://www.kcra.com/news/local-news/news-sacramento/sacramento-police-investigating-officerinvolved-shooting/33053756","http://www.kcra.com/news/local-news/news-sacramento/sacramento-police-investigating-officerinvolved-shooting/33053756")</f>
        <v>http://www.kcra.com/news/local-news/news-sacramento/sacramento-police-investigating-officerinvolved-shooting/33053756</v>
      </c>
      <c r="R752" s="8" t="s">
        <v>2333</v>
      </c>
      <c r="S752" s="7" t="s">
        <v>18</v>
      </c>
      <c r="T752" s="6"/>
      <c r="U752" s="8"/>
    </row>
    <row r="753" spans="1:39" ht="13" customHeight="1">
      <c r="A753" s="8" t="s">
        <v>2334</v>
      </c>
      <c r="B753" s="16">
        <v>40</v>
      </c>
      <c r="C753" s="8" t="s">
        <v>20</v>
      </c>
      <c r="D753" s="8" t="s">
        <v>48</v>
      </c>
      <c r="E753" s="8" t="s">
        <v>2335</v>
      </c>
      <c r="F753" s="17">
        <v>42139</v>
      </c>
      <c r="G753" s="8" t="s">
        <v>2336</v>
      </c>
      <c r="H753" s="8" t="s">
        <v>757</v>
      </c>
      <c r="I753" s="8" t="s">
        <v>423</v>
      </c>
      <c r="J753" s="16" t="s">
        <v>2337</v>
      </c>
      <c r="K753" s="2" t="s">
        <v>1847</v>
      </c>
      <c r="L753" s="8" t="s">
        <v>582</v>
      </c>
      <c r="M753" s="8" t="s">
        <v>29</v>
      </c>
      <c r="N753" s="2" t="s">
        <v>21663</v>
      </c>
      <c r="O753" s="8" t="s">
        <v>400</v>
      </c>
      <c r="P753" s="8" t="s">
        <v>401</v>
      </c>
      <c r="Q753" s="12" t="str">
        <f>HYPERLINK("http://www.nydailynews.com/new-york/bronx-man-died-custody-drinking-sources-article-1.2224115","http://www.nydailynews.com/new-york/bronx-man-died-custody-drinking-sources-article-1.2224115")</f>
        <v>http://www.nydailynews.com/new-york/bronx-man-died-custody-drinking-sources-article-1.2224115</v>
      </c>
      <c r="R753" s="8" t="s">
        <v>555</v>
      </c>
      <c r="S753" s="7" t="s">
        <v>18</v>
      </c>
      <c r="T753" s="6"/>
      <c r="U753" s="8"/>
    </row>
    <row r="754" spans="1:39" ht="13" customHeight="1">
      <c r="A754" s="8" t="s">
        <v>2338</v>
      </c>
      <c r="B754" s="16">
        <v>41</v>
      </c>
      <c r="C754" s="8" t="s">
        <v>20</v>
      </c>
      <c r="D754" s="8" t="s">
        <v>37</v>
      </c>
      <c r="E754" s="8" t="s">
        <v>2339</v>
      </c>
      <c r="F754" s="17">
        <v>42139</v>
      </c>
      <c r="G754" s="8" t="s">
        <v>2340</v>
      </c>
      <c r="H754" s="8" t="s">
        <v>2341</v>
      </c>
      <c r="I754" s="8" t="s">
        <v>44</v>
      </c>
      <c r="J754" s="16" t="s">
        <v>2342</v>
      </c>
      <c r="K754" s="2" t="s">
        <v>2343</v>
      </c>
      <c r="L754" s="8" t="s">
        <v>2344</v>
      </c>
      <c r="M754" s="8" t="s">
        <v>27</v>
      </c>
      <c r="N754" s="2" t="s">
        <v>2345</v>
      </c>
      <c r="O754" s="8" t="s">
        <v>400</v>
      </c>
      <c r="P754" s="8" t="s">
        <v>401</v>
      </c>
      <c r="Q754" s="12" t="str">
        <f>HYPERLINK("http://www.wrex.com/story/29079166/2015/05/15/officer-involved-shooting-in-rockford","http://www.wrex.com/story/29079166/2015/05/15/officer-involved-shooting-in-rockford")</f>
        <v>http://www.wrex.com/story/29079166/2015/05/15/officer-involved-shooting-in-rockford</v>
      </c>
      <c r="R754" s="8" t="s">
        <v>555</v>
      </c>
      <c r="S754" s="7" t="s">
        <v>28</v>
      </c>
      <c r="T754" s="6"/>
      <c r="U754" s="8"/>
    </row>
    <row r="755" spans="1:39" ht="13" customHeight="1">
      <c r="A755" s="8" t="s">
        <v>2346</v>
      </c>
      <c r="B755" s="16">
        <v>37</v>
      </c>
      <c r="C755" s="8" t="s">
        <v>20</v>
      </c>
      <c r="D755" s="8" t="s">
        <v>37</v>
      </c>
      <c r="F755" s="17">
        <v>42138</v>
      </c>
      <c r="G755" s="8" t="s">
        <v>2347</v>
      </c>
      <c r="H755" s="8" t="s">
        <v>2348</v>
      </c>
      <c r="I755" s="8" t="s">
        <v>57</v>
      </c>
      <c r="J755" s="16" t="s">
        <v>2349</v>
      </c>
      <c r="K755" s="2" t="s">
        <v>2350</v>
      </c>
      <c r="L755" s="8" t="s">
        <v>2351</v>
      </c>
      <c r="M755" s="8" t="s">
        <v>27</v>
      </c>
      <c r="N755" s="2" t="s">
        <v>2352</v>
      </c>
      <c r="O755" s="8" t="s">
        <v>1013</v>
      </c>
      <c r="P755" s="8" t="s">
        <v>401</v>
      </c>
      <c r="Q755" s="12" t="str">
        <f>HYPERLINK("http://www.mlive.com/news/kalamazoo/index.ssf/2015/05/police_kill_1_man_injure_anoth.html","http://www.mlive.com/news/kalamazoo/index.ssf/2015/05/police_kill_1_man_injure_anoth.html")</f>
        <v>http://www.mlive.com/news/kalamazoo/index.ssf/2015/05/police_kill_1_man_injure_anoth.html</v>
      </c>
      <c r="R755" s="8" t="s">
        <v>100</v>
      </c>
      <c r="S755" s="7" t="s">
        <v>28</v>
      </c>
      <c r="T755" s="6"/>
      <c r="U755" s="8"/>
    </row>
    <row r="756" spans="1:39" ht="13" customHeight="1">
      <c r="A756" s="8" t="s">
        <v>2353</v>
      </c>
      <c r="B756" s="16">
        <v>37</v>
      </c>
      <c r="C756" s="8" t="s">
        <v>20</v>
      </c>
      <c r="D756" s="8" t="s">
        <v>85</v>
      </c>
      <c r="E756" s="8" t="s">
        <v>2354</v>
      </c>
      <c r="F756" s="17">
        <v>42137</v>
      </c>
      <c r="G756" s="8" t="s">
        <v>2355</v>
      </c>
      <c r="H756" s="8" t="s">
        <v>841</v>
      </c>
      <c r="I756" s="8" t="s">
        <v>303</v>
      </c>
      <c r="J756" s="16" t="s">
        <v>2356</v>
      </c>
      <c r="K756" s="2" t="s">
        <v>841</v>
      </c>
      <c r="L756" s="8" t="s">
        <v>842</v>
      </c>
      <c r="M756" s="8" t="s">
        <v>29</v>
      </c>
      <c r="N756" s="2" t="s">
        <v>2357</v>
      </c>
      <c r="O756" s="8" t="s">
        <v>1013</v>
      </c>
      <c r="P756" s="8" t="s">
        <v>401</v>
      </c>
      <c r="Q756" s="12" t="str">
        <f>HYPERLINK("http://www.spokesman.com/stories/2015/may/13/jail-inmate-dies-shortly-after-arrest/","http://www.spokesman.com/stories/2015/may/13/jail-inmate-dies-shortly-after-arrest/")</f>
        <v>http://www.spokesman.com/stories/2015/may/13/jail-inmate-dies-shortly-after-arrest/</v>
      </c>
      <c r="R756" s="8" t="s">
        <v>2209</v>
      </c>
      <c r="S756" s="7" t="s">
        <v>18</v>
      </c>
      <c r="T756" s="6"/>
      <c r="U756" s="8"/>
    </row>
    <row r="757" spans="1:39" ht="13" customHeight="1">
      <c r="A757" s="8" t="s">
        <v>20824</v>
      </c>
      <c r="B757" s="16">
        <v>68</v>
      </c>
      <c r="C757" s="8" t="s">
        <v>20</v>
      </c>
      <c r="D757" s="8" t="s">
        <v>37</v>
      </c>
      <c r="F757" s="17">
        <v>42137</v>
      </c>
      <c r="G757" s="8" t="s">
        <v>20825</v>
      </c>
      <c r="H757" s="8" t="s">
        <v>20794</v>
      </c>
      <c r="I757" s="8" t="s">
        <v>366</v>
      </c>
      <c r="J757" s="16">
        <v>27106</v>
      </c>
      <c r="K757" s="2" t="s">
        <v>9413</v>
      </c>
      <c r="L757" s="2" t="s">
        <v>20791</v>
      </c>
      <c r="M757" s="2" t="s">
        <v>379</v>
      </c>
      <c r="N757" s="2" t="s">
        <v>20826</v>
      </c>
      <c r="O757" s="2" t="s">
        <v>1161</v>
      </c>
      <c r="P757" s="8" t="s">
        <v>1162</v>
      </c>
      <c r="Q757" s="12" t="s">
        <v>20827</v>
      </c>
      <c r="R757" s="8" t="s">
        <v>100</v>
      </c>
      <c r="S757" s="8" t="s">
        <v>379</v>
      </c>
      <c r="T757" s="8"/>
      <c r="U757" s="8"/>
      <c r="Y757" s="8"/>
      <c r="Z757" s="8"/>
      <c r="AA757" s="8"/>
      <c r="AB757" s="8"/>
      <c r="AC757" s="8"/>
      <c r="AD757" s="8"/>
      <c r="AE757" s="8"/>
      <c r="AF757" s="8"/>
      <c r="AG757" s="8"/>
      <c r="AH757" s="8"/>
      <c r="AI757" s="8"/>
      <c r="AJ757" s="8"/>
      <c r="AK757" s="8"/>
      <c r="AL757" s="8"/>
      <c r="AM757" s="8"/>
    </row>
    <row r="758" spans="1:39" ht="13" customHeight="1">
      <c r="A758" s="8" t="s">
        <v>2358</v>
      </c>
      <c r="B758" s="16">
        <v>28</v>
      </c>
      <c r="C758" s="8" t="s">
        <v>20</v>
      </c>
      <c r="D758" s="8" t="s">
        <v>85</v>
      </c>
      <c r="E758" s="8" t="s">
        <v>20663</v>
      </c>
      <c r="F758" s="17">
        <v>42136</v>
      </c>
      <c r="G758" s="8" t="s">
        <v>2359</v>
      </c>
      <c r="H758" s="8" t="s">
        <v>653</v>
      </c>
      <c r="I758" s="8" t="s">
        <v>62</v>
      </c>
      <c r="J758" s="16" t="s">
        <v>2360</v>
      </c>
      <c r="K758" s="2" t="s">
        <v>654</v>
      </c>
      <c r="L758" s="8" t="s">
        <v>655</v>
      </c>
      <c r="M758" s="8" t="s">
        <v>27</v>
      </c>
      <c r="N758" s="2" t="s">
        <v>2362</v>
      </c>
      <c r="O758" s="8" t="s">
        <v>1013</v>
      </c>
      <c r="P758" s="8" t="s">
        <v>401</v>
      </c>
      <c r="Q758" s="12" t="str">
        <f>HYPERLINK("http://jacksonville.com/news/crime/2015-05-12/story/suspect-dead-police-involved-shooting-westside-jacksonville-apartment","http://jacksonville.com/news/crime/2015-05-12/story/suspect-dead-police-involved-shooting-westside-jacksonville-apartment")</f>
        <v>http://jacksonville.com/news/crime/2015-05-12/story/suspect-dead-police-involved-shooting-westside-jacksonville-apartment</v>
      </c>
      <c r="R758" s="8" t="s">
        <v>100</v>
      </c>
      <c r="S758" s="7" t="s">
        <v>18</v>
      </c>
      <c r="T758" s="6"/>
      <c r="U758" s="8"/>
    </row>
    <row r="759" spans="1:39" ht="13" customHeight="1">
      <c r="A759" s="8" t="s">
        <v>2363</v>
      </c>
      <c r="B759" s="16">
        <v>40</v>
      </c>
      <c r="C759" s="8" t="s">
        <v>20</v>
      </c>
      <c r="D759" s="8" t="s">
        <v>85</v>
      </c>
      <c r="F759" s="17">
        <v>42136</v>
      </c>
      <c r="G759" s="8" t="s">
        <v>2364</v>
      </c>
      <c r="H759" s="8" t="s">
        <v>2365</v>
      </c>
      <c r="I759" s="8" t="s">
        <v>52</v>
      </c>
      <c r="J759" s="16" t="s">
        <v>2366</v>
      </c>
      <c r="K759" s="2" t="s">
        <v>1059</v>
      </c>
      <c r="L759" s="8" t="s">
        <v>2367</v>
      </c>
      <c r="M759" s="8" t="s">
        <v>391</v>
      </c>
      <c r="N759" s="2" t="s">
        <v>2368</v>
      </c>
      <c r="O759" s="8" t="s">
        <v>1013</v>
      </c>
      <c r="P759" s="8" t="s">
        <v>401</v>
      </c>
      <c r="Q759" s="12" t="str">
        <f>HYPERLINK("http://wtop.com/montgomery-county/2015/05/death-of-man-after-police-tasing-investigated-in-montgomery-county/","http://wtop.com/montgomery-county/2015/05/death-of-man-after-police-tasing-investigated-in-montgomery-county/")</f>
        <v>http://wtop.com/montgomery-county/2015/05/death-of-man-after-police-tasing-investigated-in-montgomery-county/</v>
      </c>
      <c r="R759" s="8" t="s">
        <v>967</v>
      </c>
      <c r="S759" s="7" t="s">
        <v>18</v>
      </c>
      <c r="T759" s="6"/>
      <c r="U759" s="8"/>
    </row>
    <row r="760" spans="1:39" ht="13" customHeight="1">
      <c r="A760" s="8" t="s">
        <v>2369</v>
      </c>
      <c r="B760" s="16">
        <v>46</v>
      </c>
      <c r="C760" s="8" t="s">
        <v>20</v>
      </c>
      <c r="D760" s="8" t="s">
        <v>945</v>
      </c>
      <c r="E760" s="8" t="s">
        <v>2370</v>
      </c>
      <c r="F760" s="17">
        <v>42136</v>
      </c>
      <c r="G760" s="8" t="s">
        <v>2371</v>
      </c>
      <c r="H760" s="8" t="s">
        <v>2372</v>
      </c>
      <c r="I760" s="8" t="s">
        <v>873</v>
      </c>
      <c r="J760" s="16" t="s">
        <v>2373</v>
      </c>
      <c r="K760" s="2" t="s">
        <v>2372</v>
      </c>
      <c r="L760" s="8" t="s">
        <v>5671</v>
      </c>
      <c r="M760" s="8" t="s">
        <v>27</v>
      </c>
      <c r="N760" s="2" t="s">
        <v>2374</v>
      </c>
      <c r="O760" s="8" t="s">
        <v>400</v>
      </c>
      <c r="P760" s="8" t="s">
        <v>401</v>
      </c>
      <c r="Q760" s="12" t="str">
        <f>HYPERLINK("http://www.staradvertiser.com/news/breaking/20150512_Man_fatally_shot_at_Chinatown_Gateway_Plaza.html?id=303517261","http://www.staradvertiser.com/news/breaking/20150512_Man_fatally_shot_at_Chinatown_Gateway_Plaza.html?id=303517261")</f>
        <v>http://www.staradvertiser.com/news/breaking/20150512_Man_fatally_shot_at_Chinatown_Gateway_Plaza.html?id=303517261</v>
      </c>
      <c r="R760" s="8" t="s">
        <v>100</v>
      </c>
      <c r="S760" s="7" t="s">
        <v>28</v>
      </c>
      <c r="T760" s="6"/>
      <c r="U760" s="8"/>
    </row>
    <row r="761" spans="1:39" ht="13" customHeight="1">
      <c r="A761" s="8" t="s">
        <v>2375</v>
      </c>
      <c r="B761" s="16">
        <v>40</v>
      </c>
      <c r="C761" s="8" t="s">
        <v>20</v>
      </c>
      <c r="D761" s="8" t="s">
        <v>37</v>
      </c>
      <c r="E761" s="8" t="s">
        <v>2376</v>
      </c>
      <c r="F761" s="17">
        <v>42136</v>
      </c>
      <c r="G761" s="8" t="s">
        <v>2377</v>
      </c>
      <c r="H761" s="8" t="s">
        <v>2378</v>
      </c>
      <c r="I761" s="8" t="s">
        <v>45</v>
      </c>
      <c r="J761" s="16" t="s">
        <v>2379</v>
      </c>
      <c r="K761" s="2" t="s">
        <v>1064</v>
      </c>
      <c r="L761" s="8" t="s">
        <v>2380</v>
      </c>
      <c r="M761" s="8" t="s">
        <v>27</v>
      </c>
      <c r="N761" s="2" t="s">
        <v>2381</v>
      </c>
      <c r="O761" s="8" t="s">
        <v>400</v>
      </c>
      <c r="P761" s="8" t="s">
        <v>401</v>
      </c>
      <c r="Q761" s="12" t="str">
        <f>HYPERLINK("http://www.ocregister.com/articles/santa-661469-involved-margarita.html","http://www.ocregister.com/articles/santa-661469-involved-margarita.html")</f>
        <v>http://www.ocregister.com/articles/santa-661469-involved-margarita.html</v>
      </c>
      <c r="S761" s="7" t="s">
        <v>28</v>
      </c>
      <c r="T761" s="6"/>
      <c r="U761" s="8"/>
    </row>
    <row r="762" spans="1:39" ht="13" customHeight="1">
      <c r="A762" s="8" t="s">
        <v>2382</v>
      </c>
      <c r="B762" s="16">
        <v>34</v>
      </c>
      <c r="C762" s="8" t="s">
        <v>20</v>
      </c>
      <c r="D762" s="8" t="s">
        <v>85</v>
      </c>
      <c r="E762" s="8" t="s">
        <v>2383</v>
      </c>
      <c r="F762" s="17">
        <v>42135</v>
      </c>
      <c r="G762" s="8" t="s">
        <v>2384</v>
      </c>
      <c r="H762" s="8" t="s">
        <v>2385</v>
      </c>
      <c r="I762" s="8" t="s">
        <v>52</v>
      </c>
      <c r="J762" s="16" t="s">
        <v>2386</v>
      </c>
      <c r="K762" s="2" t="s">
        <v>2387</v>
      </c>
      <c r="L762" s="8" t="s">
        <v>2388</v>
      </c>
      <c r="M762" s="8" t="s">
        <v>27</v>
      </c>
      <c r="N762" s="2" t="s">
        <v>2389</v>
      </c>
      <c r="O762" s="8" t="s">
        <v>400</v>
      </c>
      <c r="P762" s="8" t="s">
        <v>401</v>
      </c>
      <c r="Q762" s="12" t="str">
        <f>HYPERLINK("http://www.nbcwashington.com/news/local/Prince-Georges-County-Sheriffs-Deputy-Involved-in-Fatal-Shooting-303283731.html","http://www.nbcwashington.com/news/local/Prince-Georges-County-Sheriffs-Deputy-Involved-in-Fatal-Shooting-303283731.html")</f>
        <v>http://www.nbcwashington.com/news/local/Prince-Georges-County-Sheriffs-Deputy-Involved-in-Fatal-Shooting-303283731.html</v>
      </c>
      <c r="R762" s="8" t="s">
        <v>100</v>
      </c>
      <c r="S762" s="7" t="s">
        <v>28</v>
      </c>
      <c r="T762" s="6"/>
      <c r="U762" s="8"/>
    </row>
    <row r="763" spans="1:39" ht="13" customHeight="1">
      <c r="A763" s="8" t="s">
        <v>2390</v>
      </c>
      <c r="B763" s="16">
        <v>30</v>
      </c>
      <c r="C763" s="8" t="s">
        <v>20</v>
      </c>
      <c r="D763" s="8" t="s">
        <v>85</v>
      </c>
      <c r="E763" s="8" t="s">
        <v>2391</v>
      </c>
      <c r="F763" s="17">
        <v>42135</v>
      </c>
      <c r="G763" s="8" t="s">
        <v>2392</v>
      </c>
      <c r="H763" s="8" t="s">
        <v>929</v>
      </c>
      <c r="I763" s="8" t="s">
        <v>73</v>
      </c>
      <c r="J763" s="16" t="s">
        <v>2393</v>
      </c>
      <c r="K763" s="2" t="s">
        <v>74</v>
      </c>
      <c r="L763" s="8" t="s">
        <v>930</v>
      </c>
      <c r="M763" s="8" t="s">
        <v>27</v>
      </c>
      <c r="N763" s="2" t="s">
        <v>2394</v>
      </c>
      <c r="O763" s="8" t="s">
        <v>400</v>
      </c>
      <c r="P763" s="8" t="s">
        <v>401</v>
      </c>
      <c r="Q763" s="12" t="str">
        <f>HYPERLINK("http://www.wfaa.com/story/news/crime/2015/05/11/fort-worth-police-report-officer-involved-shooting/27141917/","http://www.wfaa.com/story/news/crime/2015/05/11/fort-worth-police-report-officer-involved-shooting/27141917/")</f>
        <v>http://www.wfaa.com/story/news/crime/2015/05/11/fort-worth-police-report-officer-involved-shooting/27141917/</v>
      </c>
      <c r="R763" s="8" t="s">
        <v>100</v>
      </c>
      <c r="S763" s="7" t="s">
        <v>379</v>
      </c>
      <c r="T763" s="6"/>
      <c r="U763" s="8"/>
    </row>
    <row r="764" spans="1:39" ht="13" customHeight="1">
      <c r="A764" s="8" t="s">
        <v>2403</v>
      </c>
      <c r="B764" s="16">
        <v>28</v>
      </c>
      <c r="C764" s="8" t="s">
        <v>20</v>
      </c>
      <c r="D764" s="8" t="s">
        <v>37</v>
      </c>
      <c r="E764" s="8" t="s">
        <v>2404</v>
      </c>
      <c r="F764" s="17">
        <v>42135</v>
      </c>
      <c r="G764" s="8" t="s">
        <v>2405</v>
      </c>
      <c r="H764" s="8" t="s">
        <v>2236</v>
      </c>
      <c r="I764" s="8" t="s">
        <v>62</v>
      </c>
      <c r="J764" s="16" t="s">
        <v>2406</v>
      </c>
      <c r="K764" s="2" t="s">
        <v>2407</v>
      </c>
      <c r="L764" s="8" t="s">
        <v>5524</v>
      </c>
      <c r="M764" s="8" t="s">
        <v>27</v>
      </c>
      <c r="N764" s="2" t="s">
        <v>2408</v>
      </c>
      <c r="O764" s="8" t="s">
        <v>400</v>
      </c>
      <c r="P764" s="8" t="s">
        <v>401</v>
      </c>
      <c r="Q764" s="12" t="str">
        <f>HYPERLINK("http://www.news4jax.com/news/st-johns-county-investiges-deputy-involved-shooting/32947972","http://www.news4jax.com/news/st-johns-county-investiges-deputy-involved-shooting/32947972")</f>
        <v>http://www.news4jax.com/news/st-johns-county-investiges-deputy-involved-shooting/32947972</v>
      </c>
      <c r="R764" s="8" t="s">
        <v>555</v>
      </c>
      <c r="S764" s="7" t="s">
        <v>28</v>
      </c>
      <c r="T764" s="6"/>
      <c r="U764" s="8"/>
    </row>
    <row r="765" spans="1:39" ht="13" customHeight="1">
      <c r="A765" s="8" t="s">
        <v>2395</v>
      </c>
      <c r="B765" s="16">
        <v>35</v>
      </c>
      <c r="C765" s="8" t="s">
        <v>20</v>
      </c>
      <c r="D765" s="8" t="s">
        <v>37</v>
      </c>
      <c r="E765" s="8" t="s">
        <v>2396</v>
      </c>
      <c r="F765" s="17">
        <v>42135</v>
      </c>
      <c r="G765" s="8" t="s">
        <v>2397</v>
      </c>
      <c r="H765" s="8" t="s">
        <v>2398</v>
      </c>
      <c r="I765" s="8" t="s">
        <v>123</v>
      </c>
      <c r="J765" s="16" t="s">
        <v>2399</v>
      </c>
      <c r="K765" s="2" t="s">
        <v>2400</v>
      </c>
      <c r="L765" s="8" t="s">
        <v>2401</v>
      </c>
      <c r="M765" s="8" t="s">
        <v>27</v>
      </c>
      <c r="N765" s="2" t="s">
        <v>2402</v>
      </c>
      <c r="O765" s="8" t="s">
        <v>400</v>
      </c>
      <c r="P765" s="8" t="s">
        <v>401</v>
      </c>
      <c r="Q765" s="12" t="str">
        <f>HYPERLINK("http://www.kpho.com/story/29033947/man-dead-after-officer-involved-shooting-in-kearny","http://www.kpho.com/story/29033947/man-dead-after-officer-involved-shooting-in-kearny")</f>
        <v>http://www.kpho.com/story/29033947/man-dead-after-officer-involved-shooting-in-kearny</v>
      </c>
      <c r="R765" s="8" t="s">
        <v>29</v>
      </c>
      <c r="S765" s="7" t="s">
        <v>28</v>
      </c>
      <c r="T765" s="6"/>
      <c r="U765" s="8"/>
    </row>
    <row r="766" spans="1:39" ht="13" customHeight="1">
      <c r="A766" s="8" t="s">
        <v>2417</v>
      </c>
      <c r="B766" s="16">
        <v>47</v>
      </c>
      <c r="C766" s="8" t="s">
        <v>20</v>
      </c>
      <c r="D766" s="8" t="s">
        <v>37</v>
      </c>
      <c r="F766" s="17">
        <v>42135</v>
      </c>
      <c r="G766" s="8" t="s">
        <v>2418</v>
      </c>
      <c r="H766" s="8" t="s">
        <v>885</v>
      </c>
      <c r="I766" s="8" t="s">
        <v>303</v>
      </c>
      <c r="J766" s="16" t="s">
        <v>2419</v>
      </c>
      <c r="K766" s="2" t="s">
        <v>886</v>
      </c>
      <c r="L766" s="8" t="s">
        <v>887</v>
      </c>
      <c r="M766" s="8" t="s">
        <v>27</v>
      </c>
      <c r="N766" s="2" t="s">
        <v>2420</v>
      </c>
      <c r="O766" s="8" t="s">
        <v>400</v>
      </c>
      <c r="P766" s="8" t="s">
        <v>401</v>
      </c>
      <c r="Q766" s="12" t="str">
        <f>HYPERLINK("http://www.kirotv.com/news/news/tacoma-police-shoot-and-kill-armed-man-outside-his/nmDNM/","http://www.kirotv.com/news/news/tacoma-police-shoot-and-kill-armed-man-outside-his/nmDNM/")</f>
        <v>http://www.kirotv.com/news/news/tacoma-police-shoot-and-kill-armed-man-outside-his/nmDNM/</v>
      </c>
      <c r="R766" s="8" t="s">
        <v>2421</v>
      </c>
      <c r="S766" s="7" t="s">
        <v>28</v>
      </c>
      <c r="T766" s="6"/>
      <c r="U766" s="8"/>
    </row>
    <row r="767" spans="1:39" ht="13" customHeight="1">
      <c r="A767" s="8" t="s">
        <v>2409</v>
      </c>
      <c r="B767" s="16">
        <v>55</v>
      </c>
      <c r="C767" s="8" t="s">
        <v>20</v>
      </c>
      <c r="D767" s="8" t="s">
        <v>37</v>
      </c>
      <c r="E767" s="8" t="s">
        <v>2410</v>
      </c>
      <c r="F767" s="17">
        <v>42135</v>
      </c>
      <c r="G767" s="8" t="s">
        <v>2411</v>
      </c>
      <c r="H767" s="8" t="s">
        <v>2412</v>
      </c>
      <c r="I767" s="8" t="s">
        <v>366</v>
      </c>
      <c r="J767" s="16" t="s">
        <v>2413</v>
      </c>
      <c r="K767" s="2" t="s">
        <v>2414</v>
      </c>
      <c r="L767" s="8" t="s">
        <v>2415</v>
      </c>
      <c r="M767" s="8" t="s">
        <v>391</v>
      </c>
      <c r="N767" s="2" t="s">
        <v>2416</v>
      </c>
      <c r="O767" s="8" t="s">
        <v>400</v>
      </c>
      <c r="P767" s="8" t="s">
        <v>401</v>
      </c>
      <c r="Q767" s="12" t="str">
        <f>HYPERLINK("http://www.wral.com/man-dies-while-in-police-custody-in-enfield/14637653/","http://www.wral.com/man-dies-while-in-police-custody-in-enfield/14637653/")</f>
        <v>http://www.wral.com/man-dies-while-in-police-custody-in-enfield/14637653/</v>
      </c>
      <c r="R767" s="8" t="s">
        <v>100</v>
      </c>
      <c r="S767" s="7" t="s">
        <v>18</v>
      </c>
      <c r="T767" s="6"/>
      <c r="U767" s="8"/>
    </row>
    <row r="768" spans="1:39" ht="13" customHeight="1">
      <c r="A768" s="8" t="s">
        <v>2422</v>
      </c>
      <c r="B768" s="16">
        <v>31</v>
      </c>
      <c r="C768" s="8" t="s">
        <v>20</v>
      </c>
      <c r="D768" s="8" t="s">
        <v>85</v>
      </c>
      <c r="E768" s="8" t="s">
        <v>2423</v>
      </c>
      <c r="F768" s="17">
        <v>42133</v>
      </c>
      <c r="G768" s="8" t="s">
        <v>2424</v>
      </c>
      <c r="H768" s="8" t="s">
        <v>2425</v>
      </c>
      <c r="I768" s="8" t="s">
        <v>133</v>
      </c>
      <c r="J768" s="16" t="s">
        <v>2426</v>
      </c>
      <c r="K768" s="2" t="s">
        <v>2427</v>
      </c>
      <c r="L768" s="8" t="s">
        <v>2428</v>
      </c>
      <c r="M768" s="8" t="s">
        <v>27</v>
      </c>
      <c r="N768" s="2" t="s">
        <v>2429</v>
      </c>
      <c r="O768" s="8" t="s">
        <v>2430</v>
      </c>
      <c r="P768" s="8" t="s">
        <v>401</v>
      </c>
      <c r="Q768" s="12" t="str">
        <f>HYPERLINK("http://www.kare11.com/story/news/2015/05/09/694-shut-down-man-dies-in-officer-involved-shooting/27034515/","http://www.kare11.com/story/news/2015/05/09/694-shut-down-man-dies-in-officer-involved-shooting/27034515/")</f>
        <v>http://www.kare11.com/story/news/2015/05/09/694-shut-down-man-dies-in-officer-involved-shooting/27034515/</v>
      </c>
      <c r="R768" s="8" t="s">
        <v>967</v>
      </c>
      <c r="S768" s="7" t="s">
        <v>379</v>
      </c>
      <c r="T768" s="6"/>
      <c r="U768" s="8"/>
    </row>
    <row r="769" spans="1:39" ht="13" customHeight="1">
      <c r="A769" s="8" t="s">
        <v>2431</v>
      </c>
      <c r="B769" s="16">
        <v>48</v>
      </c>
      <c r="C769" s="8" t="s">
        <v>20</v>
      </c>
      <c r="D769" s="8" t="s">
        <v>85</v>
      </c>
      <c r="E769" s="8" t="s">
        <v>2432</v>
      </c>
      <c r="F769" s="17">
        <v>42132</v>
      </c>
      <c r="G769" s="8" t="s">
        <v>2433</v>
      </c>
      <c r="H769" s="8" t="s">
        <v>2301</v>
      </c>
      <c r="I769" s="8" t="s">
        <v>25</v>
      </c>
      <c r="J769" s="16" t="s">
        <v>2434</v>
      </c>
      <c r="K769" s="2" t="s">
        <v>1781</v>
      </c>
      <c r="L769" s="8" t="s">
        <v>2435</v>
      </c>
      <c r="M769" s="8" t="s">
        <v>27</v>
      </c>
      <c r="N769" s="2" t="s">
        <v>2436</v>
      </c>
      <c r="O769" s="8" t="s">
        <v>1013</v>
      </c>
      <c r="P769" s="8" t="s">
        <v>401</v>
      </c>
      <c r="Q769" s="12" t="str">
        <f>HYPERLINK("http://www.nola.com/crime/index.ssf/2015/05/officer-involved_shooting_repo.html","http://www.nola.com/crime/index.ssf/2015/05/officer-involved_shooting_repo.html")</f>
        <v>http://www.nola.com/crime/index.ssf/2015/05/officer-involved_shooting_repo.html</v>
      </c>
      <c r="R769" s="8" t="s">
        <v>100</v>
      </c>
      <c r="S769" s="7" t="s">
        <v>28</v>
      </c>
      <c r="T769" s="6"/>
      <c r="U769" s="8"/>
    </row>
    <row r="770" spans="1:39" ht="13" customHeight="1">
      <c r="A770" s="8" t="s">
        <v>2437</v>
      </c>
      <c r="B770" s="16">
        <v>58</v>
      </c>
      <c r="C770" s="8" t="s">
        <v>20</v>
      </c>
      <c r="D770" s="8" t="s">
        <v>37</v>
      </c>
      <c r="E770" s="8" t="s">
        <v>2438</v>
      </c>
      <c r="F770" s="17">
        <v>42132</v>
      </c>
      <c r="G770" s="8" t="s">
        <v>2439</v>
      </c>
      <c r="H770" s="8" t="s">
        <v>2440</v>
      </c>
      <c r="I770" s="8" t="s">
        <v>423</v>
      </c>
      <c r="J770" s="16" t="s">
        <v>2441</v>
      </c>
      <c r="K770" s="2" t="s">
        <v>2442</v>
      </c>
      <c r="L770" s="8" t="s">
        <v>2443</v>
      </c>
      <c r="M770" s="8" t="s">
        <v>27</v>
      </c>
      <c r="N770" s="2" t="s">
        <v>2444</v>
      </c>
      <c r="O770" s="8" t="s">
        <v>2445</v>
      </c>
      <c r="P770" s="8" t="s">
        <v>401</v>
      </c>
      <c r="Q770" s="12" t="str">
        <f>HYPERLINK("http://www.localsyr.com/story/d/story/authorities-investigating-fatal-officer-involved-s/67882/io8DUgiTsEG_yMWZyCVbHw","http://www.localsyr.com/story/d/story/authorities-investigating-fatal-officer-involved-s/67882/io8DUgiTsEG_yMWZyCVbHw")</f>
        <v>http://www.localsyr.com/story/d/story/authorities-investigating-fatal-officer-involved-s/67882/io8DUgiTsEG_yMWZyCVbHw</v>
      </c>
      <c r="R770" s="8" t="s">
        <v>555</v>
      </c>
      <c r="S770" s="7" t="s">
        <v>28</v>
      </c>
      <c r="T770" s="6"/>
      <c r="U770" s="8"/>
    </row>
    <row r="771" spans="1:39" ht="13" customHeight="1">
      <c r="A771" s="8" t="s">
        <v>2452</v>
      </c>
      <c r="B771" s="16">
        <v>33</v>
      </c>
      <c r="C771" s="8" t="s">
        <v>20</v>
      </c>
      <c r="D771" s="8" t="s">
        <v>21</v>
      </c>
      <c r="E771" s="8" t="s">
        <v>2453</v>
      </c>
      <c r="F771" s="17">
        <v>42131</v>
      </c>
      <c r="G771" s="8" t="s">
        <v>2454</v>
      </c>
      <c r="H771" s="8" t="s">
        <v>1905</v>
      </c>
      <c r="I771" s="8" t="s">
        <v>62</v>
      </c>
      <c r="J771" s="16" t="s">
        <v>2455</v>
      </c>
      <c r="K771" s="2" t="s">
        <v>1905</v>
      </c>
      <c r="L771" s="8" t="s">
        <v>2456</v>
      </c>
      <c r="M771" s="8" t="s">
        <v>391</v>
      </c>
      <c r="N771" s="2" t="s">
        <v>2457</v>
      </c>
      <c r="O771" s="8" t="s">
        <v>400</v>
      </c>
      <c r="P771" s="8" t="s">
        <v>401</v>
      </c>
      <c r="Q771" s="12" t="str">
        <f>HYPERLINK("http://www.heraldtribune.com/article/20150507/ARTICLE/150509754/2416/NEWS","http://www.heraldtribune.com/article/20150507/ARTICLE/150509754/2416/NEWS")</f>
        <v>http://www.heraldtribune.com/article/20150507/ARTICLE/150509754/2416/NEWS</v>
      </c>
      <c r="R771" s="8" t="s">
        <v>967</v>
      </c>
      <c r="S771" s="7" t="s">
        <v>18</v>
      </c>
      <c r="T771" s="6"/>
      <c r="U771" s="8"/>
    </row>
    <row r="772" spans="1:39" ht="13" customHeight="1">
      <c r="A772" s="8" t="s">
        <v>2446</v>
      </c>
      <c r="B772" s="16">
        <v>21</v>
      </c>
      <c r="C772" s="8" t="s">
        <v>20</v>
      </c>
      <c r="D772" s="8" t="s">
        <v>85</v>
      </c>
      <c r="E772" s="8" t="s">
        <v>2447</v>
      </c>
      <c r="F772" s="17">
        <v>42131</v>
      </c>
      <c r="G772" s="8" t="s">
        <v>2448</v>
      </c>
      <c r="H772" s="8" t="s">
        <v>2449</v>
      </c>
      <c r="I772" s="8" t="s">
        <v>45</v>
      </c>
      <c r="J772" s="16" t="s">
        <v>2450</v>
      </c>
      <c r="K772" s="2" t="s">
        <v>98</v>
      </c>
      <c r="L772" s="8" t="s">
        <v>414</v>
      </c>
      <c r="M772" s="8" t="s">
        <v>27</v>
      </c>
      <c r="N772" s="2" t="s">
        <v>2451</v>
      </c>
      <c r="O772" s="8" t="s">
        <v>1013</v>
      </c>
      <c r="P772" s="8" t="s">
        <v>401</v>
      </c>
      <c r="Q772" s="12" t="str">
        <f>HYPERLINK("http://ktla.com/2015/05/07/apparent-deputy-involved-shooting-prompts-emergency-response-in-cerritos/","http://ktla.com/2015/05/07/apparent-deputy-involved-shooting-prompts-emergency-response-in-cerritos/")</f>
        <v>http://ktla.com/2015/05/07/apparent-deputy-involved-shooting-prompts-emergency-response-in-cerritos/</v>
      </c>
      <c r="R772" s="8" t="s">
        <v>100</v>
      </c>
      <c r="S772" s="7" t="s">
        <v>379</v>
      </c>
      <c r="T772" s="6"/>
      <c r="U772" s="8"/>
    </row>
    <row r="773" spans="1:39" ht="13" customHeight="1">
      <c r="A773" s="8" t="s">
        <v>2458</v>
      </c>
      <c r="B773" s="16">
        <v>72</v>
      </c>
      <c r="C773" s="8" t="s">
        <v>20</v>
      </c>
      <c r="D773" s="8" t="s">
        <v>37</v>
      </c>
      <c r="F773" s="17">
        <v>42131</v>
      </c>
      <c r="G773" s="8" t="s">
        <v>2459</v>
      </c>
      <c r="H773" s="8" t="s">
        <v>2460</v>
      </c>
      <c r="I773" s="8" t="s">
        <v>173</v>
      </c>
      <c r="J773" s="16" t="s">
        <v>2461</v>
      </c>
      <c r="K773" s="2" t="s">
        <v>1328</v>
      </c>
      <c r="L773" s="8" t="s">
        <v>2462</v>
      </c>
      <c r="M773" s="8" t="s">
        <v>27</v>
      </c>
      <c r="N773" s="2" t="s">
        <v>2463</v>
      </c>
      <c r="O773" s="8" t="s">
        <v>2089</v>
      </c>
      <c r="P773" s="8" t="s">
        <v>401</v>
      </c>
      <c r="Q773" s="12" t="str">
        <f>HYPERLINK("http://www.wsbtv.com/news/news/local/gwinnett-county-police-investigate-officer-involve/nmBY5/","http://www.wsbtv.com/news/news/local/gwinnett-county-police-investigate-officer-involve/nmBY5/")</f>
        <v>http://www.wsbtv.com/news/news/local/gwinnett-county-police-investigate-officer-involve/nmBY5/</v>
      </c>
      <c r="R773" s="8" t="s">
        <v>555</v>
      </c>
      <c r="S773" s="7" t="s">
        <v>28</v>
      </c>
      <c r="T773" s="6"/>
      <c r="U773" s="8"/>
    </row>
    <row r="774" spans="1:39" ht="13" customHeight="1">
      <c r="A774" s="8" t="s">
        <v>2464</v>
      </c>
      <c r="B774" s="16">
        <v>18</v>
      </c>
      <c r="C774" s="8" t="s">
        <v>20</v>
      </c>
      <c r="D774" s="8" t="s">
        <v>37</v>
      </c>
      <c r="E774" s="8" t="s">
        <v>2465</v>
      </c>
      <c r="F774" s="17">
        <v>42131</v>
      </c>
      <c r="G774" s="8" t="s">
        <v>2466</v>
      </c>
      <c r="H774" s="8" t="s">
        <v>692</v>
      </c>
      <c r="I774" s="8" t="s">
        <v>366</v>
      </c>
      <c r="J774" s="16">
        <v>27587</v>
      </c>
      <c r="K774" s="2" t="s">
        <v>693</v>
      </c>
      <c r="L774" s="8" t="s">
        <v>694</v>
      </c>
      <c r="M774" s="8" t="s">
        <v>27</v>
      </c>
      <c r="N774" s="2" t="s">
        <v>2467</v>
      </c>
      <c r="O774" s="8" t="s">
        <v>400</v>
      </c>
      <c r="P774" s="8" t="s">
        <v>401</v>
      </c>
      <c r="Q774" s="12" t="str">
        <f>HYPERLINK("http://www.wsoctv.com/news/news/local/police-investigate-officer-involved-shooting-wake-/nmBQL/","http://www.wsoctv.com/news/news/local/police-investigate-officer-involved-shooting-wake-/nmBQL/")</f>
        <v>http://www.wsoctv.com/news/news/local/police-investigate-officer-involved-shooting-wake-/nmBQL/</v>
      </c>
      <c r="S774" s="7" t="s">
        <v>28</v>
      </c>
      <c r="T774" s="6"/>
      <c r="U774" s="8"/>
    </row>
    <row r="775" spans="1:39" ht="13" customHeight="1">
      <c r="A775" s="8" t="s">
        <v>2468</v>
      </c>
      <c r="B775" s="16">
        <v>35</v>
      </c>
      <c r="C775" s="8" t="s">
        <v>20</v>
      </c>
      <c r="D775" s="8" t="s">
        <v>37</v>
      </c>
      <c r="E775" s="8" t="s">
        <v>2469</v>
      </c>
      <c r="F775" s="17">
        <v>42131</v>
      </c>
      <c r="G775" s="8" t="s">
        <v>2470</v>
      </c>
      <c r="H775" s="8" t="s">
        <v>2471</v>
      </c>
      <c r="I775" s="8" t="s">
        <v>423</v>
      </c>
      <c r="J775" s="16" t="s">
        <v>2472</v>
      </c>
      <c r="K775" s="2" t="s">
        <v>2473</v>
      </c>
      <c r="L775" s="8" t="s">
        <v>2474</v>
      </c>
      <c r="M775" s="8" t="s">
        <v>27</v>
      </c>
      <c r="N775" s="2" t="s">
        <v>2475</v>
      </c>
      <c r="O775" s="8" t="s">
        <v>400</v>
      </c>
      <c r="P775" s="8" t="s">
        <v>401</v>
      </c>
      <c r="Q775" s="12" t="str">
        <f>HYPERLINK("http://www.recordonline.com/article/20150507/NEWS/150509481","http://www.recordonline.com/article/20150507/NEWS/150509481")</f>
        <v>http://www.recordonline.com/article/20150507/NEWS/150509481</v>
      </c>
      <c r="R775" s="8" t="s">
        <v>100</v>
      </c>
      <c r="S775" s="7" t="s">
        <v>28</v>
      </c>
      <c r="T775" s="6"/>
      <c r="U775" s="8"/>
    </row>
    <row r="776" spans="1:39" ht="13" customHeight="1">
      <c r="A776" s="8" t="s">
        <v>2476</v>
      </c>
      <c r="B776" s="16">
        <v>29</v>
      </c>
      <c r="C776" s="8" t="s">
        <v>20</v>
      </c>
      <c r="D776" s="8" t="s">
        <v>85</v>
      </c>
      <c r="E776" s="8" t="s">
        <v>2477</v>
      </c>
      <c r="F776" s="17">
        <v>42130</v>
      </c>
      <c r="G776" s="8" t="s">
        <v>2478</v>
      </c>
      <c r="H776" s="8" t="s">
        <v>98</v>
      </c>
      <c r="I776" s="8" t="s">
        <v>45</v>
      </c>
      <c r="J776" s="16" t="s">
        <v>2479</v>
      </c>
      <c r="K776" s="2" t="s">
        <v>98</v>
      </c>
      <c r="L776" s="8" t="s">
        <v>99</v>
      </c>
      <c r="M776" s="8" t="s">
        <v>27</v>
      </c>
      <c r="N776" s="2" t="s">
        <v>2480</v>
      </c>
      <c r="O776" s="8" t="s">
        <v>400</v>
      </c>
      <c r="P776" s="8" t="s">
        <v>401</v>
      </c>
      <c r="Q776" s="12" t="str">
        <f>HYPERLINK("http://abc7.com/news/man-shot-to-death-by-lapd-in-venice-after-disturbing-the-peace-call/699856/","http://abc7.com/news/man-shot-to-death-by-lapd-in-venice-after-disturbing-the-peace-call/699856/")</f>
        <v>http://abc7.com/news/man-shot-to-death-by-lapd-in-venice-after-disturbing-the-peace-call/699856/</v>
      </c>
      <c r="R776" s="8" t="s">
        <v>100</v>
      </c>
      <c r="S776" s="7" t="s">
        <v>18</v>
      </c>
      <c r="T776" s="6"/>
      <c r="U776" s="8"/>
    </row>
    <row r="777" spans="1:39" ht="13" customHeight="1">
      <c r="A777" s="8" t="s">
        <v>2481</v>
      </c>
      <c r="B777" s="16">
        <v>34</v>
      </c>
      <c r="C777" s="8" t="s">
        <v>114</v>
      </c>
      <c r="D777" s="8" t="s">
        <v>85</v>
      </c>
      <c r="E777" s="8" t="s">
        <v>2482</v>
      </c>
      <c r="F777" s="17">
        <v>42130</v>
      </c>
      <c r="G777" s="8" t="s">
        <v>2483</v>
      </c>
      <c r="H777" s="8" t="s">
        <v>2484</v>
      </c>
      <c r="I777" s="8" t="s">
        <v>81</v>
      </c>
      <c r="J777" s="16" t="s">
        <v>2485</v>
      </c>
      <c r="K777" s="2" t="s">
        <v>2486</v>
      </c>
      <c r="L777" s="8" t="s">
        <v>2487</v>
      </c>
      <c r="M777" s="8" t="s">
        <v>379</v>
      </c>
      <c r="N777" s="2" t="s">
        <v>2488</v>
      </c>
      <c r="O777" s="8" t="s">
        <v>400</v>
      </c>
      <c r="P777" s="8" t="s">
        <v>401</v>
      </c>
      <c r="Q777" s="12" t="str">
        <f>HYPERLINK("http://newyork.cbslocal.com/2015/05/06/nj-turnpike-pedestrians-killed-police-car/","http://newyork.cbslocal.com/2015/05/06/nj-turnpike-pedestrians-killed-police-car/")</f>
        <v>http://newyork.cbslocal.com/2015/05/06/nj-turnpike-pedestrians-killed-police-car/</v>
      </c>
      <c r="S777" s="7" t="s">
        <v>18</v>
      </c>
      <c r="T777" s="6"/>
      <c r="U777" s="8"/>
    </row>
    <row r="778" spans="1:39" ht="13" customHeight="1">
      <c r="A778" s="8" t="s">
        <v>2489</v>
      </c>
      <c r="B778" s="16">
        <v>41</v>
      </c>
      <c r="C778" s="8" t="s">
        <v>20</v>
      </c>
      <c r="D778" s="8" t="s">
        <v>85</v>
      </c>
      <c r="E778" s="8" t="s">
        <v>2482</v>
      </c>
      <c r="F778" s="17">
        <v>42130</v>
      </c>
      <c r="G778" s="8" t="s">
        <v>2483</v>
      </c>
      <c r="H778" s="8" t="s">
        <v>2484</v>
      </c>
      <c r="I778" s="8" t="s">
        <v>81</v>
      </c>
      <c r="J778" s="16" t="s">
        <v>2485</v>
      </c>
      <c r="K778" s="2" t="s">
        <v>2486</v>
      </c>
      <c r="L778" s="8" t="s">
        <v>2487</v>
      </c>
      <c r="M778" s="8" t="s">
        <v>379</v>
      </c>
      <c r="N778" s="2" t="s">
        <v>2488</v>
      </c>
      <c r="O778" s="8" t="s">
        <v>400</v>
      </c>
      <c r="P778" s="8" t="s">
        <v>401</v>
      </c>
      <c r="Q778" s="12" t="str">
        <f>HYPERLINK("http://newyork.cbslocal.com/2015/05/06/nj-turnpike-pedestrians-killed-police-car/","http://newyork.cbslocal.com/2015/05/06/nj-turnpike-pedestrians-killed-police-car/")</f>
        <v>http://newyork.cbslocal.com/2015/05/06/nj-turnpike-pedestrians-killed-police-car/</v>
      </c>
      <c r="S778" s="7" t="s">
        <v>18</v>
      </c>
      <c r="T778" s="6"/>
      <c r="U778" s="8"/>
    </row>
    <row r="779" spans="1:39" ht="13" customHeight="1">
      <c r="A779" s="8" t="s">
        <v>2490</v>
      </c>
      <c r="B779" s="16">
        <v>32</v>
      </c>
      <c r="C779" s="8" t="s">
        <v>20</v>
      </c>
      <c r="D779" s="8" t="s">
        <v>21</v>
      </c>
      <c r="E779" s="8" t="s">
        <v>2491</v>
      </c>
      <c r="F779" s="17">
        <v>42129</v>
      </c>
      <c r="G779" s="8" t="s">
        <v>2492</v>
      </c>
      <c r="H779" s="8" t="s">
        <v>2493</v>
      </c>
      <c r="I779" s="8" t="s">
        <v>45</v>
      </c>
      <c r="J779" s="16">
        <v>91733</v>
      </c>
      <c r="K779" s="2" t="s">
        <v>98</v>
      </c>
      <c r="L779" s="8" t="s">
        <v>414</v>
      </c>
      <c r="M779" s="8" t="s">
        <v>27</v>
      </c>
      <c r="N779" s="2" t="s">
        <v>2494</v>
      </c>
      <c r="O779" s="8" t="s">
        <v>1013</v>
      </c>
      <c r="P779" s="8" t="s">
        <v>401</v>
      </c>
      <c r="Q779" s="12"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S779" s="7" t="s">
        <v>28</v>
      </c>
      <c r="T779" s="6"/>
      <c r="U779" s="8"/>
      <c r="AI779" s="8"/>
      <c r="AJ779" s="8"/>
      <c r="AK779" s="8"/>
      <c r="AL779" s="8"/>
      <c r="AM779" s="8"/>
    </row>
    <row r="780" spans="1:39" ht="13" customHeight="1">
      <c r="A780" s="8" t="s">
        <v>2495</v>
      </c>
      <c r="B780" s="16">
        <v>55</v>
      </c>
      <c r="C780" s="8" t="s">
        <v>20</v>
      </c>
      <c r="D780" s="8" t="s">
        <v>139</v>
      </c>
      <c r="F780" s="17">
        <v>42129</v>
      </c>
      <c r="G780" s="8" t="s">
        <v>2496</v>
      </c>
      <c r="H780" s="8" t="s">
        <v>2497</v>
      </c>
      <c r="I780" s="8" t="s">
        <v>395</v>
      </c>
      <c r="J780" s="16" t="s">
        <v>2498</v>
      </c>
      <c r="K780" s="2" t="s">
        <v>2497</v>
      </c>
      <c r="L780" s="8" t="s">
        <v>2499</v>
      </c>
      <c r="M780" s="8" t="s">
        <v>379</v>
      </c>
      <c r="N780" s="2" t="s">
        <v>2500</v>
      </c>
      <c r="O780" s="8" t="s">
        <v>1790</v>
      </c>
      <c r="P780" s="8" t="s">
        <v>401</v>
      </c>
      <c r="Q780" s="12" t="s">
        <v>2501</v>
      </c>
      <c r="R780" s="8" t="s">
        <v>100</v>
      </c>
      <c r="S780" s="7" t="s">
        <v>18</v>
      </c>
      <c r="T780" s="6"/>
      <c r="U780" s="8"/>
    </row>
    <row r="781" spans="1:39" ht="13" customHeight="1">
      <c r="A781" s="8" t="s">
        <v>2502</v>
      </c>
      <c r="B781" s="16">
        <v>46</v>
      </c>
      <c r="C781" s="8" t="s">
        <v>20</v>
      </c>
      <c r="D781" s="8" t="s">
        <v>37</v>
      </c>
      <c r="E781" s="8" t="s">
        <v>2503</v>
      </c>
      <c r="F781" s="17">
        <v>42129</v>
      </c>
      <c r="G781" s="8" t="s">
        <v>2504</v>
      </c>
      <c r="H781" s="8" t="s">
        <v>2505</v>
      </c>
      <c r="I781" s="8" t="s">
        <v>244</v>
      </c>
      <c r="J781" s="16">
        <v>24301</v>
      </c>
      <c r="K781" s="2" t="s">
        <v>2505</v>
      </c>
      <c r="L781" s="8" t="s">
        <v>2506</v>
      </c>
      <c r="M781" s="8" t="s">
        <v>27</v>
      </c>
      <c r="N781" s="2" t="s">
        <v>2507</v>
      </c>
      <c r="O781" s="8" t="s">
        <v>400</v>
      </c>
      <c r="P781" s="8" t="s">
        <v>401</v>
      </c>
      <c r="Q781" s="12" t="str">
        <f>HYPERLINK("http://www.wsls.com/story/28977735/vsp-investigating-officer-involved-shooting-in-pulaski","http://www.wsls.com/story/28977735/vsp-investigating-officer-involved-shooting-in-pulaski")</f>
        <v>http://www.wsls.com/story/28977735/vsp-investigating-officer-involved-shooting-in-pulaski</v>
      </c>
      <c r="R781" s="8" t="s">
        <v>555</v>
      </c>
      <c r="S781" s="7" t="s">
        <v>28</v>
      </c>
      <c r="T781" s="6"/>
      <c r="U781" s="8"/>
    </row>
    <row r="782" spans="1:39" ht="13" customHeight="1">
      <c r="A782" s="8" t="s">
        <v>20637</v>
      </c>
      <c r="B782" s="16">
        <v>27</v>
      </c>
      <c r="C782" s="8" t="s">
        <v>20</v>
      </c>
      <c r="D782" s="8" t="s">
        <v>85</v>
      </c>
      <c r="E782" s="8" t="s">
        <v>20638</v>
      </c>
      <c r="F782" s="17">
        <v>42128</v>
      </c>
      <c r="G782" s="8" t="s">
        <v>20639</v>
      </c>
      <c r="H782" s="8" t="s">
        <v>433</v>
      </c>
      <c r="I782" s="8" t="s">
        <v>671</v>
      </c>
      <c r="J782" s="3" t="s">
        <v>20640</v>
      </c>
      <c r="K782" s="3" t="s">
        <v>10124</v>
      </c>
      <c r="L782" s="3" t="s">
        <v>6261</v>
      </c>
      <c r="M782" s="3" t="s">
        <v>379</v>
      </c>
      <c r="N782" s="3" t="s">
        <v>20641</v>
      </c>
      <c r="O782" s="3" t="s">
        <v>29</v>
      </c>
      <c r="P782" s="8" t="s">
        <v>401</v>
      </c>
      <c r="Q782" s="20" t="s">
        <v>20642</v>
      </c>
      <c r="R782" s="3" t="s">
        <v>100</v>
      </c>
      <c r="S782" s="3" t="s">
        <v>379</v>
      </c>
      <c r="T782" s="3"/>
      <c r="U782" s="3"/>
      <c r="V782" s="23"/>
      <c r="W782" s="23"/>
      <c r="X782" s="23"/>
      <c r="Y782" s="23"/>
      <c r="Z782" s="23"/>
      <c r="AA782" s="23"/>
      <c r="AB782" s="23"/>
      <c r="AC782" s="23"/>
      <c r="AD782" s="23"/>
      <c r="AE782" s="23"/>
      <c r="AF782" s="23"/>
      <c r="AG782" s="23"/>
      <c r="AH782" s="23"/>
      <c r="AI782" s="23"/>
      <c r="AJ782" s="23"/>
      <c r="AK782" s="23"/>
      <c r="AL782" s="23"/>
      <c r="AM782" s="23"/>
    </row>
    <row r="783" spans="1:39" ht="13" customHeight="1">
      <c r="A783" s="8" t="s">
        <v>2514</v>
      </c>
      <c r="B783" s="16">
        <v>36</v>
      </c>
      <c r="C783" s="8" t="s">
        <v>20</v>
      </c>
      <c r="D783" s="8" t="s">
        <v>37</v>
      </c>
      <c r="E783" s="8" t="s">
        <v>2515</v>
      </c>
      <c r="F783" s="17">
        <v>42128</v>
      </c>
      <c r="G783" s="8" t="s">
        <v>2516</v>
      </c>
      <c r="H783" s="8" t="s">
        <v>2517</v>
      </c>
      <c r="I783" s="8" t="s">
        <v>303</v>
      </c>
      <c r="J783" s="16">
        <v>99336</v>
      </c>
      <c r="K783" s="2" t="s">
        <v>2518</v>
      </c>
      <c r="L783" s="8" t="s">
        <v>2519</v>
      </c>
      <c r="M783" s="8" t="s">
        <v>27</v>
      </c>
      <c r="N783" s="2" t="s">
        <v>2520</v>
      </c>
      <c r="O783" s="8" t="s">
        <v>400</v>
      </c>
      <c r="P783" s="8" t="s">
        <v>401</v>
      </c>
      <c r="Q783" s="12" t="str">
        <f>HYPERLINK("http://www.keprtv.com/SWAT-on-scene-of-standoff-in-Kennewick-302418671.html","http://www.keprtv.com/SWAT-on-scene-of-standoff-in-Kennewick-302418671.html")</f>
        <v>http://www.keprtv.com/SWAT-on-scene-of-standoff-in-Kennewick-302418671.html</v>
      </c>
      <c r="S783" s="7" t="s">
        <v>28</v>
      </c>
      <c r="T783" s="6"/>
      <c r="U783" s="8"/>
    </row>
    <row r="784" spans="1:39" ht="13" customHeight="1">
      <c r="A784" s="8" t="s">
        <v>2508</v>
      </c>
      <c r="B784" s="16">
        <v>53</v>
      </c>
      <c r="C784" s="8" t="s">
        <v>20</v>
      </c>
      <c r="D784" s="8" t="s">
        <v>37</v>
      </c>
      <c r="E784" s="8" t="s">
        <v>2509</v>
      </c>
      <c r="F784" s="17">
        <v>42128</v>
      </c>
      <c r="G784" s="8" t="s">
        <v>2510</v>
      </c>
      <c r="H784" s="8" t="s">
        <v>2511</v>
      </c>
      <c r="I784" s="8" t="s">
        <v>315</v>
      </c>
      <c r="J784" s="16">
        <v>41727</v>
      </c>
      <c r="K784" s="2" t="s">
        <v>2512</v>
      </c>
      <c r="L784" s="8" t="s">
        <v>3385</v>
      </c>
      <c r="M784" s="8" t="s">
        <v>27</v>
      </c>
      <c r="N784" s="2" t="s">
        <v>2513</v>
      </c>
      <c r="O784" s="8" t="s">
        <v>1013</v>
      </c>
      <c r="P784" s="8" t="s">
        <v>401</v>
      </c>
      <c r="Q784" s="12" t="str">
        <f>HYPERLINK("http://www.wkyt.com/wymt/home/headlines/Police-investigating-officer-involved-shooting-in-Perry-County-302391481.html","http://www.wkyt.com/wymt/home/headlines/Police-investigating-officer-involved-shooting-in-Perry-County-302391481.html")</f>
        <v>http://www.wkyt.com/wymt/home/headlines/Police-investigating-officer-involved-shooting-in-Perry-County-302391481.html</v>
      </c>
      <c r="R784" s="8" t="s">
        <v>29</v>
      </c>
      <c r="S784" s="7" t="s">
        <v>28</v>
      </c>
      <c r="T784" s="6"/>
      <c r="U784" s="8"/>
    </row>
    <row r="785" spans="1:39" ht="13" customHeight="1">
      <c r="A785" s="8" t="s">
        <v>2521</v>
      </c>
      <c r="B785" s="16">
        <v>34</v>
      </c>
      <c r="C785" s="8" t="s">
        <v>20</v>
      </c>
      <c r="D785" s="8" t="s">
        <v>21</v>
      </c>
      <c r="E785" s="8" t="s">
        <v>2522</v>
      </c>
      <c r="F785" s="17">
        <v>42127</v>
      </c>
      <c r="G785" s="8" t="s">
        <v>2523</v>
      </c>
      <c r="H785" s="8" t="s">
        <v>2524</v>
      </c>
      <c r="I785" s="8" t="s">
        <v>73</v>
      </c>
      <c r="J785" s="16">
        <v>75040</v>
      </c>
      <c r="K785" s="2" t="s">
        <v>285</v>
      </c>
      <c r="L785" s="8" t="s">
        <v>2525</v>
      </c>
      <c r="M785" s="8" t="s">
        <v>27</v>
      </c>
      <c r="N785" s="2" t="s">
        <v>2526</v>
      </c>
      <c r="O785" s="8" t="s">
        <v>1013</v>
      </c>
      <c r="P785" s="8" t="s">
        <v>401</v>
      </c>
      <c r="Q785" s="12" t="str">
        <f>HYPERLINK("http://facebook.com/KilledByPolice/posts/1034785363216267","facebook.com/KilledByPolice/posts/1034785363216267")</f>
        <v>facebook.com/KilledByPolice/posts/1034785363216267</v>
      </c>
      <c r="R785" s="8" t="s">
        <v>100</v>
      </c>
      <c r="S785" s="7" t="s">
        <v>28</v>
      </c>
      <c r="T785" s="6"/>
      <c r="U785" s="8"/>
      <c r="AI785" s="8"/>
      <c r="AJ785" s="8"/>
      <c r="AK785" s="8"/>
      <c r="AL785" s="8"/>
      <c r="AM785" s="8"/>
    </row>
    <row r="786" spans="1:39" ht="13" customHeight="1">
      <c r="A786" s="8" t="s">
        <v>20828</v>
      </c>
      <c r="B786" s="16">
        <v>44</v>
      </c>
      <c r="C786" s="8" t="s">
        <v>20</v>
      </c>
      <c r="D786" s="8" t="s">
        <v>85</v>
      </c>
      <c r="F786" s="17">
        <v>42127</v>
      </c>
      <c r="G786" s="8" t="s">
        <v>20829</v>
      </c>
      <c r="H786" s="8" t="s">
        <v>33</v>
      </c>
      <c r="I786" s="8" t="s">
        <v>671</v>
      </c>
      <c r="J786" s="16">
        <v>38703</v>
      </c>
      <c r="K786" s="2" t="s">
        <v>118</v>
      </c>
      <c r="L786" s="2" t="s">
        <v>830</v>
      </c>
      <c r="M786" s="2" t="s">
        <v>27</v>
      </c>
      <c r="N786" s="2" t="s">
        <v>20830</v>
      </c>
      <c r="O786" s="2" t="s">
        <v>1161</v>
      </c>
      <c r="P786" s="2" t="s">
        <v>1162</v>
      </c>
      <c r="Q786" s="12" t="s">
        <v>20831</v>
      </c>
      <c r="R786" s="2" t="s">
        <v>100</v>
      </c>
      <c r="S786" s="7" t="s">
        <v>18</v>
      </c>
      <c r="T786" s="6"/>
      <c r="U786" s="8"/>
    </row>
    <row r="787" spans="1:39" ht="13" customHeight="1">
      <c r="A787" s="8" t="s">
        <v>2527</v>
      </c>
      <c r="B787" s="16">
        <v>30</v>
      </c>
      <c r="C787" s="8" t="s">
        <v>20</v>
      </c>
      <c r="D787" s="8" t="s">
        <v>85</v>
      </c>
      <c r="E787" s="8" t="s">
        <v>2528</v>
      </c>
      <c r="F787" s="17">
        <v>42127</v>
      </c>
      <c r="G787" s="8" t="s">
        <v>2523</v>
      </c>
      <c r="H787" s="8" t="s">
        <v>2524</v>
      </c>
      <c r="I787" s="8" t="s">
        <v>73</v>
      </c>
      <c r="J787" s="16">
        <v>75040</v>
      </c>
      <c r="K787" s="2" t="s">
        <v>285</v>
      </c>
      <c r="L787" s="8" t="s">
        <v>2525</v>
      </c>
      <c r="M787" s="8" t="s">
        <v>27</v>
      </c>
      <c r="N787" s="2" t="s">
        <v>2526</v>
      </c>
      <c r="O787" s="8" t="s">
        <v>1013</v>
      </c>
      <c r="P787" s="8" t="s">
        <v>401</v>
      </c>
      <c r="Q787" s="12" t="str">
        <f>HYPERLINK("http://www.wfaa.com/story/news/local/2015/05/03/garland-curtis-culwell-center-swat/26848435/","http://www.wfaa.com/story/news/local/2015/05/03/garland-curtis-culwell-center-swat/26848435/")</f>
        <v>http://www.wfaa.com/story/news/local/2015/05/03/garland-curtis-culwell-center-swat/26848435/</v>
      </c>
      <c r="R787" s="8" t="s">
        <v>100</v>
      </c>
      <c r="S787" s="7" t="s">
        <v>28</v>
      </c>
      <c r="T787" s="6"/>
      <c r="U787" s="8"/>
    </row>
    <row r="788" spans="1:39" ht="13" customHeight="1">
      <c r="A788" s="8" t="s">
        <v>2533</v>
      </c>
      <c r="B788" s="16">
        <v>36</v>
      </c>
      <c r="C788" s="8" t="s">
        <v>20</v>
      </c>
      <c r="D788" s="8" t="s">
        <v>37</v>
      </c>
      <c r="E788" s="8" t="s">
        <v>2534</v>
      </c>
      <c r="F788" s="17">
        <v>42127</v>
      </c>
      <c r="G788" s="8" t="s">
        <v>2535</v>
      </c>
      <c r="H788" s="8" t="s">
        <v>2536</v>
      </c>
      <c r="I788" s="8" t="s">
        <v>240</v>
      </c>
      <c r="J788" s="16">
        <v>84066</v>
      </c>
      <c r="K788" s="2" t="s">
        <v>2537</v>
      </c>
      <c r="L788" s="8" t="s">
        <v>2538</v>
      </c>
      <c r="M788" s="8" t="s">
        <v>27</v>
      </c>
      <c r="N788" s="2" t="s">
        <v>2539</v>
      </c>
      <c r="O788" s="8" t="s">
        <v>1013</v>
      </c>
      <c r="P788" s="8" t="s">
        <v>401</v>
      </c>
      <c r="Q788" s="12" t="str">
        <f>HYPERLINK("http://www.deseretnews.com/article/865627866/Roosevelt-police-shoot-kill-man-wielding-handgun-near-hospital.html?pg=all","http://www.deseretnews.com/article/865627866/Roosevelt-police-shoot-kill-man-wielding-handgun-near-hospital.html?pg=all")</f>
        <v>http://www.deseretnews.com/article/865627866/Roosevelt-police-shoot-kill-man-wielding-handgun-near-hospital.html?pg=all</v>
      </c>
      <c r="R788" s="8" t="s">
        <v>100</v>
      </c>
      <c r="S788" s="7" t="s">
        <v>28</v>
      </c>
      <c r="T788" s="6"/>
      <c r="U788" s="8"/>
    </row>
    <row r="789" spans="1:39" ht="13" customHeight="1">
      <c r="A789" s="8" t="s">
        <v>2529</v>
      </c>
      <c r="B789" s="16">
        <v>44</v>
      </c>
      <c r="C789" s="8" t="s">
        <v>20</v>
      </c>
      <c r="D789" s="8" t="s">
        <v>37</v>
      </c>
      <c r="E789" s="8" t="s">
        <v>2530</v>
      </c>
      <c r="F789" s="17">
        <v>42127</v>
      </c>
      <c r="G789" s="8" t="s">
        <v>2531</v>
      </c>
      <c r="H789" s="8" t="s">
        <v>925</v>
      </c>
      <c r="I789" s="8" t="s">
        <v>195</v>
      </c>
      <c r="J789" s="16">
        <v>87105</v>
      </c>
      <c r="K789" s="2" t="s">
        <v>467</v>
      </c>
      <c r="L789" s="8" t="s">
        <v>8198</v>
      </c>
      <c r="M789" s="8" t="s">
        <v>27</v>
      </c>
      <c r="N789" s="2" t="s">
        <v>2532</v>
      </c>
      <c r="O789" s="8" t="s">
        <v>1013</v>
      </c>
      <c r="P789" s="8" t="s">
        <v>401</v>
      </c>
      <c r="Q789" s="12" t="str">
        <f>HYPERLINK("http://krqe.com/2015/05/03/suspect-from-deputy-involved-shooting-dies/","http://krqe.com/2015/05/03/suspect-from-deputy-involved-shooting-dies/")</f>
        <v>http://krqe.com/2015/05/03/suspect-from-deputy-involved-shooting-dies/</v>
      </c>
      <c r="R789" s="8" t="s">
        <v>100</v>
      </c>
      <c r="S789" s="7" t="s">
        <v>35</v>
      </c>
      <c r="T789" s="6"/>
      <c r="U789" s="8"/>
    </row>
    <row r="790" spans="1:39" ht="13" customHeight="1">
      <c r="A790" s="8" t="s">
        <v>2540</v>
      </c>
      <c r="B790" s="16">
        <v>52</v>
      </c>
      <c r="C790" s="8" t="s">
        <v>20</v>
      </c>
      <c r="D790" s="8" t="s">
        <v>37</v>
      </c>
      <c r="F790" s="17">
        <v>42126</v>
      </c>
      <c r="G790" s="8" t="s">
        <v>2541</v>
      </c>
      <c r="H790" s="8" t="s">
        <v>2542</v>
      </c>
      <c r="I790" s="8" t="s">
        <v>225</v>
      </c>
      <c r="J790" s="16" t="s">
        <v>2543</v>
      </c>
      <c r="K790" s="2" t="s">
        <v>2544</v>
      </c>
      <c r="L790" s="8" t="s">
        <v>2545</v>
      </c>
      <c r="M790" s="8" t="s">
        <v>27</v>
      </c>
      <c r="N790" s="2" t="s">
        <v>2546</v>
      </c>
      <c r="O790" s="8" t="s">
        <v>400</v>
      </c>
      <c r="P790" s="8" t="s">
        <v>401</v>
      </c>
      <c r="Q790" s="12" t="str">
        <f>HYPERLINK("http://www.wboc.com/story/28959278/police-investigating-officer-involved-shooting","http://www.wboc.com/story/28959278/police-investigating-officer-involved-shooting")</f>
        <v>http://www.wboc.com/story/28959278/police-investigating-officer-involved-shooting</v>
      </c>
      <c r="R790" s="8" t="s">
        <v>29</v>
      </c>
      <c r="S790" s="7" t="s">
        <v>28</v>
      </c>
      <c r="T790" s="6"/>
      <c r="U790" s="8"/>
    </row>
    <row r="791" spans="1:39" ht="13" customHeight="1">
      <c r="A791" s="8" t="s">
        <v>2547</v>
      </c>
      <c r="B791" s="16">
        <v>25</v>
      </c>
      <c r="C791" s="8" t="s">
        <v>114</v>
      </c>
      <c r="D791" s="8" t="s">
        <v>85</v>
      </c>
      <c r="E791" s="8" t="str">
        <f>HYPERLINK("http://mugshots.com/search.html?q=alexia%20christian&amp;c=119250","http://mugshots.com/search.html?q=alexia%20christian&amp;c=119250")</f>
        <v>http://mugshots.com/search.html?q=alexia%20christian&amp;c=119250</v>
      </c>
      <c r="F791" s="17">
        <v>42124</v>
      </c>
      <c r="G791" s="8" t="s">
        <v>2548</v>
      </c>
      <c r="H791" s="8" t="s">
        <v>1919</v>
      </c>
      <c r="I791" s="8" t="s">
        <v>173</v>
      </c>
      <c r="J791" s="16" t="s">
        <v>2549</v>
      </c>
      <c r="K791" s="2" t="s">
        <v>1560</v>
      </c>
      <c r="L791" s="8" t="s">
        <v>2550</v>
      </c>
      <c r="M791" s="8" t="s">
        <v>27</v>
      </c>
      <c r="N791" s="2" t="s">
        <v>2551</v>
      </c>
      <c r="O791" s="8" t="s">
        <v>400</v>
      </c>
      <c r="P791" s="8" t="s">
        <v>401</v>
      </c>
      <c r="Q791" s="12" t="str">
        <f>HYPERLINK("http://www.ajc.com/news/news/shots-fired-in-downtown-atlanta/nk6jp/","http://www.ajc.com/news/news/shots-fired-in-downtown-atlanta/nk6jp/")</f>
        <v>http://www.ajc.com/news/news/shots-fired-in-downtown-atlanta/nk6jp/</v>
      </c>
      <c r="S791" s="7" t="s">
        <v>28</v>
      </c>
      <c r="T791" s="6"/>
      <c r="U791" s="8"/>
      <c r="Y791" s="8"/>
      <c r="Z791" s="8"/>
      <c r="AA791" s="8"/>
      <c r="AB791" s="8"/>
      <c r="AC791" s="8"/>
      <c r="AD791" s="8"/>
      <c r="AE791" s="8"/>
      <c r="AF791" s="8"/>
      <c r="AG791" s="8"/>
      <c r="AH791" s="8"/>
    </row>
    <row r="792" spans="1:39" ht="13" customHeight="1">
      <c r="A792" s="8" t="s">
        <v>2552</v>
      </c>
      <c r="B792" s="16">
        <v>53</v>
      </c>
      <c r="C792" s="8" t="s">
        <v>20</v>
      </c>
      <c r="D792" s="8" t="s">
        <v>37</v>
      </c>
      <c r="E792" s="8" t="str">
        <f>HYPERLINK("http://www.wsmv.com/story/28940658/police-investigating-shooting-in-south-nashville","http://www.wsmv.com/story/28940658/police-investigating-shooting-in-south-nashville")</f>
        <v>http://www.wsmv.com/story/28940658/police-investigating-shooting-in-south-nashville</v>
      </c>
      <c r="F792" s="17">
        <v>42124</v>
      </c>
      <c r="G792" s="8" t="s">
        <v>2553</v>
      </c>
      <c r="H792" s="8" t="s">
        <v>2031</v>
      </c>
      <c r="I792" s="8" t="s">
        <v>319</v>
      </c>
      <c r="J792" s="16">
        <v>37220</v>
      </c>
      <c r="K792" s="2" t="s">
        <v>882</v>
      </c>
      <c r="L792" s="8" t="s">
        <v>883</v>
      </c>
      <c r="M792" s="8" t="s">
        <v>27</v>
      </c>
      <c r="N792" s="2" t="s">
        <v>2554</v>
      </c>
      <c r="O792" s="8" t="s">
        <v>1013</v>
      </c>
      <c r="P792" s="8" t="s">
        <v>401</v>
      </c>
      <c r="Q792" s="12" t="str">
        <f>HYPERLINK("http://www.wsmv.com/story/28940658/police-investigating-shooting-in-south-nashville","http://www.wsmv.com/story/28940658/police-investigating-shooting-in-south-nashville")</f>
        <v>http://www.wsmv.com/story/28940658/police-investigating-shooting-in-south-nashville</v>
      </c>
      <c r="R792" s="8" t="s">
        <v>555</v>
      </c>
      <c r="S792" s="7" t="s">
        <v>28</v>
      </c>
      <c r="T792" s="6"/>
      <c r="U792" s="8"/>
    </row>
    <row r="793" spans="1:39" ht="13" customHeight="1">
      <c r="A793" s="8" t="s">
        <v>2555</v>
      </c>
      <c r="B793" s="16">
        <v>42</v>
      </c>
      <c r="C793" s="8" t="s">
        <v>20</v>
      </c>
      <c r="D793" s="8" t="s">
        <v>21</v>
      </c>
      <c r="E793" s="8" t="s">
        <v>2556</v>
      </c>
      <c r="F793" s="17">
        <v>42123</v>
      </c>
      <c r="G793" s="8" t="s">
        <v>2557</v>
      </c>
      <c r="H793" s="8" t="s">
        <v>156</v>
      </c>
      <c r="I793" s="8" t="s">
        <v>45</v>
      </c>
      <c r="J793" s="16">
        <v>92110</v>
      </c>
      <c r="K793" s="2" t="s">
        <v>156</v>
      </c>
      <c r="L793" s="8" t="s">
        <v>157</v>
      </c>
      <c r="M793" s="8" t="s">
        <v>27</v>
      </c>
      <c r="N793" s="2" t="s">
        <v>2558</v>
      </c>
      <c r="O793" s="8" t="s">
        <v>2559</v>
      </c>
      <c r="P793" s="8" t="s">
        <v>401</v>
      </c>
      <c r="Q793" s="12"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793" s="8" t="s">
        <v>29</v>
      </c>
      <c r="S793" s="7" t="s">
        <v>28</v>
      </c>
      <c r="T793" s="6"/>
      <c r="U793" s="8"/>
      <c r="AI793" s="8"/>
      <c r="AJ793" s="8"/>
      <c r="AK793" s="8"/>
      <c r="AL793" s="8"/>
      <c r="AM793" s="8"/>
    </row>
    <row r="794" spans="1:39" ht="13" customHeight="1">
      <c r="A794" s="8" t="s">
        <v>2560</v>
      </c>
      <c r="B794" s="16">
        <v>53</v>
      </c>
      <c r="C794" s="8" t="s">
        <v>20</v>
      </c>
      <c r="D794" s="8" t="s">
        <v>85</v>
      </c>
      <c r="E794" s="8" t="str">
        <f>HYPERLINK("http://wtvr.com/2015/04/30/greensville-county-sheriff-shooting/","http://wtvr.com/2015/04/30/greensville-county-sheriff-shooting/")</f>
        <v>http://wtvr.com/2015/04/30/greensville-county-sheriff-shooting/</v>
      </c>
      <c r="F794" s="17">
        <v>42123</v>
      </c>
      <c r="G794" s="8" t="s">
        <v>2561</v>
      </c>
      <c r="H794" s="8" t="s">
        <v>2562</v>
      </c>
      <c r="I794" s="8" t="s">
        <v>244</v>
      </c>
      <c r="J794" s="16">
        <v>23847</v>
      </c>
      <c r="K794" s="2" t="s">
        <v>2563</v>
      </c>
      <c r="L794" s="8" t="s">
        <v>2564</v>
      </c>
      <c r="M794" s="8" t="s">
        <v>27</v>
      </c>
      <c r="N794" s="2" t="s">
        <v>2565</v>
      </c>
      <c r="O794" s="8" t="s">
        <v>1013</v>
      </c>
      <c r="P794" s="8" t="s">
        <v>401</v>
      </c>
      <c r="Q794" s="12" t="str">
        <f>HYPERLINK("http://www.13newsnow.com/story/news/local/virginia/2015/04/30/greensville-co-man-killed-in-officer-involved-shooting/26633591/","http://www.13newsnow.com/story/news/local/virginia/2015/04/30/greensville-co-man-killed-in-officer-involved-shooting/26633591/")</f>
        <v>http://www.13newsnow.com/story/news/local/virginia/2015/04/30/greensville-co-man-killed-in-officer-involved-shooting/26633591/</v>
      </c>
      <c r="R794" s="8" t="s">
        <v>555</v>
      </c>
      <c r="S794" s="7" t="s">
        <v>28</v>
      </c>
      <c r="T794" s="6"/>
      <c r="U794" s="8"/>
      <c r="Y794" s="8"/>
      <c r="Z794" s="8"/>
      <c r="AA794" s="8"/>
      <c r="AB794" s="8"/>
      <c r="AC794" s="8"/>
      <c r="AD794" s="8"/>
      <c r="AE794" s="8"/>
      <c r="AF794" s="8"/>
      <c r="AG794" s="8"/>
      <c r="AH794" s="8"/>
    </row>
    <row r="795" spans="1:39" ht="13" customHeight="1">
      <c r="A795" s="8" t="s">
        <v>2570</v>
      </c>
      <c r="B795" s="16">
        <v>22</v>
      </c>
      <c r="C795" s="8" t="s">
        <v>20</v>
      </c>
      <c r="D795" s="8" t="s">
        <v>48</v>
      </c>
      <c r="E795" s="8" t="s">
        <v>2571</v>
      </c>
      <c r="F795" s="17">
        <v>42123</v>
      </c>
      <c r="G795" s="8" t="s">
        <v>2572</v>
      </c>
      <c r="H795" s="8" t="s">
        <v>860</v>
      </c>
      <c r="I795" s="8" t="s">
        <v>73</v>
      </c>
      <c r="J795" s="16">
        <v>79907</v>
      </c>
      <c r="K795" s="2" t="s">
        <v>860</v>
      </c>
      <c r="L795" s="8" t="s">
        <v>861</v>
      </c>
      <c r="M795" s="8" t="s">
        <v>27</v>
      </c>
      <c r="N795" s="2" t="s">
        <v>2573</v>
      </c>
      <c r="O795" s="8" t="s">
        <v>400</v>
      </c>
      <c r="P795" s="8" t="s">
        <v>401</v>
      </c>
      <c r="Q795" s="12" t="str">
        <f>HYPERLINK("http://www.elpasotimes.com/news/ci_28023272/el-paso-police-officer-shot-and-killed-burglary","http://www.elpasotimes.com/news/ci_28023272/el-paso-police-officer-shot-and-killed-burglary")</f>
        <v>http://www.elpasotimes.com/news/ci_28023272/el-paso-police-officer-shot-and-killed-burglary</v>
      </c>
      <c r="R795" s="8" t="s">
        <v>100</v>
      </c>
      <c r="S795" s="7" t="s">
        <v>28</v>
      </c>
      <c r="T795" s="6"/>
      <c r="U795" s="8"/>
    </row>
    <row r="796" spans="1:39" ht="13" customHeight="1">
      <c r="A796" s="8" t="s">
        <v>2580</v>
      </c>
      <c r="B796" s="16">
        <v>27</v>
      </c>
      <c r="C796" s="8" t="s">
        <v>20</v>
      </c>
      <c r="D796" s="8" t="s">
        <v>48</v>
      </c>
      <c r="F796" s="17">
        <v>42123</v>
      </c>
      <c r="G796" s="8" t="s">
        <v>2581</v>
      </c>
      <c r="H796" s="8" t="s">
        <v>2582</v>
      </c>
      <c r="I796" s="8" t="s">
        <v>45</v>
      </c>
      <c r="J796" s="16" t="s">
        <v>2583</v>
      </c>
      <c r="K796" s="2" t="s">
        <v>1646</v>
      </c>
      <c r="L796" s="8" t="s">
        <v>2584</v>
      </c>
      <c r="M796" s="8" t="s">
        <v>27</v>
      </c>
      <c r="N796" s="2" t="s">
        <v>2585</v>
      </c>
      <c r="O796" s="8" t="s">
        <v>1013</v>
      </c>
      <c r="P796" s="8" t="s">
        <v>401</v>
      </c>
      <c r="Q796" s="12" t="str">
        <f>HYPERLINK("http://www.sacbee.com/news/local/crime/article19860156.html","http://www.sacbee.com/news/local/crime/article19860156.html")</f>
        <v>http://www.sacbee.com/news/local/crime/article19860156.html</v>
      </c>
      <c r="R796" s="8" t="s">
        <v>100</v>
      </c>
      <c r="S796" s="7" t="s">
        <v>28</v>
      </c>
      <c r="T796" s="6"/>
      <c r="U796" s="8"/>
    </row>
    <row r="797" spans="1:39" ht="13" customHeight="1">
      <c r="A797" s="8" t="s">
        <v>2566</v>
      </c>
      <c r="B797" s="16">
        <v>33</v>
      </c>
      <c r="C797" s="8" t="s">
        <v>20</v>
      </c>
      <c r="D797" s="8" t="s">
        <v>48</v>
      </c>
      <c r="E797" s="8" t="s">
        <v>2567</v>
      </c>
      <c r="F797" s="17">
        <v>42123</v>
      </c>
      <c r="G797" s="8" t="s">
        <v>2568</v>
      </c>
      <c r="H797" s="8" t="s">
        <v>1432</v>
      </c>
      <c r="I797" s="8" t="s">
        <v>123</v>
      </c>
      <c r="J797" s="16">
        <v>85204</v>
      </c>
      <c r="K797" s="2" t="s">
        <v>635</v>
      </c>
      <c r="L797" s="8" t="s">
        <v>1433</v>
      </c>
      <c r="M797" s="8" t="s">
        <v>27</v>
      </c>
      <c r="N797" s="2" t="s">
        <v>2569</v>
      </c>
      <c r="O797" s="8" t="s">
        <v>1013</v>
      </c>
      <c r="P797" s="8" t="s">
        <v>401</v>
      </c>
      <c r="Q797" s="12" t="str">
        <f>HYPERLINK("http://www.azcentral.com/story/news/local/mesa/2015/04/29/mesa-police-officer-involved-fatal-shooting-abrk/26610825/","http://www.azcentral.com/story/news/local/mesa/2015/04/29/mesa-police-officer-involved-fatal-shooting-abrk/26610825/")</f>
        <v>http://www.azcentral.com/story/news/local/mesa/2015/04/29/mesa-police-officer-involved-fatal-shooting-abrk/26610825/</v>
      </c>
      <c r="R797" s="8" t="s">
        <v>100</v>
      </c>
      <c r="S797" s="7" t="s">
        <v>28</v>
      </c>
      <c r="T797" s="6"/>
      <c r="U797" s="8"/>
    </row>
    <row r="798" spans="1:39" ht="13" customHeight="1">
      <c r="A798" s="8" t="s">
        <v>2574</v>
      </c>
      <c r="B798" s="16">
        <v>26</v>
      </c>
      <c r="C798" s="8" t="s">
        <v>20</v>
      </c>
      <c r="D798" s="8" t="s">
        <v>139</v>
      </c>
      <c r="F798" s="17">
        <v>42123</v>
      </c>
      <c r="G798" s="8" t="s">
        <v>2575</v>
      </c>
      <c r="H798" s="8" t="s">
        <v>2576</v>
      </c>
      <c r="I798" s="8" t="s">
        <v>395</v>
      </c>
      <c r="J798" s="16">
        <v>73018</v>
      </c>
      <c r="K798" s="2" t="s">
        <v>2577</v>
      </c>
      <c r="L798" s="8" t="s">
        <v>2578</v>
      </c>
      <c r="M798" s="8" t="s">
        <v>27</v>
      </c>
      <c r="N798" s="2" t="s">
        <v>2579</v>
      </c>
      <c r="O798" s="8" t="s">
        <v>1013</v>
      </c>
      <c r="P798" s="8" t="s">
        <v>401</v>
      </c>
      <c r="Q798" s="12" t="str">
        <f>HYPERLINK("http://kfor.com/2015/04/29/oklahoma-police-officer-involved-in-fatal-shooting/","http://kfor.com/2015/04/29/oklahoma-police-officer-involved-in-fatal-shooting/")</f>
        <v>http://kfor.com/2015/04/29/oklahoma-police-officer-involved-in-fatal-shooting/</v>
      </c>
      <c r="R798" s="8" t="s">
        <v>100</v>
      </c>
      <c r="S798" s="7" t="s">
        <v>28</v>
      </c>
      <c r="T798" s="6"/>
      <c r="U798" s="8"/>
    </row>
    <row r="799" spans="1:39" ht="13" customHeight="1">
      <c r="A799" s="8" t="s">
        <v>2586</v>
      </c>
      <c r="B799" s="16">
        <v>22</v>
      </c>
      <c r="C799" s="8" t="s">
        <v>20</v>
      </c>
      <c r="D799" s="8" t="s">
        <v>85</v>
      </c>
      <c r="E799" s="8" t="s">
        <v>2587</v>
      </c>
      <c r="F799" s="17">
        <v>42122</v>
      </c>
      <c r="G799" s="8" t="s">
        <v>2588</v>
      </c>
      <c r="H799" s="8" t="s">
        <v>1042</v>
      </c>
      <c r="I799" s="8" t="s">
        <v>25</v>
      </c>
      <c r="J799" s="16">
        <v>70126</v>
      </c>
      <c r="K799" s="2" t="s">
        <v>2589</v>
      </c>
      <c r="L799" s="8" t="s">
        <v>1044</v>
      </c>
      <c r="M799" s="8" t="s">
        <v>27</v>
      </c>
      <c r="N799" s="2" t="s">
        <v>2590</v>
      </c>
      <c r="O799" s="8" t="s">
        <v>1013</v>
      </c>
      <c r="P799" s="8" t="s">
        <v>401</v>
      </c>
      <c r="Q799" s="12" t="str">
        <f>HYPERLINK("http://www.wwltv.com/story/news/crime/2015/04/28/nopd-on-scene-of-officer-needing-assistance/26555847/","http://www.wwltv.com/story/news/crime/2015/04/28/nopd-on-scene-of-officer-needing-assistance/26555847/")</f>
        <v>http://www.wwltv.com/story/news/crime/2015/04/28/nopd-on-scene-of-officer-needing-assistance/26555847/</v>
      </c>
      <c r="R799" s="8" t="s">
        <v>100</v>
      </c>
      <c r="S799" s="7" t="s">
        <v>28</v>
      </c>
      <c r="T799" s="6"/>
      <c r="U799" s="8"/>
    </row>
    <row r="800" spans="1:39" ht="13" customHeight="1">
      <c r="A800" s="8" t="s">
        <v>20643</v>
      </c>
      <c r="B800" s="16">
        <v>30</v>
      </c>
      <c r="C800" s="8" t="s">
        <v>20</v>
      </c>
      <c r="D800" s="8" t="s">
        <v>85</v>
      </c>
      <c r="E800" s="8" t="s">
        <v>20644</v>
      </c>
      <c r="F800" s="17">
        <v>42122</v>
      </c>
      <c r="G800" s="8" t="s">
        <v>20645</v>
      </c>
      <c r="H800" s="8" t="s">
        <v>4054</v>
      </c>
      <c r="I800" s="8" t="s">
        <v>173</v>
      </c>
      <c r="J800" s="3" t="s">
        <v>4055</v>
      </c>
      <c r="K800" s="3" t="s">
        <v>4056</v>
      </c>
      <c r="L800" s="3" t="s">
        <v>20646</v>
      </c>
      <c r="M800" s="3" t="s">
        <v>379</v>
      </c>
      <c r="N800" s="3" t="s">
        <v>20647</v>
      </c>
      <c r="O800" s="3" t="s">
        <v>2939</v>
      </c>
      <c r="P800" s="8" t="s">
        <v>401</v>
      </c>
      <c r="Q800" s="33" t="s">
        <v>20648</v>
      </c>
      <c r="R800" s="3" t="s">
        <v>100</v>
      </c>
      <c r="S800" s="3" t="s">
        <v>18</v>
      </c>
      <c r="T800" s="3"/>
      <c r="U800" s="3"/>
      <c r="V800" s="23"/>
      <c r="W800" s="23"/>
      <c r="X800" s="23"/>
      <c r="Y800" s="23"/>
      <c r="Z800" s="23"/>
      <c r="AA800" s="23"/>
      <c r="AB800" s="23"/>
      <c r="AC800" s="23"/>
      <c r="AD800" s="23"/>
      <c r="AE800" s="23"/>
      <c r="AF800" s="23"/>
      <c r="AG800" s="23"/>
      <c r="AH800" s="23"/>
      <c r="AI800" s="23"/>
      <c r="AJ800" s="23"/>
      <c r="AK800" s="23"/>
      <c r="AL800" s="23"/>
      <c r="AM800" s="23"/>
    </row>
    <row r="801" spans="1:21" ht="13" customHeight="1">
      <c r="A801" s="8" t="s">
        <v>2591</v>
      </c>
      <c r="B801" s="16">
        <v>27</v>
      </c>
      <c r="C801" s="8" t="s">
        <v>20</v>
      </c>
      <c r="D801" s="8" t="s">
        <v>37</v>
      </c>
      <c r="E801" s="8" t="str">
        <f>HYPERLINK("http://www.kfvs12.com/story/28915534/1-dead-after-standoff-in-marion","http://www.kfvs12.com/story/28915534/1-dead-after-standoff-in-marion")</f>
        <v>http://www.kfvs12.com/story/28915534/1-dead-after-standoff-in-marion</v>
      </c>
      <c r="F801" s="17">
        <v>42122</v>
      </c>
      <c r="G801" s="8" t="s">
        <v>2592</v>
      </c>
      <c r="H801" s="8" t="s">
        <v>420</v>
      </c>
      <c r="I801" s="8" t="s">
        <v>44</v>
      </c>
      <c r="J801" s="16">
        <v>62959</v>
      </c>
      <c r="K801" s="2" t="s">
        <v>2593</v>
      </c>
      <c r="L801" s="8" t="s">
        <v>2594</v>
      </c>
      <c r="M801" s="8" t="s">
        <v>27</v>
      </c>
      <c r="N801" s="2" t="s">
        <v>2595</v>
      </c>
      <c r="O801" s="8" t="s">
        <v>1013</v>
      </c>
      <c r="P801" s="8" t="s">
        <v>401</v>
      </c>
      <c r="Q801" s="12" t="str">
        <f>HYPERLINK("http://www.kfvs12.com/story/28915534/1-dead-after-standoff-in-marion","http://www.kfvs12.com/story/28915534/1-dead-after-standoff-in-marion")</f>
        <v>http://www.kfvs12.com/story/28915534/1-dead-after-standoff-in-marion</v>
      </c>
      <c r="R801" s="8" t="s">
        <v>100</v>
      </c>
      <c r="S801" s="7" t="s">
        <v>28</v>
      </c>
      <c r="T801" s="6"/>
      <c r="U801" s="8"/>
    </row>
    <row r="802" spans="1:21" ht="13" customHeight="1">
      <c r="A802" s="8" t="s">
        <v>2596</v>
      </c>
      <c r="B802" s="16">
        <v>58</v>
      </c>
      <c r="C802" s="8" t="s">
        <v>20</v>
      </c>
      <c r="D802" s="8" t="s">
        <v>37</v>
      </c>
      <c r="E802" s="8"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F802" s="17">
        <v>42122</v>
      </c>
      <c r="G802" s="8" t="s">
        <v>2597</v>
      </c>
      <c r="H802" s="8" t="s">
        <v>2598</v>
      </c>
      <c r="I802" s="8" t="s">
        <v>81</v>
      </c>
      <c r="J802" s="16">
        <v>44907</v>
      </c>
      <c r="K802" s="2" t="s">
        <v>2599</v>
      </c>
      <c r="L802" s="8" t="s">
        <v>2600</v>
      </c>
      <c r="M802" s="8" t="s">
        <v>27</v>
      </c>
      <c r="N802" s="2" t="s">
        <v>2601</v>
      </c>
      <c r="O802" s="8" t="s">
        <v>1013</v>
      </c>
      <c r="P802" s="8" t="s">
        <v>401</v>
      </c>
      <c r="Q802" s="12"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R802" s="8" t="s">
        <v>100</v>
      </c>
      <c r="S802" s="7" t="s">
        <v>28</v>
      </c>
      <c r="T802" s="6"/>
      <c r="U802" s="8"/>
    </row>
    <row r="803" spans="1:21" ht="13" customHeight="1">
      <c r="A803" s="8" t="s">
        <v>2602</v>
      </c>
      <c r="B803" s="16">
        <v>20</v>
      </c>
      <c r="C803" s="8" t="s">
        <v>20</v>
      </c>
      <c r="D803" s="8" t="s">
        <v>85</v>
      </c>
      <c r="F803" s="17">
        <v>42121</v>
      </c>
      <c r="G803" s="8" t="s">
        <v>2603</v>
      </c>
      <c r="H803" s="8" t="s">
        <v>444</v>
      </c>
      <c r="I803" s="8" t="s">
        <v>57</v>
      </c>
      <c r="J803" s="16">
        <v>48228</v>
      </c>
      <c r="K803" s="2" t="s">
        <v>1132</v>
      </c>
      <c r="L803" s="8" t="s">
        <v>2604</v>
      </c>
      <c r="M803" s="8" t="s">
        <v>27</v>
      </c>
      <c r="N803" s="2" t="s">
        <v>2605</v>
      </c>
      <c r="O803" s="8" t="s">
        <v>1013</v>
      </c>
      <c r="P803" s="8" t="s">
        <v>401</v>
      </c>
      <c r="Q803" s="12" t="str">
        <f>HYPERLINK("http://america.aljazeera.com/articles/2015/4/29/terrance-kellom-shot-dead-in-detroit-by-ice-agent.html","http://america.aljazeera.com/articles/2015/4/29/terrance-kellom-shot-dead-in-detroit-by-ice-agent.html")</f>
        <v>http://america.aljazeera.com/articles/2015/4/29/terrance-kellom-shot-dead-in-detroit-by-ice-agent.html</v>
      </c>
      <c r="R803" s="8" t="s">
        <v>100</v>
      </c>
      <c r="S803" s="7" t="s">
        <v>18</v>
      </c>
      <c r="T803" s="6"/>
      <c r="U803" s="8"/>
    </row>
    <row r="804" spans="1:21" ht="13" customHeight="1">
      <c r="A804" s="8" t="s">
        <v>2626</v>
      </c>
      <c r="B804" s="16">
        <v>25</v>
      </c>
      <c r="C804" s="8" t="s">
        <v>20</v>
      </c>
      <c r="D804" s="8" t="s">
        <v>37</v>
      </c>
      <c r="E804" s="8" t="str">
        <f>HYPERLINK("https://www.victoriaadvocate.com/news/2015/apr/27/parents-of-veteran-fatally-shot-by-police-seek-ans/","https://www.victoriaadvocate.com/news/2015/apr/27/parents-of-veteran-fatally-shot-by-police-seek-ans/")</f>
        <v>https://www.victoriaadvocate.com/news/2015/apr/27/parents-of-veteran-fatally-shot-by-police-seek-ans/</v>
      </c>
      <c r="F804" s="17">
        <v>42120</v>
      </c>
      <c r="G804" s="8" t="s">
        <v>2627</v>
      </c>
      <c r="H804" s="8" t="s">
        <v>2628</v>
      </c>
      <c r="I804" s="8" t="s">
        <v>73</v>
      </c>
      <c r="J804" s="16">
        <v>77904</v>
      </c>
      <c r="K804" s="2" t="s">
        <v>2628</v>
      </c>
      <c r="L804" s="8" t="s">
        <v>2629</v>
      </c>
      <c r="M804" s="8" t="s">
        <v>27</v>
      </c>
      <c r="N804" s="2" t="s">
        <v>2630</v>
      </c>
      <c r="O804" s="8" t="s">
        <v>1013</v>
      </c>
      <c r="P804" s="8" t="s">
        <v>401</v>
      </c>
      <c r="Q804" s="12" t="str">
        <f>HYPERLINK("https://www.victoriaadvocate.com/news/2015/apr/27/parents-of-veteran-fatally-shot-by-police-seek-ans/","https://www.victoriaadvocate.com/news/2015/apr/27/parents-of-veteran-fatally-shot-by-police-seek-ans/")</f>
        <v>https://www.victoriaadvocate.com/news/2015/apr/27/parents-of-veteran-fatally-shot-by-police-seek-ans/</v>
      </c>
      <c r="R804" s="8" t="s">
        <v>100</v>
      </c>
      <c r="S804" s="7" t="s">
        <v>28</v>
      </c>
      <c r="T804" s="6"/>
      <c r="U804" s="8"/>
    </row>
    <row r="805" spans="1:21" ht="13" customHeight="1">
      <c r="A805" s="8" t="s">
        <v>2606</v>
      </c>
      <c r="B805" s="16">
        <v>45</v>
      </c>
      <c r="C805" s="8" t="s">
        <v>20</v>
      </c>
      <c r="D805" s="8" t="s">
        <v>37</v>
      </c>
      <c r="E805" s="8" t="s">
        <v>2607</v>
      </c>
      <c r="F805" s="17">
        <v>42120</v>
      </c>
      <c r="G805" s="8" t="s">
        <v>2608</v>
      </c>
      <c r="H805" s="8" t="s">
        <v>2609</v>
      </c>
      <c r="I805" s="8" t="s">
        <v>45</v>
      </c>
      <c r="J805" s="16">
        <v>92708</v>
      </c>
      <c r="K805" s="2" t="s">
        <v>1064</v>
      </c>
      <c r="L805" s="8" t="s">
        <v>2610</v>
      </c>
      <c r="M805" s="8" t="s">
        <v>27</v>
      </c>
      <c r="N805" s="2" t="s">
        <v>2611</v>
      </c>
      <c r="O805" s="8" t="s">
        <v>1013</v>
      </c>
      <c r="P805" s="8" t="s">
        <v>401</v>
      </c>
      <c r="Q805" s="12" t="str">
        <f>HYPERLINK("http://abc7.com/news/burglary-suspect-killed-in-officer-involved-shooting-in-fountain-valley/682399/","http://abc7.com/news/burglary-suspect-killed-in-officer-involved-shooting-in-fountain-valley/682399/")</f>
        <v>http://abc7.com/news/burglary-suspect-killed-in-officer-involved-shooting-in-fountain-valley/682399/</v>
      </c>
      <c r="R805" s="8" t="s">
        <v>100</v>
      </c>
      <c r="S805" s="7" t="s">
        <v>28</v>
      </c>
      <c r="T805" s="6"/>
      <c r="U805" s="8"/>
    </row>
    <row r="806" spans="1:21" ht="13" customHeight="1">
      <c r="A806" s="8" t="s">
        <v>2612</v>
      </c>
      <c r="B806" s="16">
        <v>76</v>
      </c>
      <c r="C806" s="8" t="s">
        <v>20</v>
      </c>
      <c r="D806" s="8" t="s">
        <v>37</v>
      </c>
      <c r="F806" s="17">
        <v>42120</v>
      </c>
      <c r="G806" s="8" t="s">
        <v>2613</v>
      </c>
      <c r="H806" s="8" t="s">
        <v>2614</v>
      </c>
      <c r="I806" s="8" t="s">
        <v>45</v>
      </c>
      <c r="J806" s="16" t="s">
        <v>2615</v>
      </c>
      <c r="K806" s="2" t="s">
        <v>1716</v>
      </c>
      <c r="L806" s="8" t="s">
        <v>2616</v>
      </c>
      <c r="M806" s="8" t="s">
        <v>27</v>
      </c>
      <c r="N806" s="2" t="s">
        <v>2617</v>
      </c>
      <c r="O806" s="8" t="s">
        <v>400</v>
      </c>
      <c r="P806" s="8" t="s">
        <v>401</v>
      </c>
      <c r="Q806" s="12" t="s">
        <v>2618</v>
      </c>
      <c r="S806" s="7" t="s">
        <v>28</v>
      </c>
      <c r="T806" s="6"/>
      <c r="U806" s="8"/>
    </row>
    <row r="807" spans="1:21" ht="13" customHeight="1">
      <c r="A807" s="8" t="s">
        <v>2619</v>
      </c>
      <c r="B807" s="16">
        <v>29</v>
      </c>
      <c r="C807" s="8" t="s">
        <v>20</v>
      </c>
      <c r="D807" s="8" t="s">
        <v>37</v>
      </c>
      <c r="E807" s="8" t="str">
        <f>HYPERLINK("http://www.guns.com/2015/04/30/game-warden-shoots-kills-man-who-tried-to-drown-him-after-checking-fishing-license/","http://www.guns.com/2015/04/30/game-warden-shoots-kills-man-who-tried-to-drown-him-after-checking-fishing-license/")</f>
        <v>http://www.guns.com/2015/04/30/game-warden-shoots-kills-man-who-tried-to-drown-him-after-checking-fishing-license/</v>
      </c>
      <c r="F807" s="17">
        <v>42120</v>
      </c>
      <c r="H807" s="8" t="s">
        <v>2620</v>
      </c>
      <c r="I807" s="8" t="s">
        <v>395</v>
      </c>
      <c r="J807" s="16">
        <v>74931</v>
      </c>
      <c r="K807" s="2" t="s">
        <v>2621</v>
      </c>
      <c r="L807" s="8" t="s">
        <v>2622</v>
      </c>
      <c r="M807" s="8" t="s">
        <v>27</v>
      </c>
      <c r="N807" s="2" t="s">
        <v>2623</v>
      </c>
      <c r="O807" s="8" t="s">
        <v>2624</v>
      </c>
      <c r="P807" s="8" t="s">
        <v>401</v>
      </c>
      <c r="Q807" s="12" t="s">
        <v>2625</v>
      </c>
      <c r="S807" s="7" t="s">
        <v>18</v>
      </c>
      <c r="T807" s="6"/>
      <c r="U807" s="8"/>
    </row>
    <row r="808" spans="1:21" ht="13" customHeight="1">
      <c r="A808" s="8" t="s">
        <v>2631</v>
      </c>
      <c r="B808" s="16">
        <v>22</v>
      </c>
      <c r="C808" s="8" t="s">
        <v>20</v>
      </c>
      <c r="D808" s="8" t="s">
        <v>85</v>
      </c>
      <c r="E808" s="8" t="str">
        <f>HYPERLINK("http://www.democracynow.org/2015/4/27/headlines/new_york_police_kill_mentally_ill_african_american_man","http://www.democracynow.org/2015/4/27/headlines/new_york_police_kill_mentally_ill_african_american_man")</f>
        <v>http://www.democracynow.org/2015/4/27/headlines/new_york_police_kill_mentally_ill_african_american_man</v>
      </c>
      <c r="F808" s="17">
        <v>42119</v>
      </c>
      <c r="G808" s="8" t="s">
        <v>2632</v>
      </c>
      <c r="H808" s="8" t="s">
        <v>757</v>
      </c>
      <c r="I808" s="8" t="s">
        <v>423</v>
      </c>
      <c r="J808" s="16" t="s">
        <v>2633</v>
      </c>
      <c r="K808" s="2" t="s">
        <v>757</v>
      </c>
      <c r="L808" s="8" t="s">
        <v>582</v>
      </c>
      <c r="M808" s="8" t="s">
        <v>27</v>
      </c>
      <c r="N808" s="2" t="s">
        <v>2634</v>
      </c>
      <c r="O808" s="8" t="s">
        <v>1013</v>
      </c>
      <c r="P808" s="8" t="s">
        <v>401</v>
      </c>
      <c r="Q808" s="12" t="str">
        <f>HYPERLINK("http://www.nydailynews.com/new-york/cops-shoot-man-east-village-altercation-police-article-1.2198797","http://www.nydailynews.com/new-york/cops-shoot-man-east-village-altercation-police-article-1.2198797")</f>
        <v>http://www.nydailynews.com/new-york/cops-shoot-man-east-village-altercation-police-article-1.2198797</v>
      </c>
      <c r="R808" s="8" t="s">
        <v>555</v>
      </c>
      <c r="S808" s="7" t="s">
        <v>18</v>
      </c>
      <c r="T808" s="6"/>
      <c r="U808" s="8"/>
    </row>
    <row r="809" spans="1:21" ht="13" customHeight="1">
      <c r="A809" s="8" t="s">
        <v>2635</v>
      </c>
      <c r="B809" s="16">
        <v>58</v>
      </c>
      <c r="C809" s="8" t="s">
        <v>20</v>
      </c>
      <c r="D809" s="8" t="s">
        <v>37</v>
      </c>
      <c r="E809" s="8" t="s">
        <v>2636</v>
      </c>
      <c r="F809" s="17">
        <v>42119</v>
      </c>
      <c r="G809" s="8" t="s">
        <v>2637</v>
      </c>
      <c r="H809" s="8" t="s">
        <v>2638</v>
      </c>
      <c r="I809" s="8" t="s">
        <v>62</v>
      </c>
      <c r="J809" s="16">
        <v>34711</v>
      </c>
      <c r="K809" s="2" t="s">
        <v>1259</v>
      </c>
      <c r="L809" s="8" t="s">
        <v>1260</v>
      </c>
      <c r="M809" s="8" t="s">
        <v>27</v>
      </c>
      <c r="N809" s="2" t="s">
        <v>2639</v>
      </c>
      <c r="O809" s="8" t="s">
        <v>1013</v>
      </c>
      <c r="P809" s="8" t="s">
        <v>401</v>
      </c>
      <c r="Q809" s="12" t="str">
        <f>HYPERLINK("http://www.wftv.com/news/news/local/1-fatally-shot-lake-county-deputy-involved-shootin/nk3ng/","http://www.wftv.com/news/news/local/1-fatally-shot-lake-county-deputy-involved-shootin/nk3ng/")</f>
        <v>http://www.wftv.com/news/news/local/1-fatally-shot-lake-county-deputy-involved-shootin/nk3ng/</v>
      </c>
      <c r="R809" s="8" t="s">
        <v>29</v>
      </c>
      <c r="S809" s="7" t="s">
        <v>28</v>
      </c>
      <c r="T809" s="6"/>
      <c r="U809" s="8"/>
    </row>
    <row r="810" spans="1:21" ht="13" customHeight="1">
      <c r="A810" s="8" t="s">
        <v>2640</v>
      </c>
      <c r="B810" s="16">
        <v>20</v>
      </c>
      <c r="C810" s="8" t="s">
        <v>20</v>
      </c>
      <c r="D810" s="8" t="s">
        <v>85</v>
      </c>
      <c r="E810" s="8" t="s">
        <v>2641</v>
      </c>
      <c r="F810" s="17">
        <v>42118</v>
      </c>
      <c r="G810" s="8" t="s">
        <v>2642</v>
      </c>
      <c r="H810" s="8" t="s">
        <v>2643</v>
      </c>
      <c r="I810" s="8" t="s">
        <v>209</v>
      </c>
      <c r="J810" s="16">
        <v>81082</v>
      </c>
      <c r="K810" s="2" t="s">
        <v>2644</v>
      </c>
      <c r="L810" s="8" t="s">
        <v>2645</v>
      </c>
      <c r="M810" s="8" t="s">
        <v>27</v>
      </c>
      <c r="N810" s="2" t="s">
        <v>2646</v>
      </c>
      <c r="O810" s="8" t="s">
        <v>1013</v>
      </c>
      <c r="P810" s="8" t="s">
        <v>401</v>
      </c>
      <c r="Q810" s="12" t="str">
        <f>HYPERLINK("http://www.kktv.com/home/headlines/Deadly-Officer-Involved-Shooting-in-Trinidad-301252451.html","http://www.kktv.com/home/headlines/Deadly-Officer-Involved-Shooting-in-Trinidad-301252451.html")</f>
        <v>http://www.kktv.com/home/headlines/Deadly-Officer-Involved-Shooting-in-Trinidad-301252451.html</v>
      </c>
      <c r="R810" s="8" t="s">
        <v>100</v>
      </c>
      <c r="S810" s="7" t="s">
        <v>28</v>
      </c>
      <c r="T810" s="6"/>
      <c r="U810" s="8"/>
    </row>
    <row r="811" spans="1:21" ht="13" customHeight="1">
      <c r="A811" s="8" t="s">
        <v>2647</v>
      </c>
      <c r="B811" s="16">
        <v>28</v>
      </c>
      <c r="C811" s="8" t="s">
        <v>20</v>
      </c>
      <c r="D811" s="8" t="s">
        <v>85</v>
      </c>
      <c r="F811" s="17">
        <v>42118</v>
      </c>
      <c r="G811" s="8" t="s">
        <v>2648</v>
      </c>
      <c r="H811" s="8" t="s">
        <v>2649</v>
      </c>
      <c r="I811" s="8" t="s">
        <v>366</v>
      </c>
      <c r="J811" s="16" t="s">
        <v>2650</v>
      </c>
      <c r="K811" s="2" t="s">
        <v>2651</v>
      </c>
      <c r="L811" s="8" t="s">
        <v>2652</v>
      </c>
      <c r="M811" s="8" t="s">
        <v>379</v>
      </c>
      <c r="N811" s="2" t="s">
        <v>2653</v>
      </c>
      <c r="O811" s="8" t="s">
        <v>1013</v>
      </c>
      <c r="P811" s="8" t="s">
        <v>401</v>
      </c>
      <c r="Q811" s="12" t="s">
        <v>2654</v>
      </c>
      <c r="R811" s="8" t="s">
        <v>100</v>
      </c>
      <c r="S811" s="8" t="s">
        <v>18</v>
      </c>
      <c r="T811" s="6"/>
      <c r="U811" s="8"/>
    </row>
    <row r="812" spans="1:21" ht="13" customHeight="1">
      <c r="A812" s="8" t="s">
        <v>2655</v>
      </c>
      <c r="B812" s="16">
        <v>29</v>
      </c>
      <c r="C812" s="8" t="s">
        <v>114</v>
      </c>
      <c r="D812" s="8" t="s">
        <v>85</v>
      </c>
      <c r="F812" s="17">
        <v>42118</v>
      </c>
      <c r="G812" s="8" t="s">
        <v>2648</v>
      </c>
      <c r="H812" s="8" t="s">
        <v>2649</v>
      </c>
      <c r="I812" s="8" t="s">
        <v>366</v>
      </c>
      <c r="J812" s="16" t="s">
        <v>2650</v>
      </c>
      <c r="K812" s="2" t="s">
        <v>2651</v>
      </c>
      <c r="L812" s="8" t="s">
        <v>2652</v>
      </c>
      <c r="M812" s="8" t="s">
        <v>379</v>
      </c>
      <c r="N812" s="2" t="s">
        <v>2653</v>
      </c>
      <c r="O812" s="8" t="s">
        <v>1013</v>
      </c>
      <c r="P812" s="8" t="s">
        <v>401</v>
      </c>
      <c r="Q812" s="12" t="s">
        <v>2654</v>
      </c>
      <c r="R812" s="8" t="s">
        <v>100</v>
      </c>
      <c r="S812" s="8" t="s">
        <v>18</v>
      </c>
      <c r="T812" s="6"/>
      <c r="U812" s="8"/>
    </row>
    <row r="813" spans="1:21" ht="13" customHeight="1">
      <c r="A813" s="8" t="s">
        <v>2656</v>
      </c>
      <c r="B813" s="16">
        <v>63</v>
      </c>
      <c r="C813" s="8" t="s">
        <v>20</v>
      </c>
      <c r="D813" s="8" t="s">
        <v>37</v>
      </c>
      <c r="F813" s="17">
        <v>42118</v>
      </c>
      <c r="G813" s="8" t="s">
        <v>2657</v>
      </c>
      <c r="H813" s="8" t="s">
        <v>213</v>
      </c>
      <c r="I813" s="8" t="s">
        <v>69</v>
      </c>
      <c r="J813" s="16">
        <v>74354</v>
      </c>
      <c r="K813" s="2" t="s">
        <v>2658</v>
      </c>
      <c r="L813" s="8" t="s">
        <v>2048</v>
      </c>
      <c r="M813" s="8" t="s">
        <v>27</v>
      </c>
      <c r="N813" s="2" t="s">
        <v>2659</v>
      </c>
      <c r="O813" s="8" t="s">
        <v>2624</v>
      </c>
      <c r="P813" s="8" t="s">
        <v>401</v>
      </c>
      <c r="Q813" s="12" t="str">
        <f>HYPERLINK("http://www.miamiok.com/news/article_7116fd15-d23e-59c9-aa7e-043ec0f3871f.html","http://www.miamiok.com/news/article_7116fd15-d23e-59c9-aa7e-043ec0f3871f.html")</f>
        <v>http://www.miamiok.com/news/article_7116fd15-d23e-59c9-aa7e-043ec0f3871f.html</v>
      </c>
      <c r="R813" s="8" t="s">
        <v>29</v>
      </c>
      <c r="S813" s="7" t="s">
        <v>28</v>
      </c>
      <c r="T813" s="6"/>
      <c r="U813" s="8"/>
    </row>
    <row r="814" spans="1:21" ht="13" customHeight="1">
      <c r="A814" s="8" t="s">
        <v>2660</v>
      </c>
      <c r="B814" s="16">
        <v>49</v>
      </c>
      <c r="C814" s="8" t="s">
        <v>20</v>
      </c>
      <c r="D814" s="8" t="s">
        <v>37</v>
      </c>
      <c r="E814" s="8" t="str">
        <f>HYPERLINK("http://www.statesmanjournal.com/story/news/2015/04/25/man-shot-killed-salem-police-identified/26377897/","http://www.statesmanjournal.com/story/news/2015/04/25/man-shot-killed-salem-police-identified/26377897/")</f>
        <v>http://www.statesmanjournal.com/story/news/2015/04/25/man-shot-killed-salem-police-identified/26377897/</v>
      </c>
      <c r="F814" s="17">
        <v>42118</v>
      </c>
      <c r="G814" s="8" t="s">
        <v>2661</v>
      </c>
      <c r="H814" s="8" t="s">
        <v>2662</v>
      </c>
      <c r="I814" s="8" t="s">
        <v>117</v>
      </c>
      <c r="J814" s="16">
        <v>97302</v>
      </c>
      <c r="K814" s="2" t="s">
        <v>420</v>
      </c>
      <c r="L814" s="8" t="s">
        <v>2663</v>
      </c>
      <c r="M814" s="8" t="s">
        <v>27</v>
      </c>
      <c r="N814" s="2" t="s">
        <v>2664</v>
      </c>
      <c r="O814" s="8" t="s">
        <v>1013</v>
      </c>
      <c r="P814" s="8" t="s">
        <v>401</v>
      </c>
      <c r="Q814" s="12" t="str">
        <f>HYPERLINK("http://www.oregonlive.com/pacific-northwest-news/index.ssf/2015/04/salem_police_wound_armed_man_e.html","http://www.oregonlive.com/pacific-northwest-news/index.ssf/2015/04/salem_police_wound_armed_man_e.html")</f>
        <v>http://www.oregonlive.com/pacific-northwest-news/index.ssf/2015/04/salem_police_wound_armed_man_e.html</v>
      </c>
      <c r="R814" s="8" t="s">
        <v>100</v>
      </c>
      <c r="S814" s="7" t="s">
        <v>28</v>
      </c>
      <c r="T814" s="6"/>
      <c r="U814" s="8"/>
    </row>
    <row r="815" spans="1:21" ht="13" customHeight="1">
      <c r="A815" s="8" t="s">
        <v>2665</v>
      </c>
      <c r="B815" s="16">
        <v>48</v>
      </c>
      <c r="C815" s="8" t="s">
        <v>20</v>
      </c>
      <c r="D815" s="8" t="s">
        <v>85</v>
      </c>
      <c r="E815" s="8" t="s">
        <v>2666</v>
      </c>
      <c r="F815" s="17">
        <v>42117</v>
      </c>
      <c r="G815" s="8" t="s">
        <v>2667</v>
      </c>
      <c r="H815" s="8" t="s">
        <v>726</v>
      </c>
      <c r="I815" s="8" t="s">
        <v>73</v>
      </c>
      <c r="J815" s="16">
        <v>77033</v>
      </c>
      <c r="K815" s="2" t="s">
        <v>558</v>
      </c>
      <c r="L815" s="8" t="s">
        <v>727</v>
      </c>
      <c r="M815" s="8" t="s">
        <v>379</v>
      </c>
      <c r="N815" s="2" t="s">
        <v>2668</v>
      </c>
      <c r="O815" s="8" t="s">
        <v>1013</v>
      </c>
      <c r="P815" s="8" t="s">
        <v>401</v>
      </c>
      <c r="Q815" s="12" t="str">
        <f>HYPERLINK("http://abc13.com/news/hpd-officer-hits-kills-bicyclist-in-southeast-houston/677753/","http://abc13.com/news/hpd-officer-hits-kills-bicyclist-in-southeast-houston/677753/")</f>
        <v>http://abc13.com/news/hpd-officer-hits-kills-bicyclist-in-southeast-houston/677753/</v>
      </c>
      <c r="R815" s="8" t="s">
        <v>100</v>
      </c>
      <c r="S815" s="7" t="s">
        <v>18</v>
      </c>
      <c r="T815" s="6"/>
      <c r="U815" s="8"/>
    </row>
    <row r="816" spans="1:21" ht="13" customHeight="1">
      <c r="A816" s="8" t="s">
        <v>2673</v>
      </c>
      <c r="B816" s="16">
        <v>26</v>
      </c>
      <c r="C816" s="8" t="s">
        <v>20</v>
      </c>
      <c r="D816" s="8" t="s">
        <v>48</v>
      </c>
      <c r="F816" s="17">
        <v>42117</v>
      </c>
      <c r="G816" s="8" t="s">
        <v>2674</v>
      </c>
      <c r="H816" s="8" t="s">
        <v>2675</v>
      </c>
      <c r="I816" s="8" t="s">
        <v>45</v>
      </c>
      <c r="J816" s="16">
        <v>91342</v>
      </c>
      <c r="K816" s="2" t="s">
        <v>98</v>
      </c>
      <c r="L816" s="8" t="s">
        <v>99</v>
      </c>
      <c r="M816" s="8" t="s">
        <v>27</v>
      </c>
      <c r="N816" s="2" t="s">
        <v>2676</v>
      </c>
      <c r="O816" s="8" t="s">
        <v>1013</v>
      </c>
      <c r="P816" s="8" t="s">
        <v>401</v>
      </c>
      <c r="Q816" s="12" t="str">
        <f>HYPERLINK("http://www.latimes.com/local/lanow/la-me-ln-lapd-shoots-sylmar-gunman-20150423-story.html","http://www.latimes.com/local/lanow/la-me-ln-lapd-shoots-sylmar-gunman-20150423-story.html")</f>
        <v>http://www.latimes.com/local/lanow/la-me-ln-lapd-shoots-sylmar-gunman-20150423-story.html</v>
      </c>
      <c r="R816" s="8" t="s">
        <v>555</v>
      </c>
      <c r="S816" s="7" t="s">
        <v>28</v>
      </c>
      <c r="T816" s="6"/>
      <c r="U816" s="8"/>
    </row>
    <row r="817" spans="1:39" ht="13" customHeight="1">
      <c r="A817" s="8" t="s">
        <v>2669</v>
      </c>
      <c r="B817" s="16">
        <v>19</v>
      </c>
      <c r="C817" s="8" t="s">
        <v>20</v>
      </c>
      <c r="D817" s="8" t="s">
        <v>48</v>
      </c>
      <c r="E817" s="8" t="s">
        <v>2670</v>
      </c>
      <c r="F817" s="17">
        <v>42117</v>
      </c>
      <c r="G817" s="8" t="s">
        <v>2671</v>
      </c>
      <c r="H817" s="8" t="s">
        <v>489</v>
      </c>
      <c r="I817" s="8" t="s">
        <v>45</v>
      </c>
      <c r="J817" s="16">
        <v>90813</v>
      </c>
      <c r="K817" s="2" t="s">
        <v>98</v>
      </c>
      <c r="L817" s="8" t="s">
        <v>490</v>
      </c>
      <c r="M817" s="8" t="s">
        <v>27</v>
      </c>
      <c r="N817" s="2" t="s">
        <v>2672</v>
      </c>
      <c r="O817" s="8" t="s">
        <v>1013</v>
      </c>
      <c r="P817" s="8" t="s">
        <v>401</v>
      </c>
      <c r="Q817" s="12" t="str">
        <f>HYPERLINK("http://www.presstelegram.com/general-news/20150424/police-no-weapon-found-at-scene-of-officer-involved-shooting-in-long-beach-thursday","http://www.presstelegram.com/general-news/20150424/police-no-weapon-found-at-scene-of-officer-involved-shooting-in-long-beach-thursday")</f>
        <v>http://www.presstelegram.com/general-news/20150424/police-no-weapon-found-at-scene-of-officer-involved-shooting-in-long-beach-thursday</v>
      </c>
      <c r="R817" s="8" t="s">
        <v>100</v>
      </c>
      <c r="S817" s="7" t="s">
        <v>18</v>
      </c>
      <c r="T817" s="6"/>
      <c r="U817" s="8"/>
    </row>
    <row r="818" spans="1:39" ht="13" customHeight="1">
      <c r="A818" s="8" t="s">
        <v>2677</v>
      </c>
      <c r="B818" s="16">
        <v>46</v>
      </c>
      <c r="C818" s="8" t="s">
        <v>114</v>
      </c>
      <c r="D818" s="8" t="s">
        <v>30</v>
      </c>
      <c r="F818" s="17">
        <v>42117</v>
      </c>
      <c r="G818" s="8" t="s">
        <v>2678</v>
      </c>
      <c r="H818" s="8" t="s">
        <v>2679</v>
      </c>
      <c r="I818" s="8" t="s">
        <v>45</v>
      </c>
      <c r="J818" s="16">
        <v>95472</v>
      </c>
      <c r="K818" s="2" t="s">
        <v>2680</v>
      </c>
      <c r="L818" s="8" t="s">
        <v>2681</v>
      </c>
      <c r="M818" s="8" t="s">
        <v>27</v>
      </c>
      <c r="N818" s="2" t="s">
        <v>2682</v>
      </c>
      <c r="O818" s="8" t="s">
        <v>1013</v>
      </c>
      <c r="P818" s="8" t="s">
        <v>401</v>
      </c>
      <c r="Q818" s="12" t="str">
        <f>HYPERLINK("http://sanfrancisco.cbslocal.com/2015/04/24/woman-shot-deputies-sonoma-county-chase-dies/","http://sanfrancisco.cbslocal.com/2015/04/24/woman-shot-deputies-sonoma-county-chase-dies/")</f>
        <v>http://sanfrancisco.cbslocal.com/2015/04/24/woman-shot-deputies-sonoma-county-chase-dies/</v>
      </c>
      <c r="R818" s="8" t="s">
        <v>100</v>
      </c>
      <c r="S818" s="7" t="s">
        <v>28</v>
      </c>
      <c r="T818" s="6"/>
      <c r="U818" s="8"/>
    </row>
    <row r="819" spans="1:39" ht="13" customHeight="1">
      <c r="A819" s="8" t="s">
        <v>2683</v>
      </c>
      <c r="B819" s="16">
        <v>30</v>
      </c>
      <c r="C819" s="8" t="s">
        <v>20</v>
      </c>
      <c r="D819" s="8" t="s">
        <v>37</v>
      </c>
      <c r="E819" s="8"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F819" s="17">
        <v>42117</v>
      </c>
      <c r="G819" s="8" t="s">
        <v>2684</v>
      </c>
      <c r="H819" s="8" t="s">
        <v>757</v>
      </c>
      <c r="I819" s="8" t="s">
        <v>423</v>
      </c>
      <c r="J819" s="16" t="s">
        <v>2685</v>
      </c>
      <c r="K819" s="2" t="s">
        <v>2686</v>
      </c>
      <c r="L819" s="8" t="s">
        <v>582</v>
      </c>
      <c r="M819" s="8" t="s">
        <v>27</v>
      </c>
      <c r="N819" s="2" t="s">
        <v>2687</v>
      </c>
      <c r="O819" s="8" t="s">
        <v>1013</v>
      </c>
      <c r="P819" s="8" t="s">
        <v>401</v>
      </c>
      <c r="Q819" s="12"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R819" s="8" t="s">
        <v>967</v>
      </c>
      <c r="S819" s="7" t="s">
        <v>28</v>
      </c>
      <c r="T819" s="6"/>
      <c r="U819" s="8"/>
    </row>
    <row r="820" spans="1:39" ht="13" customHeight="1">
      <c r="A820" s="8" t="s">
        <v>2695</v>
      </c>
      <c r="B820" s="16">
        <v>51</v>
      </c>
      <c r="C820" s="8" t="s">
        <v>20</v>
      </c>
      <c r="D820" s="8" t="s">
        <v>37</v>
      </c>
      <c r="E820" s="8" t="str">
        <f>HYPERLINK("http://www.newson6.com/story/28881786/choctaw-county-law-enforcement-officers-shot-serving-warrant","http://www.newson6.com/story/28881786/choctaw-county-law-enforcement-officers-shot-serving-warrant")</f>
        <v>http://www.newson6.com/story/28881786/choctaw-county-law-enforcement-officers-shot-serving-warrant</v>
      </c>
      <c r="F820" s="17">
        <v>42117</v>
      </c>
      <c r="G820" s="8" t="s">
        <v>2696</v>
      </c>
      <c r="H820" s="8" t="s">
        <v>2697</v>
      </c>
      <c r="I820" s="8" t="s">
        <v>395</v>
      </c>
      <c r="J820" s="16" t="s">
        <v>2698</v>
      </c>
      <c r="K820" s="2" t="s">
        <v>1148</v>
      </c>
      <c r="L820" s="8" t="s">
        <v>2699</v>
      </c>
      <c r="M820" s="8" t="s">
        <v>27</v>
      </c>
      <c r="N820" s="2" t="s">
        <v>2700</v>
      </c>
      <c r="O820" s="8" t="s">
        <v>1013</v>
      </c>
      <c r="P820" s="8" t="s">
        <v>401</v>
      </c>
      <c r="Q820" s="12" t="str">
        <f>HYPERLINK("http://www.newson6.com/story/28881786/choctaw-county-law-enforcement-officers-shot-serving-warrant","http://www.newson6.com/story/28881786/choctaw-county-law-enforcement-officers-shot-serving-warrant")</f>
        <v>http://www.newson6.com/story/28881786/choctaw-county-law-enforcement-officers-shot-serving-warrant</v>
      </c>
      <c r="R820" s="8" t="s">
        <v>100</v>
      </c>
      <c r="S820" s="7" t="s">
        <v>28</v>
      </c>
      <c r="T820" s="6"/>
      <c r="U820" s="8"/>
    </row>
    <row r="821" spans="1:39" ht="13" customHeight="1">
      <c r="A821" s="8" t="s">
        <v>2688</v>
      </c>
      <c r="B821" s="16">
        <v>33</v>
      </c>
      <c r="C821" s="8" t="s">
        <v>20</v>
      </c>
      <c r="D821" s="8" t="s">
        <v>37</v>
      </c>
      <c r="E821" s="8" t="s">
        <v>2689</v>
      </c>
      <c r="F821" s="17">
        <v>42117</v>
      </c>
      <c r="G821" s="8" t="s">
        <v>2690</v>
      </c>
      <c r="H821" s="8" t="s">
        <v>2691</v>
      </c>
      <c r="I821" s="8" t="s">
        <v>69</v>
      </c>
      <c r="J821" s="16">
        <v>43050</v>
      </c>
      <c r="K821" s="2" t="s">
        <v>2692</v>
      </c>
      <c r="L821" s="8" t="s">
        <v>2693</v>
      </c>
      <c r="M821" s="8" t="s">
        <v>2297</v>
      </c>
      <c r="N821" s="2" t="s">
        <v>2694</v>
      </c>
      <c r="O821" s="8" t="s">
        <v>2624</v>
      </c>
      <c r="P821" s="8" t="s">
        <v>401</v>
      </c>
      <c r="Q821" s="12" t="str">
        <f>HYPERLINK("http://www.dispatch.com/content/stories/local/2015/04/27/Knox_County_jail_death.html","http://www.dispatch.com/content/stories/local/2015/04/27/Knox_County_jail_death.html")</f>
        <v>http://www.dispatch.com/content/stories/local/2015/04/27/Knox_County_jail_death.html</v>
      </c>
      <c r="R821" s="8" t="s">
        <v>555</v>
      </c>
      <c r="S821" s="7" t="s">
        <v>18</v>
      </c>
      <c r="T821" s="6"/>
      <c r="U821" s="8"/>
    </row>
    <row r="822" spans="1:39" ht="13" customHeight="1">
      <c r="A822" s="8" t="s">
        <v>2701</v>
      </c>
      <c r="B822" s="16">
        <v>39</v>
      </c>
      <c r="C822" s="8" t="s">
        <v>20</v>
      </c>
      <c r="D822" s="8" t="s">
        <v>21</v>
      </c>
      <c r="F822" s="17">
        <v>42116</v>
      </c>
      <c r="G822" s="8" t="s">
        <v>2702</v>
      </c>
      <c r="H822" s="8" t="s">
        <v>999</v>
      </c>
      <c r="I822" s="8" t="s">
        <v>209</v>
      </c>
      <c r="J822" s="16">
        <v>80303</v>
      </c>
      <c r="K822" s="2" t="s">
        <v>999</v>
      </c>
      <c r="L822" s="8" t="s">
        <v>2703</v>
      </c>
      <c r="M822" s="8" t="s">
        <v>27</v>
      </c>
      <c r="N822" s="2" t="s">
        <v>2704</v>
      </c>
      <c r="O822" s="8" t="s">
        <v>550</v>
      </c>
      <c r="P822" s="8" t="s">
        <v>401</v>
      </c>
      <c r="Q822" s="12" t="s">
        <v>2705</v>
      </c>
      <c r="R822" s="8" t="s">
        <v>100</v>
      </c>
      <c r="S822" s="7" t="s">
        <v>28</v>
      </c>
      <c r="T822" s="6"/>
      <c r="U822" s="8"/>
      <c r="AI822" s="8"/>
      <c r="AJ822" s="8"/>
      <c r="AK822" s="8"/>
      <c r="AL822" s="8"/>
      <c r="AM822" s="8"/>
    </row>
    <row r="823" spans="1:39" ht="13" customHeight="1">
      <c r="A823" s="8" t="s">
        <v>2706</v>
      </c>
      <c r="B823" s="16">
        <v>18</v>
      </c>
      <c r="C823" s="8" t="s">
        <v>20</v>
      </c>
      <c r="D823" s="8" t="s">
        <v>85</v>
      </c>
      <c r="E823" s="8" t="s">
        <v>2707</v>
      </c>
      <c r="F823" s="17">
        <v>42116</v>
      </c>
      <c r="G823" s="8" t="s">
        <v>2708</v>
      </c>
      <c r="H823" s="8" t="s">
        <v>2709</v>
      </c>
      <c r="I823" s="8" t="s">
        <v>244</v>
      </c>
      <c r="J823" s="16" t="s">
        <v>2710</v>
      </c>
      <c r="K823" s="2" t="s">
        <v>2711</v>
      </c>
      <c r="L823" s="8" t="s">
        <v>2712</v>
      </c>
      <c r="M823" s="8" t="s">
        <v>27</v>
      </c>
      <c r="N823" s="2" t="s">
        <v>2713</v>
      </c>
      <c r="O823" s="8" t="s">
        <v>1013</v>
      </c>
      <c r="P823" s="8" t="s">
        <v>1162</v>
      </c>
      <c r="Q823" s="12" t="s">
        <v>2714</v>
      </c>
      <c r="R823" s="8" t="s">
        <v>100</v>
      </c>
      <c r="S823" s="7" t="s">
        <v>18</v>
      </c>
      <c r="T823" s="6"/>
      <c r="U823" s="8"/>
    </row>
    <row r="824" spans="1:39" ht="13" customHeight="1">
      <c r="A824" s="8" t="s">
        <v>2727</v>
      </c>
      <c r="B824" s="16">
        <v>31</v>
      </c>
      <c r="C824" s="8" t="s">
        <v>20</v>
      </c>
      <c r="D824" s="8" t="s">
        <v>48</v>
      </c>
      <c r="E824" s="8" t="s">
        <v>2728</v>
      </c>
      <c r="F824" s="17">
        <v>42116</v>
      </c>
      <c r="G824" s="8" t="s">
        <v>2729</v>
      </c>
      <c r="H824" s="8" t="s">
        <v>929</v>
      </c>
      <c r="I824" s="8" t="s">
        <v>73</v>
      </c>
      <c r="J824" s="16" t="s">
        <v>2730</v>
      </c>
      <c r="K824" s="2" t="s">
        <v>74</v>
      </c>
      <c r="L824" s="8" t="s">
        <v>930</v>
      </c>
      <c r="M824" s="8" t="s">
        <v>27</v>
      </c>
      <c r="N824" s="2" t="s">
        <v>2731</v>
      </c>
      <c r="O824" s="8" t="s">
        <v>1013</v>
      </c>
      <c r="P824" s="8" t="s">
        <v>401</v>
      </c>
      <c r="Q824" s="12" t="s">
        <v>2732</v>
      </c>
      <c r="R824" s="8" t="s">
        <v>100</v>
      </c>
      <c r="S824" s="7" t="s">
        <v>28</v>
      </c>
      <c r="T824" s="6"/>
      <c r="U824" s="8"/>
    </row>
    <row r="825" spans="1:39" ht="13" customHeight="1">
      <c r="A825" s="8" t="s">
        <v>2719</v>
      </c>
      <c r="B825" s="16">
        <v>51</v>
      </c>
      <c r="C825" s="8" t="s">
        <v>20</v>
      </c>
      <c r="D825" s="8" t="s">
        <v>48</v>
      </c>
      <c r="E825" s="8" t="s">
        <v>2720</v>
      </c>
      <c r="F825" s="17">
        <v>42116</v>
      </c>
      <c r="G825" s="8" t="s">
        <v>2721</v>
      </c>
      <c r="H825" s="8" t="s">
        <v>2722</v>
      </c>
      <c r="I825" s="8" t="s">
        <v>123</v>
      </c>
      <c r="J825" s="16" t="s">
        <v>2723</v>
      </c>
      <c r="K825" s="2" t="s">
        <v>124</v>
      </c>
      <c r="L825" s="8" t="s">
        <v>2724</v>
      </c>
      <c r="M825" s="8" t="s">
        <v>27</v>
      </c>
      <c r="N825" s="2" t="s">
        <v>2725</v>
      </c>
      <c r="O825" s="8" t="s">
        <v>1013</v>
      </c>
      <c r="P825" s="8" t="s">
        <v>401</v>
      </c>
      <c r="Q825" s="12" t="s">
        <v>2726</v>
      </c>
      <c r="R825" s="8" t="s">
        <v>555</v>
      </c>
      <c r="S825" s="7" t="s">
        <v>28</v>
      </c>
      <c r="T825" s="6"/>
      <c r="U825" s="8"/>
    </row>
    <row r="826" spans="1:39" ht="13" customHeight="1">
      <c r="A826" s="8" t="s">
        <v>2715</v>
      </c>
      <c r="B826" s="16">
        <v>27</v>
      </c>
      <c r="C826" s="8" t="s">
        <v>20</v>
      </c>
      <c r="D826" s="8" t="s">
        <v>48</v>
      </c>
      <c r="F826" s="17">
        <v>42116</v>
      </c>
      <c r="G826" s="8" t="s">
        <v>2716</v>
      </c>
      <c r="H826" s="8" t="s">
        <v>1968</v>
      </c>
      <c r="I826" s="8" t="s">
        <v>45</v>
      </c>
      <c r="J826" s="16" t="s">
        <v>2717</v>
      </c>
      <c r="K826" s="2" t="s">
        <v>309</v>
      </c>
      <c r="L826" s="8" t="s">
        <v>736</v>
      </c>
      <c r="M826" s="8" t="s">
        <v>27</v>
      </c>
      <c r="N826" s="2" t="s">
        <v>2718</v>
      </c>
      <c r="O826" s="8" t="s">
        <v>1013</v>
      </c>
      <c r="P826" s="8" t="s">
        <v>401</v>
      </c>
      <c r="Q826" s="12" t="str">
        <f>HYPERLINK("http://www.bakersfieldnow.com/news/local/Man-shot-in-Delano-300955291.html","http://www.bakersfieldnow.com/news/local/Man-shot-in-Delano-300955291.html")</f>
        <v>http://www.bakersfieldnow.com/news/local/Man-shot-in-Delano-300955291.html</v>
      </c>
      <c r="R826" s="8" t="s">
        <v>967</v>
      </c>
      <c r="S826" s="7" t="s">
        <v>18</v>
      </c>
      <c r="T826" s="6"/>
      <c r="U826" s="8"/>
    </row>
    <row r="827" spans="1:39" ht="13" customHeight="1">
      <c r="A827" s="8" t="s">
        <v>2733</v>
      </c>
      <c r="B827" s="16">
        <v>59</v>
      </c>
      <c r="C827" s="8" t="s">
        <v>20</v>
      </c>
      <c r="D827" s="8" t="s">
        <v>37</v>
      </c>
      <c r="F827" s="17">
        <v>42116</v>
      </c>
      <c r="G827" s="8" t="s">
        <v>2734</v>
      </c>
      <c r="H827" s="8" t="s">
        <v>51</v>
      </c>
      <c r="I827" s="8" t="s">
        <v>32</v>
      </c>
      <c r="J827" s="16" t="s">
        <v>2735</v>
      </c>
      <c r="K827" s="2" t="s">
        <v>1010</v>
      </c>
      <c r="L827" s="8" t="s">
        <v>2736</v>
      </c>
      <c r="M827" s="8" t="s">
        <v>27</v>
      </c>
      <c r="N827" s="2" t="s">
        <v>2737</v>
      </c>
      <c r="O827" s="8" t="s">
        <v>400</v>
      </c>
      <c r="P827" s="8" t="s">
        <v>401</v>
      </c>
      <c r="Q827" s="12" t="s">
        <v>2738</v>
      </c>
      <c r="R827" s="8" t="s">
        <v>100</v>
      </c>
      <c r="S827" s="7" t="s">
        <v>28</v>
      </c>
      <c r="T827" s="6"/>
      <c r="U827" s="8"/>
    </row>
    <row r="828" spans="1:39" ht="13" customHeight="1">
      <c r="A828" s="8" t="s">
        <v>2742</v>
      </c>
      <c r="B828" s="16">
        <v>35</v>
      </c>
      <c r="C828" s="8" t="s">
        <v>20</v>
      </c>
      <c r="D828" s="8" t="s">
        <v>85</v>
      </c>
      <c r="E828" s="8" t="s">
        <v>2743</v>
      </c>
      <c r="F828" s="17">
        <v>42115</v>
      </c>
      <c r="G828" s="8" t="s">
        <v>2744</v>
      </c>
      <c r="H828" s="8" t="s">
        <v>672</v>
      </c>
      <c r="I828" s="8" t="s">
        <v>81</v>
      </c>
      <c r="J828" s="16" t="s">
        <v>2745</v>
      </c>
      <c r="K828" s="2" t="s">
        <v>672</v>
      </c>
      <c r="L828" s="8" t="s">
        <v>2487</v>
      </c>
      <c r="M828" s="8" t="s">
        <v>27</v>
      </c>
      <c r="N828" s="2" t="s">
        <v>2746</v>
      </c>
      <c r="O828" s="8" t="s">
        <v>1013</v>
      </c>
      <c r="P828" s="8" t="s">
        <v>401</v>
      </c>
      <c r="Q828" s="12" t="str">
        <f>HYPERLINK("http://www.nj.com/middlesex/index.ssf/2015/04/man_killed_by_state_trooper_released_from_state_pr.html","http://www.nj.com/middlesex/index.ssf/2015/04/man_killed_by_state_trooper_released_from_state_pr.html")</f>
        <v>http://www.nj.com/middlesex/index.ssf/2015/04/man_killed_by_state_trooper_released_from_state_pr.html</v>
      </c>
      <c r="R828" s="8" t="s">
        <v>100</v>
      </c>
      <c r="S828" s="7" t="s">
        <v>379</v>
      </c>
      <c r="T828" s="6"/>
      <c r="U828" s="8"/>
    </row>
    <row r="829" spans="1:39" ht="13" customHeight="1">
      <c r="A829" s="8" t="s">
        <v>2739</v>
      </c>
      <c r="B829" s="16">
        <v>30</v>
      </c>
      <c r="C829" s="8" t="s">
        <v>20</v>
      </c>
      <c r="D829" s="8" t="s">
        <v>85</v>
      </c>
      <c r="E829" s="8" t="str">
        <f>HYPERLINK("http://www.midhudsonnews.com/News/2015/April/24/Fishkill_inmate_Harrell-24Apr15.htm","http://www.midhudsonnews.com/News/2015/April/24/Fishkill_inmate_Harrell-24Apr15.htm")</f>
        <v>http://www.midhudsonnews.com/News/2015/April/24/Fishkill_inmate_Harrell-24Apr15.htm</v>
      </c>
      <c r="F829" s="17">
        <v>42115</v>
      </c>
      <c r="G829" s="8" t="s">
        <v>2740</v>
      </c>
      <c r="H829" s="8" t="s">
        <v>2471</v>
      </c>
      <c r="I829" s="8" t="s">
        <v>423</v>
      </c>
      <c r="J829" s="16">
        <v>12508</v>
      </c>
      <c r="K829" s="2" t="s">
        <v>2473</v>
      </c>
      <c r="L829" s="8" t="s">
        <v>2741</v>
      </c>
      <c r="M829" s="8" t="s">
        <v>2297</v>
      </c>
      <c r="P829" s="8" t="s">
        <v>401</v>
      </c>
      <c r="Q829" s="12" t="s">
        <v>21301</v>
      </c>
      <c r="S829" s="7" t="s">
        <v>18</v>
      </c>
      <c r="T829" s="6"/>
      <c r="U829" s="8"/>
    </row>
    <row r="830" spans="1:39" ht="13" customHeight="1">
      <c r="A830" s="8" t="s">
        <v>2747</v>
      </c>
      <c r="B830" s="16">
        <v>35</v>
      </c>
      <c r="C830" s="8" t="s">
        <v>20</v>
      </c>
      <c r="D830" s="8" t="s">
        <v>48</v>
      </c>
      <c r="F830" s="17">
        <v>42115</v>
      </c>
      <c r="G830" s="8" t="s">
        <v>2748</v>
      </c>
      <c r="H830" s="8" t="s">
        <v>98</v>
      </c>
      <c r="I830" s="8" t="s">
        <v>45</v>
      </c>
      <c r="J830" s="16" t="s">
        <v>2749</v>
      </c>
      <c r="K830" s="2" t="s">
        <v>98</v>
      </c>
      <c r="L830" s="8" t="s">
        <v>99</v>
      </c>
      <c r="M830" s="8" t="s">
        <v>27</v>
      </c>
      <c r="N830" s="2" t="s">
        <v>2750</v>
      </c>
      <c r="O830" s="8" t="s">
        <v>1013</v>
      </c>
      <c r="P830" s="8" t="s">
        <v>401</v>
      </c>
      <c r="Q830" s="12" t="str">
        <f>HYPERLINK("http://www.latimes.com/local/lanow/la-me-ln-lapd-lincoln-heights-shooting-20150422-story.html","http://www.latimes.com/local/lanow/la-me-ln-lapd-lincoln-heights-shooting-20150422-story.html")</f>
        <v>http://www.latimes.com/local/lanow/la-me-ln-lapd-lincoln-heights-shooting-20150422-story.html</v>
      </c>
      <c r="R830" s="8" t="s">
        <v>555</v>
      </c>
      <c r="S830" s="7" t="s">
        <v>28</v>
      </c>
      <c r="T830" s="6"/>
      <c r="U830" s="8"/>
    </row>
    <row r="831" spans="1:39" ht="13" customHeight="1">
      <c r="A831" s="8" t="s">
        <v>2751</v>
      </c>
      <c r="B831" s="16">
        <v>37</v>
      </c>
      <c r="C831" s="8" t="s">
        <v>20</v>
      </c>
      <c r="D831" s="8" t="s">
        <v>139</v>
      </c>
      <c r="E831" s="8" t="s">
        <v>2752</v>
      </c>
      <c r="F831" s="17">
        <v>42115</v>
      </c>
      <c r="G831" s="8" t="s">
        <v>2753</v>
      </c>
      <c r="H831" s="8" t="s">
        <v>1437</v>
      </c>
      <c r="I831" s="8" t="s">
        <v>303</v>
      </c>
      <c r="J831" s="16" t="s">
        <v>2754</v>
      </c>
      <c r="K831" s="2" t="s">
        <v>886</v>
      </c>
      <c r="L831" s="8" t="s">
        <v>2755</v>
      </c>
      <c r="M831" s="8" t="s">
        <v>27</v>
      </c>
      <c r="N831" s="2" t="s">
        <v>2756</v>
      </c>
      <c r="O831" s="8" t="s">
        <v>400</v>
      </c>
      <c r="P831" s="8" t="s">
        <v>401</v>
      </c>
      <c r="Q831" s="12" t="s">
        <v>2757</v>
      </c>
      <c r="R831" s="8" t="s">
        <v>29</v>
      </c>
      <c r="S831" s="7" t="s">
        <v>18</v>
      </c>
      <c r="T831" s="6"/>
      <c r="U831" s="8"/>
    </row>
    <row r="832" spans="1:39" ht="13" customHeight="1">
      <c r="A832" s="8" t="s">
        <v>2758</v>
      </c>
      <c r="B832" s="16">
        <v>40</v>
      </c>
      <c r="C832" s="8" t="s">
        <v>20</v>
      </c>
      <c r="D832" s="8" t="s">
        <v>37</v>
      </c>
      <c r="E832" s="8" t="s">
        <v>2759</v>
      </c>
      <c r="F832" s="17">
        <v>42115</v>
      </c>
      <c r="G832" s="8" t="s">
        <v>2760</v>
      </c>
      <c r="H832" s="8" t="s">
        <v>2761</v>
      </c>
      <c r="I832" s="8" t="s">
        <v>671</v>
      </c>
      <c r="J832" s="16" t="s">
        <v>2762</v>
      </c>
      <c r="K832" s="2" t="s">
        <v>2763</v>
      </c>
      <c r="L832" s="8" t="s">
        <v>2764</v>
      </c>
      <c r="M832" s="8" t="s">
        <v>391</v>
      </c>
      <c r="N832" s="2" t="s">
        <v>2765</v>
      </c>
      <c r="O832" s="8" t="s">
        <v>1013</v>
      </c>
      <c r="P832" s="8" t="s">
        <v>401</v>
      </c>
      <c r="Q832" s="12" t="str">
        <f>HYPERLINK("http://www.wtok.com/news/headlines/Lauderdale-County-Man-Dies-after-Arrest-300851931.html","http://www.wtok.com/news/headlines/Lauderdale-County-Man-Dies-after-Arrest-300851931.html")</f>
        <v>http://www.wtok.com/news/headlines/Lauderdale-County-Man-Dies-after-Arrest-300851931.html</v>
      </c>
      <c r="R832" s="8" t="s">
        <v>967</v>
      </c>
      <c r="S832" s="7" t="s">
        <v>18</v>
      </c>
      <c r="T832" s="6"/>
      <c r="U832" s="8"/>
    </row>
    <row r="833" spans="1:46" ht="13" customHeight="1">
      <c r="A833" s="8" t="s">
        <v>2766</v>
      </c>
      <c r="B833" s="16">
        <v>24</v>
      </c>
      <c r="C833" s="8" t="s">
        <v>20</v>
      </c>
      <c r="D833" s="8" t="s">
        <v>48</v>
      </c>
      <c r="E833" s="8" t="s">
        <v>2767</v>
      </c>
      <c r="F833" s="17">
        <v>42114</v>
      </c>
      <c r="H833" s="8" t="s">
        <v>2768</v>
      </c>
      <c r="I833" s="8" t="s">
        <v>73</v>
      </c>
      <c r="J833" s="16">
        <v>78574</v>
      </c>
      <c r="K833" s="2" t="s">
        <v>1398</v>
      </c>
      <c r="L833" s="8" t="s">
        <v>1399</v>
      </c>
      <c r="M833" s="8" t="s">
        <v>27</v>
      </c>
      <c r="N833" s="2" t="s">
        <v>2769</v>
      </c>
      <c r="O833" s="8" t="s">
        <v>1013</v>
      </c>
      <c r="P833" s="8" t="s">
        <v>401</v>
      </c>
      <c r="Q833" s="12" t="s">
        <v>2770</v>
      </c>
      <c r="R833" s="8" t="s">
        <v>100</v>
      </c>
      <c r="S833" s="7" t="s">
        <v>28</v>
      </c>
      <c r="T833" s="6"/>
      <c r="U833" s="8"/>
    </row>
    <row r="834" spans="1:46" ht="13" customHeight="1">
      <c r="A834" s="8" t="s">
        <v>2771</v>
      </c>
      <c r="B834" s="16">
        <v>44</v>
      </c>
      <c r="C834" s="8" t="s">
        <v>20</v>
      </c>
      <c r="D834" s="8" t="s">
        <v>37</v>
      </c>
      <c r="E834" s="8" t="s">
        <v>2772</v>
      </c>
      <c r="F834" s="17">
        <v>42114</v>
      </c>
      <c r="G834" s="8" t="s">
        <v>2773</v>
      </c>
      <c r="H834" s="8" t="s">
        <v>2774</v>
      </c>
      <c r="I834" s="8" t="s">
        <v>463</v>
      </c>
      <c r="J834" s="16" t="s">
        <v>2775</v>
      </c>
      <c r="K834" s="2" t="s">
        <v>1236</v>
      </c>
      <c r="L834" s="8" t="s">
        <v>2776</v>
      </c>
      <c r="M834" s="8" t="s">
        <v>27</v>
      </c>
      <c r="N834" s="2" t="s">
        <v>2777</v>
      </c>
      <c r="O834" s="8" t="s">
        <v>1013</v>
      </c>
      <c r="P834" s="8" t="s">
        <v>401</v>
      </c>
      <c r="Q834" s="12" t="str">
        <f>HYPERLINK("http://www.suntelegraph.com/story/2015/04/21/community/leasa-hlavinka-husband-was-a-doting-father/6849.html","http://www.suntelegraph.com/story/2015/04/21/community/leasa-hlavinka-husband-was-a-doting-father/6849.html")</f>
        <v>http://www.suntelegraph.com/story/2015/04/21/community/leasa-hlavinka-husband-was-a-doting-father/6849.html</v>
      </c>
      <c r="R834" s="8" t="s">
        <v>100</v>
      </c>
      <c r="S834" s="7" t="s">
        <v>28</v>
      </c>
      <c r="T834" s="6"/>
      <c r="U834" s="8"/>
    </row>
    <row r="835" spans="1:46" ht="13" customHeight="1">
      <c r="A835" s="8" t="s">
        <v>2778</v>
      </c>
      <c r="B835" s="16">
        <v>25</v>
      </c>
      <c r="C835" s="8" t="s">
        <v>20</v>
      </c>
      <c r="D835" s="8" t="s">
        <v>85</v>
      </c>
      <c r="E835" s="8" t="s">
        <v>2779</v>
      </c>
      <c r="F835" s="17">
        <v>42113</v>
      </c>
      <c r="G835" s="8" t="s">
        <v>2780</v>
      </c>
      <c r="H835" s="8" t="s">
        <v>1596</v>
      </c>
      <c r="I835" s="8" t="s">
        <v>52</v>
      </c>
      <c r="J835" s="16" t="s">
        <v>2781</v>
      </c>
      <c r="K835" s="2" t="s">
        <v>4727</v>
      </c>
      <c r="L835" s="8" t="s">
        <v>2782</v>
      </c>
      <c r="M835" s="8" t="s">
        <v>2297</v>
      </c>
      <c r="N835" s="2" t="s">
        <v>20823</v>
      </c>
      <c r="O835" s="8" t="s">
        <v>400</v>
      </c>
      <c r="P835" s="8" t="s">
        <v>1162</v>
      </c>
      <c r="Q835" s="12" t="s">
        <v>21300</v>
      </c>
      <c r="R835" s="8" t="s">
        <v>100</v>
      </c>
      <c r="S835" s="7" t="s">
        <v>18</v>
      </c>
      <c r="T835" s="6"/>
      <c r="U835" s="8"/>
    </row>
    <row r="836" spans="1:46" ht="13" customHeight="1">
      <c r="A836" s="8" t="s">
        <v>2784</v>
      </c>
      <c r="B836" s="16">
        <v>33</v>
      </c>
      <c r="C836" s="8" t="s">
        <v>20</v>
      </c>
      <c r="D836" s="8" t="s">
        <v>85</v>
      </c>
      <c r="E836" s="8" t="s">
        <v>2785</v>
      </c>
      <c r="F836" s="17">
        <v>42113</v>
      </c>
      <c r="G836" s="8" t="s">
        <v>2786</v>
      </c>
      <c r="H836" s="8" t="s">
        <v>575</v>
      </c>
      <c r="I836" s="8" t="s">
        <v>73</v>
      </c>
      <c r="J836" s="16" t="s">
        <v>2787</v>
      </c>
      <c r="K836" s="2" t="s">
        <v>576</v>
      </c>
      <c r="L836" s="8" t="s">
        <v>577</v>
      </c>
      <c r="M836" s="8" t="s">
        <v>391</v>
      </c>
      <c r="N836" s="2" t="s">
        <v>2788</v>
      </c>
      <c r="O836" s="8" t="s">
        <v>400</v>
      </c>
      <c r="P836" s="8" t="s">
        <v>401</v>
      </c>
      <c r="Q836" s="12" t="s">
        <v>2783</v>
      </c>
      <c r="R836" s="8" t="s">
        <v>967</v>
      </c>
      <c r="S836" s="7" t="s">
        <v>18</v>
      </c>
      <c r="T836" s="6"/>
      <c r="U836" s="8"/>
    </row>
    <row r="837" spans="1:46" ht="13" customHeight="1">
      <c r="A837" s="8" t="s">
        <v>2790</v>
      </c>
      <c r="B837" s="16">
        <v>40</v>
      </c>
      <c r="C837" s="8" t="s">
        <v>20</v>
      </c>
      <c r="D837" s="8" t="s">
        <v>37</v>
      </c>
      <c r="F837" s="17">
        <v>42113</v>
      </c>
      <c r="G837" s="8" t="s">
        <v>2791</v>
      </c>
      <c r="H837" s="8" t="s">
        <v>2792</v>
      </c>
      <c r="I837" s="8" t="s">
        <v>315</v>
      </c>
      <c r="J837" s="16" t="s">
        <v>2793</v>
      </c>
      <c r="K837" s="2" t="s">
        <v>2794</v>
      </c>
      <c r="L837" s="8" t="s">
        <v>2795</v>
      </c>
      <c r="M837" s="8" t="s">
        <v>27</v>
      </c>
      <c r="N837" s="2" t="s">
        <v>2796</v>
      </c>
      <c r="O837" s="8" t="s">
        <v>1013</v>
      </c>
      <c r="P837" s="8" t="s">
        <v>401</v>
      </c>
      <c r="Q837" s="12" t="str">
        <f>HYPERLINK("http://www.kentucky.com/2015/04/19/3809168/wilmore-man-killed-by-police-had.html","http://www.kentucky.com/2015/04/19/3809168/wilmore-man-killed-by-police-had.html")</f>
        <v>http://www.kentucky.com/2015/04/19/3809168/wilmore-man-killed-by-police-had.html</v>
      </c>
      <c r="R837" s="8" t="s">
        <v>29</v>
      </c>
      <c r="S837" s="7" t="s">
        <v>28</v>
      </c>
      <c r="T837" s="6"/>
      <c r="U837" s="8"/>
      <c r="V837" s="8"/>
      <c r="W837" s="8"/>
      <c r="X837" s="8"/>
    </row>
    <row r="838" spans="1:46" ht="13" customHeight="1">
      <c r="A838" s="8" t="s">
        <v>2797</v>
      </c>
      <c r="B838" s="16">
        <v>38</v>
      </c>
      <c r="C838" s="8" t="s">
        <v>20</v>
      </c>
      <c r="D838" s="8" t="s">
        <v>37</v>
      </c>
      <c r="E838" s="8" t="s">
        <v>2798</v>
      </c>
      <c r="F838" s="17">
        <v>42113</v>
      </c>
      <c r="G838" s="8" t="s">
        <v>2799</v>
      </c>
      <c r="H838" s="8" t="s">
        <v>2800</v>
      </c>
      <c r="I838" s="8" t="s">
        <v>363</v>
      </c>
      <c r="J838" s="16" t="s">
        <v>2801</v>
      </c>
      <c r="K838" s="2" t="s">
        <v>2802</v>
      </c>
      <c r="L838" s="8" t="s">
        <v>2803</v>
      </c>
      <c r="M838" s="8" t="s">
        <v>27</v>
      </c>
      <c r="N838" s="2" t="s">
        <v>2804</v>
      </c>
      <c r="O838" s="8" t="s">
        <v>1013</v>
      </c>
      <c r="P838" s="8" t="s">
        <v>401</v>
      </c>
      <c r="Q838" s="12" t="s">
        <v>2805</v>
      </c>
      <c r="R838" s="8" t="s">
        <v>100</v>
      </c>
      <c r="S838" s="7" t="s">
        <v>28</v>
      </c>
      <c r="T838" s="6"/>
      <c r="U838" s="8"/>
    </row>
    <row r="839" spans="1:46" ht="13" customHeight="1">
      <c r="A839" s="8" t="s">
        <v>2806</v>
      </c>
      <c r="B839" s="16">
        <v>23</v>
      </c>
      <c r="C839" s="8" t="s">
        <v>20</v>
      </c>
      <c r="D839" s="8" t="s">
        <v>85</v>
      </c>
      <c r="E839" s="8" t="s">
        <v>2807</v>
      </c>
      <c r="F839" s="17">
        <v>42112</v>
      </c>
      <c r="G839" s="8" t="s">
        <v>2808</v>
      </c>
      <c r="H839" s="8" t="s">
        <v>2809</v>
      </c>
      <c r="I839" s="8" t="s">
        <v>431</v>
      </c>
      <c r="J839" s="16" t="s">
        <v>2810</v>
      </c>
      <c r="K839" s="2" t="s">
        <v>712</v>
      </c>
      <c r="L839" s="8" t="s">
        <v>7201</v>
      </c>
      <c r="M839" s="8" t="s">
        <v>27</v>
      </c>
      <c r="N839" s="2" t="s">
        <v>2811</v>
      </c>
      <c r="O839" s="8" t="s">
        <v>1013</v>
      </c>
      <c r="P839" s="8" t="s">
        <v>401</v>
      </c>
      <c r="Q839" s="12" t="s">
        <v>2812</v>
      </c>
      <c r="R839" s="8" t="s">
        <v>555</v>
      </c>
      <c r="S839" s="7" t="s">
        <v>28</v>
      </c>
      <c r="T839" s="6"/>
      <c r="U839" s="8"/>
    </row>
    <row r="840" spans="1:46" ht="13" customHeight="1">
      <c r="A840" s="8" t="s">
        <v>20677</v>
      </c>
      <c r="B840" s="16">
        <v>40</v>
      </c>
      <c r="C840" s="8" t="s">
        <v>20</v>
      </c>
      <c r="D840" s="8" t="s">
        <v>85</v>
      </c>
      <c r="E840" s="8" t="s">
        <v>20678</v>
      </c>
      <c r="F840" s="17">
        <v>42112</v>
      </c>
      <c r="G840" s="8" t="s">
        <v>20679</v>
      </c>
      <c r="H840" s="8" t="s">
        <v>51</v>
      </c>
      <c r="I840" s="8" t="s">
        <v>319</v>
      </c>
      <c r="J840" s="3" t="s">
        <v>1841</v>
      </c>
      <c r="K840" s="3" t="s">
        <v>1842</v>
      </c>
      <c r="L840" s="3" t="s">
        <v>1843</v>
      </c>
      <c r="M840" s="3" t="s">
        <v>2297</v>
      </c>
      <c r="N840" s="3" t="s">
        <v>21305</v>
      </c>
      <c r="O840" s="3" t="s">
        <v>1013</v>
      </c>
      <c r="P840" s="24" t="s">
        <v>401</v>
      </c>
      <c r="Q840" s="20" t="s">
        <v>20680</v>
      </c>
      <c r="R840" s="3" t="s">
        <v>967</v>
      </c>
      <c r="S840" s="3" t="s">
        <v>18</v>
      </c>
      <c r="T840" s="3"/>
      <c r="U840" s="3"/>
      <c r="V840" s="3"/>
      <c r="W840" s="3"/>
      <c r="X840" s="3"/>
      <c r="Y840" s="3"/>
      <c r="Z840" s="3"/>
      <c r="AA840" s="3"/>
      <c r="AB840" s="3"/>
      <c r="AC840" s="23"/>
      <c r="AD840" s="23"/>
      <c r="AE840" s="23"/>
      <c r="AF840" s="23"/>
      <c r="AG840" s="23"/>
      <c r="AH840" s="23"/>
      <c r="AI840" s="23"/>
      <c r="AJ840" s="23"/>
      <c r="AK840" s="23"/>
      <c r="AL840" s="23"/>
      <c r="AM840" s="23"/>
      <c r="AN840" s="23"/>
      <c r="AO840" s="23"/>
      <c r="AP840" s="23"/>
      <c r="AQ840" s="23"/>
      <c r="AR840" s="23"/>
      <c r="AS840" s="23"/>
      <c r="AT840" s="23"/>
    </row>
    <row r="841" spans="1:46" ht="13" customHeight="1">
      <c r="A841" s="8" t="s">
        <v>2813</v>
      </c>
      <c r="B841" s="16">
        <v>43</v>
      </c>
      <c r="C841" s="8" t="s">
        <v>20</v>
      </c>
      <c r="D841" s="8" t="s">
        <v>48</v>
      </c>
      <c r="E841" s="8" t="s">
        <v>2814</v>
      </c>
      <c r="F841" s="17">
        <v>42112</v>
      </c>
      <c r="G841" s="8" t="s">
        <v>2815</v>
      </c>
      <c r="H841" s="8" t="s">
        <v>634</v>
      </c>
      <c r="I841" s="8" t="s">
        <v>123</v>
      </c>
      <c r="J841" s="16" t="s">
        <v>2816</v>
      </c>
      <c r="K841" s="2" t="s">
        <v>635</v>
      </c>
      <c r="L841" s="8" t="s">
        <v>636</v>
      </c>
      <c r="M841" s="8" t="s">
        <v>27</v>
      </c>
      <c r="N841" s="2" t="s">
        <v>2817</v>
      </c>
      <c r="O841" s="8" t="s">
        <v>1013</v>
      </c>
      <c r="P841" s="8" t="s">
        <v>401</v>
      </c>
      <c r="Q841" s="12" t="str">
        <f>HYPERLINK("http://www.azfamily.com/story/28852387/phoenix-pds-mental-health-squad-looks-to-reduce-violent-encounters","http://www.azfamily.com/story/28852387/phoenix-pds-mental-health-squad-looks-to-reduce-violent-encounters")</f>
        <v>http://www.azfamily.com/story/28852387/phoenix-pds-mental-health-squad-looks-to-reduce-violent-encounters</v>
      </c>
      <c r="R841" s="8" t="s">
        <v>555</v>
      </c>
      <c r="S841" s="7" t="s">
        <v>28</v>
      </c>
      <c r="T841" s="6"/>
      <c r="U841" s="8"/>
    </row>
    <row r="842" spans="1:46" ht="13" customHeight="1">
      <c r="A842" s="8" t="s">
        <v>2818</v>
      </c>
      <c r="B842" s="16">
        <v>45</v>
      </c>
      <c r="C842" s="8" t="s">
        <v>20</v>
      </c>
      <c r="D842" s="8" t="s">
        <v>37</v>
      </c>
      <c r="E842" s="8" t="s">
        <v>2819</v>
      </c>
      <c r="F842" s="17">
        <v>42112</v>
      </c>
      <c r="G842" s="8" t="s">
        <v>2820</v>
      </c>
      <c r="H842" s="8" t="s">
        <v>2821</v>
      </c>
      <c r="I842" s="8" t="s">
        <v>62</v>
      </c>
      <c r="J842" s="16" t="s">
        <v>2822</v>
      </c>
      <c r="K842" s="2" t="s">
        <v>2823</v>
      </c>
      <c r="L842" s="8" t="s">
        <v>2824</v>
      </c>
      <c r="M842" s="8" t="s">
        <v>27</v>
      </c>
      <c r="N842" s="2" t="s">
        <v>2825</v>
      </c>
      <c r="O842" s="8" t="s">
        <v>1013</v>
      </c>
      <c r="P842" s="8" t="s">
        <v>401</v>
      </c>
      <c r="Q842" s="12" t="s">
        <v>2826</v>
      </c>
      <c r="R842" s="8" t="s">
        <v>100</v>
      </c>
      <c r="S842" s="7" t="s">
        <v>28</v>
      </c>
      <c r="T842" s="6"/>
      <c r="U842" s="8"/>
    </row>
    <row r="843" spans="1:46" ht="13" customHeight="1">
      <c r="A843" s="8" t="s">
        <v>2827</v>
      </c>
      <c r="B843" s="16">
        <v>18</v>
      </c>
      <c r="C843" s="8" t="s">
        <v>20</v>
      </c>
      <c r="D843" s="8" t="s">
        <v>85</v>
      </c>
      <c r="E843" s="8" t="s">
        <v>2828</v>
      </c>
      <c r="F843" s="17">
        <v>42111</v>
      </c>
      <c r="G843" s="8" t="s">
        <v>2829</v>
      </c>
      <c r="H843" s="8" t="s">
        <v>87</v>
      </c>
      <c r="I843" s="8" t="s">
        <v>44</v>
      </c>
      <c r="J843" s="16" t="s">
        <v>1681</v>
      </c>
      <c r="K843" s="2" t="s">
        <v>88</v>
      </c>
      <c r="L843" s="8" t="s">
        <v>89</v>
      </c>
      <c r="M843" s="8" t="s">
        <v>27</v>
      </c>
      <c r="N843" s="2" t="s">
        <v>2830</v>
      </c>
      <c r="O843" s="8" t="s">
        <v>1013</v>
      </c>
      <c r="P843" s="8" t="s">
        <v>401</v>
      </c>
      <c r="Q843" s="12" t="str">
        <f>HYPERLINK("http://www.chicagotribune.com/news/local/breaking/chi-man-fatally-shot-by-police-in-south-shore-20150417-story.html","http://www.chicagotribune.com/news/local/breaking/chi-man-fatally-shot-by-police-in-south-shore-20150417-story.html")</f>
        <v>http://www.chicagotribune.com/news/local/breaking/chi-man-fatally-shot-by-police-in-south-shore-20150417-story.html</v>
      </c>
      <c r="R843" s="8" t="s">
        <v>100</v>
      </c>
      <c r="S843" s="7" t="s">
        <v>28</v>
      </c>
      <c r="T843" s="6"/>
      <c r="U843" s="8"/>
    </row>
    <row r="844" spans="1:46" ht="13" customHeight="1">
      <c r="A844" s="8" t="s">
        <v>2831</v>
      </c>
      <c r="B844" s="16">
        <v>31</v>
      </c>
      <c r="C844" s="8" t="s">
        <v>20</v>
      </c>
      <c r="D844" s="8" t="s">
        <v>85</v>
      </c>
      <c r="F844" s="17">
        <v>42111</v>
      </c>
      <c r="G844" s="8" t="s">
        <v>2832</v>
      </c>
      <c r="H844" s="8" t="s">
        <v>2833</v>
      </c>
      <c r="I844" s="8" t="s">
        <v>52</v>
      </c>
      <c r="J844" s="16" t="s">
        <v>2834</v>
      </c>
      <c r="K844" s="2" t="s">
        <v>118</v>
      </c>
      <c r="L844" s="8" t="s">
        <v>2835</v>
      </c>
      <c r="M844" s="8" t="s">
        <v>391</v>
      </c>
      <c r="N844" s="2" t="s">
        <v>2836</v>
      </c>
      <c r="O844" s="8" t="s">
        <v>400</v>
      </c>
      <c r="P844" s="8" t="s">
        <v>401</v>
      </c>
      <c r="Q844" s="12" t="s">
        <v>2789</v>
      </c>
      <c r="R844" s="8" t="s">
        <v>967</v>
      </c>
      <c r="S844" s="7" t="s">
        <v>18</v>
      </c>
      <c r="T844" s="6"/>
      <c r="U844" s="8"/>
    </row>
    <row r="845" spans="1:46" ht="13" customHeight="1">
      <c r="A845" s="8" t="s">
        <v>2837</v>
      </c>
      <c r="B845" s="16">
        <v>29</v>
      </c>
      <c r="C845" s="8" t="s">
        <v>20</v>
      </c>
      <c r="D845" s="8" t="s">
        <v>48</v>
      </c>
      <c r="E845" s="8" t="s">
        <v>2838</v>
      </c>
      <c r="F845" s="17">
        <v>42111</v>
      </c>
      <c r="G845" s="8" t="s">
        <v>2839</v>
      </c>
      <c r="H845" s="8" t="s">
        <v>785</v>
      </c>
      <c r="I845" s="8" t="s">
        <v>45</v>
      </c>
      <c r="J845" s="16" t="s">
        <v>2840</v>
      </c>
      <c r="K845" s="2" t="s">
        <v>786</v>
      </c>
      <c r="L845" s="8" t="s">
        <v>2841</v>
      </c>
      <c r="M845" s="8" t="s">
        <v>27</v>
      </c>
      <c r="N845" s="2" t="s">
        <v>2842</v>
      </c>
      <c r="O845" s="8" t="s">
        <v>1013</v>
      </c>
      <c r="P845" s="8" t="s">
        <v>401</v>
      </c>
      <c r="Q845" s="12" t="str">
        <f>HYPERLINK("http://www.pe.com/articles/car-765208-officers-sheriff.html","http://www.pe.com/articles/car-765208-officers-sheriff.html")</f>
        <v>http://www.pe.com/articles/car-765208-officers-sheriff.html</v>
      </c>
      <c r="R845" s="8" t="s">
        <v>100</v>
      </c>
      <c r="S845" s="7" t="s">
        <v>28</v>
      </c>
      <c r="T845" s="6"/>
      <c r="U845" s="8"/>
    </row>
    <row r="846" spans="1:46" ht="13" customHeight="1">
      <c r="A846" s="8" t="s">
        <v>2843</v>
      </c>
      <c r="B846" s="16" t="s">
        <v>29</v>
      </c>
      <c r="C846" s="8" t="s">
        <v>20</v>
      </c>
      <c r="D846" s="8" t="s">
        <v>85</v>
      </c>
      <c r="F846" s="17">
        <v>42110</v>
      </c>
      <c r="H846" s="8" t="s">
        <v>21388</v>
      </c>
      <c r="I846" s="8" t="s">
        <v>52</v>
      </c>
      <c r="J846" s="16" t="s">
        <v>2844</v>
      </c>
      <c r="K846" s="2" t="s">
        <v>2845</v>
      </c>
      <c r="L846" s="2" t="s">
        <v>21389</v>
      </c>
      <c r="M846" s="2" t="s">
        <v>379</v>
      </c>
      <c r="N846" s="2" t="s">
        <v>2846</v>
      </c>
      <c r="O846" s="8" t="s">
        <v>1013</v>
      </c>
      <c r="P846" s="8" t="s">
        <v>401</v>
      </c>
      <c r="Q846" s="12" t="s">
        <v>2847</v>
      </c>
      <c r="R846" s="8" t="s">
        <v>100</v>
      </c>
      <c r="S846" s="7" t="s">
        <v>379</v>
      </c>
      <c r="T846" s="6"/>
      <c r="U846" s="8"/>
    </row>
    <row r="847" spans="1:46" ht="13" customHeight="1">
      <c r="A847" s="8" t="s">
        <v>2848</v>
      </c>
      <c r="B847" s="16">
        <v>47</v>
      </c>
      <c r="C847" s="8" t="s">
        <v>20</v>
      </c>
      <c r="D847" s="8" t="s">
        <v>48</v>
      </c>
      <c r="F847" s="17">
        <v>42110</v>
      </c>
      <c r="G847" s="8" t="s">
        <v>2849</v>
      </c>
      <c r="H847" s="8" t="s">
        <v>2850</v>
      </c>
      <c r="I847" s="8" t="s">
        <v>45</v>
      </c>
      <c r="J847" s="16" t="s">
        <v>2851</v>
      </c>
      <c r="K847" s="2" t="s">
        <v>682</v>
      </c>
      <c r="L847" s="8" t="s">
        <v>2852</v>
      </c>
      <c r="M847" s="8" t="s">
        <v>27</v>
      </c>
      <c r="N847" s="2" t="s">
        <v>2853</v>
      </c>
      <c r="O847" s="8" t="s">
        <v>1013</v>
      </c>
      <c r="P847" s="8" t="s">
        <v>401</v>
      </c>
      <c r="Q847" s="12" t="str">
        <f>HYPERLINK("http://www.bakersfieldnow.com/news/local/Questions-raised-after-officer-involved-shooting-in-Shafter-300410121.html","http://www.bakersfieldnow.com/news/local/Questions-raised-after-officer-involved-shooting-in-Shafter-300410121.html")</f>
        <v>http://www.bakersfieldnow.com/news/local/Questions-raised-after-officer-involved-shooting-in-Shafter-300410121.html</v>
      </c>
      <c r="R847" s="8" t="s">
        <v>100</v>
      </c>
      <c r="S847" s="7" t="s">
        <v>28</v>
      </c>
      <c r="T847" s="6"/>
      <c r="U847" s="8"/>
    </row>
    <row r="848" spans="1:46" ht="13" customHeight="1">
      <c r="A848" s="8" t="s">
        <v>2861</v>
      </c>
      <c r="B848" s="16">
        <v>51</v>
      </c>
      <c r="C848" s="8" t="s">
        <v>20</v>
      </c>
      <c r="D848" s="8" t="s">
        <v>37</v>
      </c>
      <c r="E848" s="8" t="s">
        <v>2862</v>
      </c>
      <c r="F848" s="17">
        <v>42110</v>
      </c>
      <c r="G848" s="8" t="s">
        <v>2863</v>
      </c>
      <c r="H848" s="8" t="s">
        <v>51</v>
      </c>
      <c r="I848" s="8" t="s">
        <v>431</v>
      </c>
      <c r="J848" s="16" t="s">
        <v>2864</v>
      </c>
      <c r="K848" s="2" t="s">
        <v>2865</v>
      </c>
      <c r="L848" s="8" t="s">
        <v>2866</v>
      </c>
      <c r="M848" s="8" t="s">
        <v>27</v>
      </c>
      <c r="N848" s="2" t="s">
        <v>2867</v>
      </c>
      <c r="O848" s="8" t="s">
        <v>400</v>
      </c>
      <c r="P848" s="8" t="s">
        <v>401</v>
      </c>
      <c r="Q848" s="12" t="str">
        <f>HYPERLINK("http://www.abc17news.com/news/suspect-shot-and-killed-by-police/32394506","http://www.abc17news.com/news/suspect-shot-and-killed-by-police/32394506")</f>
        <v>http://www.abc17news.com/news/suspect-shot-and-killed-by-police/32394506</v>
      </c>
      <c r="R848" s="8" t="s">
        <v>100</v>
      </c>
      <c r="S848" s="7" t="s">
        <v>28</v>
      </c>
      <c r="T848" s="6"/>
      <c r="U848" s="8"/>
    </row>
    <row r="849" spans="1:34" ht="13" customHeight="1">
      <c r="A849" s="8" t="s">
        <v>2854</v>
      </c>
      <c r="B849" s="16">
        <v>39</v>
      </c>
      <c r="C849" s="8" t="s">
        <v>20</v>
      </c>
      <c r="D849" s="8" t="s">
        <v>37</v>
      </c>
      <c r="E849" s="8" t="s">
        <v>2855</v>
      </c>
      <c r="F849" s="17">
        <v>42110</v>
      </c>
      <c r="G849" s="8" t="s">
        <v>2856</v>
      </c>
      <c r="H849" s="8" t="s">
        <v>2857</v>
      </c>
      <c r="I849" s="8" t="s">
        <v>57</v>
      </c>
      <c r="J849" s="16" t="s">
        <v>2858</v>
      </c>
      <c r="K849" s="2" t="s">
        <v>1132</v>
      </c>
      <c r="L849" s="8" t="s">
        <v>2859</v>
      </c>
      <c r="M849" s="8" t="s">
        <v>391</v>
      </c>
      <c r="N849" s="2" t="s">
        <v>2860</v>
      </c>
      <c r="O849" s="8" t="s">
        <v>550</v>
      </c>
      <c r="P849" s="8" t="s">
        <v>401</v>
      </c>
      <c r="Q849" s="12" t="str">
        <f>HYPERLINK("http://www.detroitnews.com/story/news/local/wayne-county/2015/04/17/assault-suspect-died-hit-taser-identified/25947299/","http://www.detroitnews.com/story/news/local/wayne-county/2015/04/17/assault-suspect-died-hit-taser-identified/25947299/")</f>
        <v>http://www.detroitnews.com/story/news/local/wayne-county/2015/04/17/assault-suspect-died-hit-taser-identified/25947299/</v>
      </c>
      <c r="R849" s="8" t="s">
        <v>100</v>
      </c>
      <c r="S849" s="7" t="s">
        <v>18</v>
      </c>
      <c r="T849" s="6"/>
      <c r="U849" s="8"/>
    </row>
    <row r="850" spans="1:34" ht="13" customHeight="1">
      <c r="A850" s="8" t="s">
        <v>2868</v>
      </c>
      <c r="B850" s="16">
        <v>22</v>
      </c>
      <c r="C850" s="8" t="s">
        <v>20</v>
      </c>
      <c r="D850" s="8" t="s">
        <v>85</v>
      </c>
      <c r="E850" s="8" t="s">
        <v>2869</v>
      </c>
      <c r="F850" s="17">
        <v>42109</v>
      </c>
      <c r="G850" s="8" t="s">
        <v>2870</v>
      </c>
      <c r="H850" s="8" t="s">
        <v>213</v>
      </c>
      <c r="I850" s="8" t="s">
        <v>62</v>
      </c>
      <c r="J850" s="16" t="s">
        <v>2871</v>
      </c>
      <c r="K850" s="2" t="s">
        <v>161</v>
      </c>
      <c r="L850" s="8" t="s">
        <v>162</v>
      </c>
      <c r="M850" s="8" t="s">
        <v>27</v>
      </c>
      <c r="N850" s="2" t="s">
        <v>2872</v>
      </c>
      <c r="O850" s="8" t="s">
        <v>1013</v>
      </c>
      <c r="P850" s="8" t="s">
        <v>401</v>
      </c>
      <c r="Q850" s="12" t="str">
        <f>HYPERLINK("http://www.nbcmiami.com/news/local/FDLE-Investigating-Fatal-Police-Involved-Shooting-in-Miami-Dade-300173991.html","http://www.nbcmiami.com/news/local/FDLE-Investigating-Fatal-Police-Involved-Shooting-in-Miami-Dade-300173991.html")</f>
        <v>http://www.nbcmiami.com/news/local/FDLE-Investigating-Fatal-Police-Involved-Shooting-in-Miami-Dade-300173991.html</v>
      </c>
      <c r="R850" s="8" t="s">
        <v>100</v>
      </c>
      <c r="S850" s="7" t="s">
        <v>28</v>
      </c>
      <c r="T850" s="6"/>
      <c r="U850" s="8"/>
    </row>
    <row r="851" spans="1:34" ht="13" customHeight="1">
      <c r="A851" s="8" t="s">
        <v>2873</v>
      </c>
      <c r="B851" s="16">
        <v>41</v>
      </c>
      <c r="C851" s="8" t="s">
        <v>20</v>
      </c>
      <c r="D851" s="8" t="s">
        <v>85</v>
      </c>
      <c r="E851" s="8" t="str">
        <f>HYPERLINK("http://www.brownrobinson.com/obituary/4199/Donte_Noble","http://www.brownrobinson.com/obituary/4199/Donte_Noble")</f>
        <v>http://www.brownrobinson.com/obituary/4199/Donte_Noble</v>
      </c>
      <c r="F851" s="17">
        <v>42109</v>
      </c>
      <c r="G851" s="8" t="s">
        <v>2874</v>
      </c>
      <c r="H851" s="8" t="s">
        <v>2875</v>
      </c>
      <c r="I851" s="8" t="s">
        <v>32</v>
      </c>
      <c r="J851" s="16" t="s">
        <v>2876</v>
      </c>
      <c r="K851" s="2" t="s">
        <v>2875</v>
      </c>
      <c r="L851" s="8" t="s">
        <v>2877</v>
      </c>
      <c r="M851" s="8" t="s">
        <v>27</v>
      </c>
      <c r="N851" s="2" t="s">
        <v>2878</v>
      </c>
      <c r="O851" s="8" t="s">
        <v>1013</v>
      </c>
      <c r="P851" s="8" t="s">
        <v>401</v>
      </c>
      <c r="Q851" s="12" t="str">
        <f>HYPERLINK("http://www.wyff4.com/news/police-find-man-stabbing-wife-shoot-kill-him/32384112","http://www.wyff4.com/news/police-find-man-stabbing-wife-shoot-kill-him/32384112")</f>
        <v>http://www.wyff4.com/news/police-find-man-stabbing-wife-shoot-kill-him/32384112</v>
      </c>
      <c r="R851" s="8" t="s">
        <v>100</v>
      </c>
      <c r="S851" s="7" t="s">
        <v>28</v>
      </c>
      <c r="T851" s="6"/>
      <c r="U851" s="8"/>
    </row>
    <row r="852" spans="1:34" ht="13" customHeight="1">
      <c r="A852" s="8" t="s">
        <v>21303</v>
      </c>
      <c r="B852" s="16">
        <v>41</v>
      </c>
      <c r="C852" s="8" t="s">
        <v>20</v>
      </c>
      <c r="D852" s="8" t="s">
        <v>85</v>
      </c>
      <c r="E852" s="8" t="s">
        <v>2879</v>
      </c>
      <c r="F852" s="17">
        <v>42109</v>
      </c>
      <c r="G852" s="8" t="s">
        <v>2880</v>
      </c>
      <c r="H852" s="8" t="s">
        <v>726</v>
      </c>
      <c r="I852" s="8" t="s">
        <v>73</v>
      </c>
      <c r="J852" s="16" t="s">
        <v>2881</v>
      </c>
      <c r="K852" s="2" t="s">
        <v>558</v>
      </c>
      <c r="L852" s="8" t="s">
        <v>559</v>
      </c>
      <c r="M852" s="8" t="s">
        <v>27</v>
      </c>
      <c r="N852" s="2" t="s">
        <v>2882</v>
      </c>
      <c r="O852" s="8" t="s">
        <v>1013</v>
      </c>
      <c r="P852" s="8" t="s">
        <v>401</v>
      </c>
      <c r="Q852" s="12" t="s">
        <v>21302</v>
      </c>
      <c r="R852" s="8" t="s">
        <v>100</v>
      </c>
      <c r="S852" s="7" t="s">
        <v>18</v>
      </c>
      <c r="T852" s="6"/>
      <c r="U852" s="8"/>
    </row>
    <row r="853" spans="1:34" ht="13" customHeight="1">
      <c r="A853" s="8" t="s">
        <v>2883</v>
      </c>
      <c r="B853" s="16">
        <v>52</v>
      </c>
      <c r="C853" s="8" t="s">
        <v>20</v>
      </c>
      <c r="D853" s="8" t="s">
        <v>48</v>
      </c>
      <c r="E853" s="8" t="s">
        <v>2884</v>
      </c>
      <c r="F853" s="17">
        <v>42109</v>
      </c>
      <c r="G853" s="8" t="s">
        <v>2885</v>
      </c>
      <c r="H853" s="8" t="s">
        <v>2886</v>
      </c>
      <c r="I853" s="8" t="s">
        <v>45</v>
      </c>
      <c r="J853" s="16" t="s">
        <v>2887</v>
      </c>
      <c r="K853" s="2" t="s">
        <v>309</v>
      </c>
      <c r="L853" s="8" t="s">
        <v>310</v>
      </c>
      <c r="M853" s="8" t="s">
        <v>27</v>
      </c>
      <c r="N853" s="2" t="s">
        <v>2888</v>
      </c>
      <c r="O853" s="8" t="s">
        <v>1013</v>
      </c>
      <c r="P853" s="8" t="s">
        <v>401</v>
      </c>
      <c r="Q853" s="12" t="str">
        <f>HYPERLINK("http://www.dailybulletin.com/government-and-politics/20150416/man-fatally-shot-by-deputies-near-montclair-had-bb-gun","http://www.dailybulletin.com/government-and-politics/20150416/man-fatally-shot-by-deputies-near-montclair-had-bb-gun")</f>
        <v>http://www.dailybulletin.com/government-and-politics/20150416/man-fatally-shot-by-deputies-near-montclair-had-bb-gun</v>
      </c>
      <c r="R853" s="8" t="s">
        <v>100</v>
      </c>
      <c r="S853" s="7" t="s">
        <v>18</v>
      </c>
      <c r="T853" s="6"/>
      <c r="U853" s="8"/>
    </row>
    <row r="854" spans="1:34" ht="13" customHeight="1">
      <c r="A854" s="8" t="s">
        <v>2889</v>
      </c>
      <c r="B854" s="16">
        <v>31</v>
      </c>
      <c r="C854" s="8" t="s">
        <v>20</v>
      </c>
      <c r="D854" s="8" t="s">
        <v>37</v>
      </c>
      <c r="E854" s="8" t="s">
        <v>2890</v>
      </c>
      <c r="F854" s="17">
        <v>42109</v>
      </c>
      <c r="G854" s="8" t="s">
        <v>2891</v>
      </c>
      <c r="H854" s="8" t="s">
        <v>2892</v>
      </c>
      <c r="I854" s="8" t="s">
        <v>981</v>
      </c>
      <c r="J854" s="16">
        <v>72401</v>
      </c>
      <c r="K854" s="2" t="s">
        <v>2893</v>
      </c>
      <c r="L854" s="8" t="s">
        <v>2894</v>
      </c>
      <c r="M854" s="8" t="s">
        <v>27</v>
      </c>
      <c r="N854" s="2" t="s">
        <v>2895</v>
      </c>
      <c r="O854" s="8" t="s">
        <v>1013</v>
      </c>
      <c r="P854" s="8" t="s">
        <v>401</v>
      </c>
      <c r="Q854" s="12" t="str">
        <f>HYPERLINK("http://wreg.com/2015/04/15/man-wielding-machete-is-shot-and-killed-by-jonesboro-patrolman/","http://wreg.com/2015/04/15/man-wielding-machete-is-shot-and-killed-by-jonesboro-patrolman/")</f>
        <v>http://wreg.com/2015/04/15/man-wielding-machete-is-shot-and-killed-by-jonesboro-patrolman/</v>
      </c>
      <c r="R854" s="8" t="s">
        <v>29</v>
      </c>
      <c r="S854" s="7" t="s">
        <v>28</v>
      </c>
      <c r="T854" s="6"/>
      <c r="U854" s="8"/>
    </row>
    <row r="855" spans="1:34" ht="13" customHeight="1">
      <c r="A855" s="8" t="s">
        <v>2909</v>
      </c>
      <c r="B855" s="16">
        <v>36</v>
      </c>
      <c r="C855" s="8" t="s">
        <v>20</v>
      </c>
      <c r="D855" s="8" t="s">
        <v>37</v>
      </c>
      <c r="E855" s="8" t="s">
        <v>2910</v>
      </c>
      <c r="F855" s="17">
        <v>42109</v>
      </c>
      <c r="G855" s="8" t="s">
        <v>2911</v>
      </c>
      <c r="H855" s="8" t="s">
        <v>2912</v>
      </c>
      <c r="I855" s="8" t="s">
        <v>81</v>
      </c>
      <c r="J855" s="16" t="s">
        <v>2913</v>
      </c>
      <c r="K855" s="2" t="s">
        <v>2914</v>
      </c>
      <c r="L855" s="8" t="s">
        <v>2915</v>
      </c>
      <c r="M855" s="8" t="s">
        <v>27</v>
      </c>
      <c r="N855" s="2" t="s">
        <v>2916</v>
      </c>
      <c r="O855" s="8" t="s">
        <v>2917</v>
      </c>
      <c r="P855" s="8" t="s">
        <v>401</v>
      </c>
      <c r="Q855" s="12" t="str">
        <f>HYPERLINK("http://www.nj.com/mercer/index.ssf/2015/04/man_shot_by_hamilton_police_in_stabbing_incident_d.html","http://www.nj.com/mercer/index.ssf/2015/04/man_shot_by_hamilton_police_in_stabbing_incident_d.html")</f>
        <v>http://www.nj.com/mercer/index.ssf/2015/04/man_shot_by_hamilton_police_in_stabbing_incident_d.html</v>
      </c>
      <c r="R855" s="8" t="s">
        <v>100</v>
      </c>
      <c r="S855" s="7" t="s">
        <v>28</v>
      </c>
      <c r="T855" s="6"/>
      <c r="U855" s="8"/>
    </row>
    <row r="856" spans="1:34" ht="13" customHeight="1">
      <c r="A856" s="8" t="s">
        <v>2903</v>
      </c>
      <c r="B856" s="16">
        <v>72</v>
      </c>
      <c r="C856" s="8" t="s">
        <v>20</v>
      </c>
      <c r="D856" s="8" t="s">
        <v>37</v>
      </c>
      <c r="E856" s="8" t="s">
        <v>2904</v>
      </c>
      <c r="F856" s="17">
        <v>42109</v>
      </c>
      <c r="G856" s="8" t="s">
        <v>2905</v>
      </c>
      <c r="H856" s="8" t="s">
        <v>753</v>
      </c>
      <c r="I856" s="8" t="s">
        <v>209</v>
      </c>
      <c r="J856" s="16" t="s">
        <v>2906</v>
      </c>
      <c r="K856" s="2" t="s">
        <v>1144</v>
      </c>
      <c r="L856" s="8" t="s">
        <v>2907</v>
      </c>
      <c r="M856" s="8" t="s">
        <v>27</v>
      </c>
      <c r="N856" s="2" t="s">
        <v>2908</v>
      </c>
      <c r="O856" s="8" t="s">
        <v>1013</v>
      </c>
      <c r="P856" s="8" t="s">
        <v>401</v>
      </c>
      <c r="Q856" s="12" t="str">
        <f>HYPERLINK("http://denver.cbslocal.com/2015/04/16/marriage-down-the-tubes-i-hope-they-kill-me-says-killed-standoff-suspect-on-facebook/","http://denver.cbslocal.com/2015/04/16/marriage-down-the-tubes-i-hope-they-kill-me-says-killed-standoff-suspect-on-facebook/")</f>
        <v>http://denver.cbslocal.com/2015/04/16/marriage-down-the-tubes-i-hope-they-kill-me-says-killed-standoff-suspect-on-facebook/</v>
      </c>
      <c r="R856" s="8" t="s">
        <v>555</v>
      </c>
      <c r="S856" s="7" t="s">
        <v>28</v>
      </c>
      <c r="T856" s="6"/>
      <c r="U856" s="8"/>
    </row>
    <row r="857" spans="1:34" ht="13" customHeight="1">
      <c r="A857" s="8" t="s">
        <v>2896</v>
      </c>
      <c r="B857" s="16">
        <v>28</v>
      </c>
      <c r="C857" s="8" t="s">
        <v>20</v>
      </c>
      <c r="D857" s="8" t="s">
        <v>37</v>
      </c>
      <c r="E857" s="8" t="s">
        <v>2897</v>
      </c>
      <c r="F857" s="17">
        <v>42109</v>
      </c>
      <c r="G857" s="8" t="s">
        <v>2898</v>
      </c>
      <c r="H857" s="8" t="s">
        <v>2899</v>
      </c>
      <c r="I857" s="8" t="s">
        <v>45</v>
      </c>
      <c r="J857" s="16" t="s">
        <v>2900</v>
      </c>
      <c r="K857" s="2" t="s">
        <v>309</v>
      </c>
      <c r="L857" s="8" t="s">
        <v>2901</v>
      </c>
      <c r="M857" s="8" t="s">
        <v>2297</v>
      </c>
      <c r="N857" s="2" t="s">
        <v>2902</v>
      </c>
      <c r="O857" s="8" t="s">
        <v>400</v>
      </c>
      <c r="P857" s="8" t="s">
        <v>401</v>
      </c>
      <c r="Q857" s="12" t="str">
        <f>HYPERLINK("http://www.nbclosangeles.com/news/local/Highland-In-Custody-Death-Investigation-300128821.html","http://www.nbclosangeles.com/news/local/Highland-In-Custody-Death-Investigation-300128821.html")</f>
        <v>http://www.nbclosangeles.com/news/local/Highland-In-Custody-Death-Investigation-300128821.html</v>
      </c>
      <c r="R857" s="8" t="s">
        <v>967</v>
      </c>
      <c r="S857" s="7" t="s">
        <v>18</v>
      </c>
      <c r="T857" s="6"/>
      <c r="U857" s="8"/>
    </row>
    <row r="858" spans="1:34" ht="13" customHeight="1">
      <c r="A858" s="8" t="s">
        <v>2924</v>
      </c>
      <c r="B858" s="16">
        <v>26</v>
      </c>
      <c r="C858" s="8" t="s">
        <v>20</v>
      </c>
      <c r="D858" s="8" t="s">
        <v>85</v>
      </c>
      <c r="E858" s="8" t="s">
        <v>2925</v>
      </c>
      <c r="F858" s="17">
        <v>42108</v>
      </c>
      <c r="G858" s="8" t="s">
        <v>2926</v>
      </c>
      <c r="H858" s="8" t="s">
        <v>285</v>
      </c>
      <c r="I858" s="8" t="s">
        <v>73</v>
      </c>
      <c r="J858" s="16">
        <v>75232</v>
      </c>
      <c r="K858" s="2" t="s">
        <v>285</v>
      </c>
      <c r="L858" s="8" t="s">
        <v>2927</v>
      </c>
      <c r="M858" s="8" t="s">
        <v>27</v>
      </c>
      <c r="N858" s="2" t="s">
        <v>2928</v>
      </c>
      <c r="O858" s="8" t="s">
        <v>1013</v>
      </c>
      <c r="P858" s="8" t="s">
        <v>401</v>
      </c>
      <c r="Q858" s="12" t="str">
        <f>HYPERLINK("http://www.oregonlive.com/portland/index.ssf/2015/04/se_portland_double_murder_susp.html","http://www.oregonlive.com/portland/index.ssf/2015/04/se_portland_double_murder_susp.html")</f>
        <v>http://www.oregonlive.com/portland/index.ssf/2015/04/se_portland_double_murder_susp.html</v>
      </c>
      <c r="R858" s="8" t="s">
        <v>100</v>
      </c>
      <c r="S858" s="7" t="s">
        <v>28</v>
      </c>
      <c r="T858" s="6"/>
      <c r="U858" s="8"/>
    </row>
    <row r="859" spans="1:34" ht="13" customHeight="1">
      <c r="A859" s="8" t="s">
        <v>2918</v>
      </c>
      <c r="B859" s="16">
        <v>52</v>
      </c>
      <c r="C859" s="8" t="s">
        <v>20</v>
      </c>
      <c r="D859" s="8" t="s">
        <v>85</v>
      </c>
      <c r="E859" s="8" t="s">
        <v>2919</v>
      </c>
      <c r="F859" s="17">
        <v>42108</v>
      </c>
      <c r="G859" s="8" t="s">
        <v>2920</v>
      </c>
      <c r="H859" s="8" t="s">
        <v>2921</v>
      </c>
      <c r="I859" s="8" t="s">
        <v>423</v>
      </c>
      <c r="J859" s="16" t="s">
        <v>2922</v>
      </c>
      <c r="K859" s="2" t="s">
        <v>2923</v>
      </c>
      <c r="L859" s="8" t="s">
        <v>2741</v>
      </c>
      <c r="M859" s="8" t="s">
        <v>29</v>
      </c>
      <c r="P859" s="8" t="s">
        <v>401</v>
      </c>
      <c r="Q859" s="12" t="str">
        <f>HYPERLINK("http://www.recordonline.com/article/20150428/OPINION/150429329/101136/OPINION","http://www.recordonline.com/article/20150428/OPINION/150429329/101136/OPINION")</f>
        <v>http://www.recordonline.com/article/20150428/OPINION/150429329/101136/OPINION</v>
      </c>
      <c r="S859" s="7" t="s">
        <v>28</v>
      </c>
      <c r="T859" s="6"/>
      <c r="U859" s="8"/>
    </row>
    <row r="860" spans="1:34" ht="13" customHeight="1">
      <c r="A860" s="8" t="s">
        <v>2935</v>
      </c>
      <c r="B860" s="16">
        <v>24</v>
      </c>
      <c r="C860" s="8" t="s">
        <v>20</v>
      </c>
      <c r="D860" s="8" t="s">
        <v>48</v>
      </c>
      <c r="F860" s="17">
        <v>42107</v>
      </c>
      <c r="G860" s="8" t="s">
        <v>2936</v>
      </c>
      <c r="H860" s="8" t="s">
        <v>726</v>
      </c>
      <c r="I860" s="8" t="s">
        <v>73</v>
      </c>
      <c r="J860" s="16" t="s">
        <v>2937</v>
      </c>
      <c r="K860" s="2" t="s">
        <v>558</v>
      </c>
      <c r="L860" s="8" t="s">
        <v>727</v>
      </c>
      <c r="M860" s="8" t="s">
        <v>27</v>
      </c>
      <c r="N860" s="2" t="s">
        <v>2938</v>
      </c>
      <c r="O860" s="8" t="s">
        <v>2939</v>
      </c>
      <c r="P860" s="8" t="s">
        <v>401</v>
      </c>
      <c r="Q860" s="12" t="s">
        <v>2940</v>
      </c>
      <c r="R860" s="8" t="s">
        <v>100</v>
      </c>
      <c r="S860" s="7" t="s">
        <v>28</v>
      </c>
      <c r="T860" s="6"/>
      <c r="U860" s="8"/>
    </row>
    <row r="861" spans="1:34" ht="13" customHeight="1">
      <c r="A861" s="8" t="s">
        <v>2929</v>
      </c>
      <c r="B861" s="16">
        <v>27</v>
      </c>
      <c r="C861" s="8" t="s">
        <v>20</v>
      </c>
      <c r="D861" s="8" t="s">
        <v>48</v>
      </c>
      <c r="E861" s="8" t="str">
        <f>HYPERLINK("http://fox2now.com/2015/04/14/man-identified-in-alton-officer-involved-shooting/","http://fox2now.com/2015/04/14/man-identified-in-alton-officer-involved-shooting/")</f>
        <v>http://fox2now.com/2015/04/14/man-identified-in-alton-officer-involved-shooting/</v>
      </c>
      <c r="F861" s="17">
        <v>42107</v>
      </c>
      <c r="G861" s="8" t="s">
        <v>2930</v>
      </c>
      <c r="H861" s="8" t="s">
        <v>2931</v>
      </c>
      <c r="I861" s="8" t="s">
        <v>44</v>
      </c>
      <c r="J861" s="16" t="s">
        <v>2932</v>
      </c>
      <c r="K861" s="2" t="s">
        <v>712</v>
      </c>
      <c r="L861" s="8" t="s">
        <v>2933</v>
      </c>
      <c r="M861" s="8" t="s">
        <v>27</v>
      </c>
      <c r="N861" s="2" t="s">
        <v>2934</v>
      </c>
      <c r="O861" s="8" t="s">
        <v>1013</v>
      </c>
      <c r="P861" s="8" t="s">
        <v>401</v>
      </c>
      <c r="Q861" s="12" t="str">
        <f>HYPERLINK("http://fox2now.com/2015/04/14/man-identified-in-alton-officer-involved-shooting/","http://fox2now.com/2015/04/14/man-identified-in-alton-officer-involved-shooting/")</f>
        <v>http://fox2now.com/2015/04/14/man-identified-in-alton-officer-involved-shooting/</v>
      </c>
      <c r="R861" s="8" t="s">
        <v>100</v>
      </c>
      <c r="S861" s="7" t="s">
        <v>28</v>
      </c>
      <c r="T861" s="6"/>
      <c r="U861" s="8"/>
      <c r="Y861" s="8"/>
      <c r="Z861" s="8"/>
      <c r="AA861" s="8"/>
      <c r="AB861" s="8"/>
      <c r="AC861" s="8"/>
      <c r="AD861" s="8"/>
      <c r="AE861" s="8"/>
      <c r="AF861" s="8"/>
      <c r="AG861" s="8"/>
      <c r="AH861" s="8"/>
    </row>
    <row r="862" spans="1:34" ht="13" customHeight="1">
      <c r="A862" s="8" t="s">
        <v>2941</v>
      </c>
      <c r="B862" s="16">
        <v>32</v>
      </c>
      <c r="C862" s="8" t="s">
        <v>20</v>
      </c>
      <c r="D862" s="8" t="s">
        <v>37</v>
      </c>
      <c r="E862" s="8" t="s">
        <v>2942</v>
      </c>
      <c r="F862" s="17">
        <v>42107</v>
      </c>
      <c r="G862" s="8" t="s">
        <v>2943</v>
      </c>
      <c r="H862" s="8" t="s">
        <v>2944</v>
      </c>
      <c r="I862" s="8" t="s">
        <v>366</v>
      </c>
      <c r="J862" s="16" t="s">
        <v>2945</v>
      </c>
      <c r="K862" s="2" t="s">
        <v>2946</v>
      </c>
      <c r="L862" s="8" t="s">
        <v>2947</v>
      </c>
      <c r="M862" s="8" t="s">
        <v>27</v>
      </c>
      <c r="N862" s="2" t="s">
        <v>2948</v>
      </c>
      <c r="O862" s="8" t="s">
        <v>400</v>
      </c>
      <c r="P862" s="8" t="s">
        <v>401</v>
      </c>
      <c r="Q862" s="12" t="str">
        <f>HYPERLINK("http://abc11.com/news/sampson-county-sheriffs-deputy-shoots-and-kills-robbery-suspect/654777/","http://abc11.com/news/sampson-county-sheriffs-deputy-shoots-and-kills-robbery-suspect/654777/")</f>
        <v>http://abc11.com/news/sampson-county-sheriffs-deputy-shoots-and-kills-robbery-suspect/654777/</v>
      </c>
      <c r="R862" s="8" t="s">
        <v>100</v>
      </c>
      <c r="S862" s="7" t="s">
        <v>28</v>
      </c>
      <c r="T862" s="6"/>
      <c r="U862" s="8"/>
    </row>
    <row r="863" spans="1:34" ht="13" customHeight="1">
      <c r="A863" s="8" t="s">
        <v>2949</v>
      </c>
      <c r="B863" s="16">
        <v>36</v>
      </c>
      <c r="C863" s="8" t="s">
        <v>20</v>
      </c>
      <c r="D863" s="8" t="s">
        <v>85</v>
      </c>
      <c r="E863" s="8" t="s">
        <v>2950</v>
      </c>
      <c r="F863" s="17">
        <v>42106</v>
      </c>
      <c r="G863" s="8" t="s">
        <v>2951</v>
      </c>
      <c r="H863" s="8" t="s">
        <v>216</v>
      </c>
      <c r="I863" s="8" t="s">
        <v>217</v>
      </c>
      <c r="J863" s="16">
        <v>46218</v>
      </c>
      <c r="K863" s="2" t="s">
        <v>420</v>
      </c>
      <c r="L863" s="8" t="s">
        <v>218</v>
      </c>
      <c r="M863" s="8" t="s">
        <v>27</v>
      </c>
      <c r="N863" s="2" t="s">
        <v>2952</v>
      </c>
      <c r="O863" s="8" t="s">
        <v>1013</v>
      </c>
      <c r="P863" s="8" t="s">
        <v>401</v>
      </c>
      <c r="Q863" s="12" t="str">
        <f>HYPERLINK("http://www.indystar.com/story/news/crime/2015/04/12/officer-involved-shooting-reported-indys-eastside/25678213/","http://www.indystar.com/story/news/crime/2015/04/12/officer-involved-shooting-reported-indys-eastside/25678213/")</f>
        <v>http://www.indystar.com/story/news/crime/2015/04/12/officer-involved-shooting-reported-indys-eastside/25678213/</v>
      </c>
      <c r="R863" s="8" t="s">
        <v>100</v>
      </c>
      <c r="S863" s="7" t="s">
        <v>28</v>
      </c>
      <c r="T863" s="6"/>
      <c r="U863" s="8"/>
    </row>
    <row r="864" spans="1:34" ht="13" customHeight="1">
      <c r="A864" s="8" t="s">
        <v>2953</v>
      </c>
      <c r="B864" s="16">
        <v>83</v>
      </c>
      <c r="C864" s="8" t="s">
        <v>20</v>
      </c>
      <c r="D864" s="8" t="s">
        <v>37</v>
      </c>
      <c r="E864" s="8" t="s">
        <v>2954</v>
      </c>
      <c r="F864" s="17">
        <v>42106</v>
      </c>
      <c r="G864" s="8" t="s">
        <v>2955</v>
      </c>
      <c r="H864" s="8" t="s">
        <v>2956</v>
      </c>
      <c r="I864" s="8" t="s">
        <v>395</v>
      </c>
      <c r="J864" s="16" t="s">
        <v>2957</v>
      </c>
      <c r="K864" s="2" t="s">
        <v>1098</v>
      </c>
      <c r="L864" s="8" t="s">
        <v>1099</v>
      </c>
      <c r="M864" s="8" t="s">
        <v>27</v>
      </c>
      <c r="N864" s="2" t="s">
        <v>2958</v>
      </c>
      <c r="O864" s="8" t="s">
        <v>400</v>
      </c>
      <c r="P864" s="8" t="s">
        <v>401</v>
      </c>
      <c r="Q864" s="12" t="str">
        <f>HYPERLINK("http://www.koco.com/news/police-investigating-reported-shooting-in-newalla/32332484","http://www.koco.com/news/police-investigating-reported-shooting-in-newalla/32332484")</f>
        <v>http://www.koco.com/news/police-investigating-reported-shooting-in-newalla/32332484</v>
      </c>
      <c r="R864" s="8" t="s">
        <v>29</v>
      </c>
      <c r="S864" s="7" t="s">
        <v>28</v>
      </c>
      <c r="T864" s="6"/>
      <c r="U864" s="8"/>
    </row>
    <row r="865" spans="1:21" ht="13" customHeight="1">
      <c r="A865" s="8" t="s">
        <v>2959</v>
      </c>
      <c r="B865" s="16">
        <v>66</v>
      </c>
      <c r="C865" s="8" t="s">
        <v>20</v>
      </c>
      <c r="D865" s="8" t="s">
        <v>37</v>
      </c>
      <c r="E865" s="8" t="s">
        <v>2960</v>
      </c>
      <c r="F865" s="17">
        <v>42105</v>
      </c>
      <c r="G865" s="8" t="s">
        <v>2961</v>
      </c>
      <c r="H865" s="8" t="s">
        <v>2962</v>
      </c>
      <c r="I865" s="8" t="s">
        <v>395</v>
      </c>
      <c r="J865" s="16">
        <v>74063</v>
      </c>
      <c r="K865" s="2" t="s">
        <v>2497</v>
      </c>
      <c r="L865" s="8" t="s">
        <v>2963</v>
      </c>
      <c r="M865" s="8" t="s">
        <v>27</v>
      </c>
      <c r="N865" s="2" t="s">
        <v>2964</v>
      </c>
      <c r="O865" s="8" t="s">
        <v>550</v>
      </c>
      <c r="P865" s="8" t="s">
        <v>401</v>
      </c>
      <c r="Q865" s="12" t="str">
        <f>HYPERLINK("http://www.dailymail.co.uk/news/article-3051433/Bodycam-footage-shows-Sand-Springs-Officer-Brian-Barnett-killing-Donald-Allen.html","http://www.dailymail.co.uk/news/article-3051433/Bodycam-footage-shows-Sand-Springs-Officer-Brian-Barnett-killing-Donald-Allen.html")</f>
        <v>http://www.dailymail.co.uk/news/article-3051433/Bodycam-footage-shows-Sand-Springs-Officer-Brian-Barnett-killing-Donald-Allen.html</v>
      </c>
      <c r="R865" s="8" t="s">
        <v>555</v>
      </c>
      <c r="S865" s="7" t="s">
        <v>28</v>
      </c>
      <c r="T865" s="6"/>
      <c r="U865" s="8"/>
    </row>
    <row r="866" spans="1:21" ht="13" customHeight="1">
      <c r="A866" s="8" t="s">
        <v>2965</v>
      </c>
      <c r="B866" s="16">
        <v>21</v>
      </c>
      <c r="C866" s="8" t="s">
        <v>20</v>
      </c>
      <c r="D866" s="8" t="s">
        <v>48</v>
      </c>
      <c r="E866" s="8" t="s">
        <v>2966</v>
      </c>
      <c r="F866" s="17">
        <v>42104</v>
      </c>
      <c r="G866" s="8" t="s">
        <v>2967</v>
      </c>
      <c r="H866" s="8" t="s">
        <v>2968</v>
      </c>
      <c r="I866" s="8" t="s">
        <v>45</v>
      </c>
      <c r="J866" s="16" t="s">
        <v>2969</v>
      </c>
      <c r="K866" s="2" t="s">
        <v>2970</v>
      </c>
      <c r="L866" s="8" t="s">
        <v>2971</v>
      </c>
      <c r="M866" s="8" t="s">
        <v>27</v>
      </c>
      <c r="N866" s="2" t="s">
        <v>2972</v>
      </c>
      <c r="O866" s="8" t="s">
        <v>1013</v>
      </c>
      <c r="P866" s="8" t="s">
        <v>401</v>
      </c>
      <c r="Q866" s="12" t="str">
        <f>HYPERLINK("http://www.appeal-democrat.com/corning_observer/deputy-shoots-kills-corning-man-stabbing-father/article_800aa990-e23b-11e4-9469-435eb6fa3396.html","http://www.appeal-democrat.com/corning_observer/deputy-shoots-kills-corning-man-stabbing-father/article_800aa990-e23b-11e4-9469-435eb6fa3396.html")</f>
        <v>http://www.appeal-democrat.com/corning_observer/deputy-shoots-kills-corning-man-stabbing-father/article_800aa990-e23b-11e4-9469-435eb6fa3396.html</v>
      </c>
      <c r="R866" s="8" t="s">
        <v>100</v>
      </c>
      <c r="S866" s="7" t="s">
        <v>28</v>
      </c>
      <c r="T866" s="6"/>
      <c r="U866" s="8"/>
    </row>
    <row r="867" spans="1:21" ht="13" customHeight="1">
      <c r="A867" s="8" t="s">
        <v>2973</v>
      </c>
      <c r="B867" s="16">
        <v>31</v>
      </c>
      <c r="C867" s="8" t="s">
        <v>20</v>
      </c>
      <c r="D867" s="8" t="s">
        <v>37</v>
      </c>
      <c r="F867" s="17">
        <v>42104</v>
      </c>
      <c r="G867" s="8" t="s">
        <v>2974</v>
      </c>
      <c r="H867" s="8" t="s">
        <v>2975</v>
      </c>
      <c r="I867" s="8" t="s">
        <v>404</v>
      </c>
      <c r="J867" s="16" t="s">
        <v>2976</v>
      </c>
      <c r="K867" s="2" t="s">
        <v>1927</v>
      </c>
      <c r="L867" s="8" t="s">
        <v>9400</v>
      </c>
      <c r="M867" s="8" t="s">
        <v>27</v>
      </c>
      <c r="N867" s="2" t="s">
        <v>2977</v>
      </c>
      <c r="O867" s="8" t="s">
        <v>1013</v>
      </c>
      <c r="P867" s="8" t="s">
        <v>401</v>
      </c>
      <c r="Q867" s="12" t="str">
        <f>HYPERLINK("http://www.pennlive.com/midstate/index.ssf/2015/04/adams_county_prison_gunman_die.html","http://www.pennlive.com/midstate/index.ssf/2015/04/adams_county_prison_gunman_die.html")</f>
        <v>http://www.pennlive.com/midstate/index.ssf/2015/04/adams_county_prison_gunman_die.html</v>
      </c>
      <c r="R867" s="8" t="s">
        <v>29</v>
      </c>
      <c r="S867" s="7" t="s">
        <v>28</v>
      </c>
      <c r="T867" s="6"/>
      <c r="U867" s="8"/>
    </row>
    <row r="868" spans="1:21" ht="13" customHeight="1">
      <c r="A868" s="8" t="s">
        <v>2978</v>
      </c>
      <c r="B868" s="16">
        <v>29</v>
      </c>
      <c r="C868" s="8" t="s">
        <v>20</v>
      </c>
      <c r="D868" s="8" t="s">
        <v>85</v>
      </c>
      <c r="E868" s="8" t="s">
        <v>2979</v>
      </c>
      <c r="F868" s="17">
        <v>42103</v>
      </c>
      <c r="G868" s="8" t="s">
        <v>2980</v>
      </c>
      <c r="H868" s="8" t="s">
        <v>2981</v>
      </c>
      <c r="I868" s="8" t="s">
        <v>217</v>
      </c>
      <c r="J868" s="16" t="s">
        <v>2982</v>
      </c>
      <c r="K868" s="2" t="s">
        <v>37</v>
      </c>
      <c r="L868" s="8" t="s">
        <v>2983</v>
      </c>
      <c r="M868" s="8" t="s">
        <v>27</v>
      </c>
      <c r="N868" s="2" t="s">
        <v>2984</v>
      </c>
      <c r="O868" s="8" t="s">
        <v>1013</v>
      </c>
      <c r="P868" s="8" t="s">
        <v>401</v>
      </c>
      <c r="Q868" s="12" t="str">
        <f>HYPERLINK("http://www.jconline.com/story/news/2015/05/01/officers-justified-use-lethal-force/26708803/","http://www.jconline.com/story/news/2015/05/01/officers-justified-use-lethal-force/26708803/")</f>
        <v>http://www.jconline.com/story/news/2015/05/01/officers-justified-use-lethal-force/26708803/</v>
      </c>
      <c r="R868" s="8" t="s">
        <v>100</v>
      </c>
      <c r="S868" s="7" t="s">
        <v>28</v>
      </c>
      <c r="T868" s="6"/>
      <c r="U868" s="8"/>
    </row>
    <row r="869" spans="1:21" ht="13" customHeight="1">
      <c r="A869" s="8" t="s">
        <v>2985</v>
      </c>
      <c r="B869" s="16">
        <v>22</v>
      </c>
      <c r="C869" s="8" t="s">
        <v>20</v>
      </c>
      <c r="D869" s="8" t="s">
        <v>37</v>
      </c>
      <c r="E869" s="8" t="s">
        <v>2986</v>
      </c>
      <c r="F869" s="17">
        <v>42103</v>
      </c>
      <c r="G869" s="8" t="s">
        <v>2987</v>
      </c>
      <c r="H869" s="8" t="s">
        <v>2988</v>
      </c>
      <c r="I869" s="8" t="s">
        <v>62</v>
      </c>
      <c r="J869" s="16" t="s">
        <v>2989</v>
      </c>
      <c r="K869" s="2" t="s">
        <v>2990</v>
      </c>
      <c r="L869" s="8" t="s">
        <v>2991</v>
      </c>
      <c r="M869" s="8" t="s">
        <v>27</v>
      </c>
      <c r="N869" s="2" t="s">
        <v>2992</v>
      </c>
      <c r="P869" s="8" t="s">
        <v>401</v>
      </c>
      <c r="Q869" s="12" t="str">
        <f>HYPERLINK("http://www.northescambia.com/2015/04/santa-rosa-deputy-attacked-by-man-with-sword-suspect-shot-and-killed","http://www.northescambia.com/2015/04/santa-rosa-deputy-attacked-by-man-with-sword-suspect-shot-and-killed")</f>
        <v>http://www.northescambia.com/2015/04/santa-rosa-deputy-attacked-by-man-with-sword-suspect-shot-and-killed</v>
      </c>
      <c r="R869" s="8" t="s">
        <v>29</v>
      </c>
      <c r="S869" s="7" t="s">
        <v>28</v>
      </c>
      <c r="T869" s="6"/>
      <c r="U869" s="8"/>
    </row>
    <row r="870" spans="1:21" ht="13" customHeight="1">
      <c r="A870" s="8" t="s">
        <v>3000</v>
      </c>
      <c r="B870" s="16">
        <v>28</v>
      </c>
      <c r="C870" s="8" t="s">
        <v>20</v>
      </c>
      <c r="D870" s="8" t="s">
        <v>37</v>
      </c>
      <c r="E870" s="8" t="s">
        <v>3001</v>
      </c>
      <c r="F870" s="17">
        <v>42103</v>
      </c>
      <c r="G870" s="8" t="s">
        <v>3002</v>
      </c>
      <c r="H870" s="8" t="s">
        <v>3003</v>
      </c>
      <c r="I870" s="8" t="s">
        <v>32</v>
      </c>
      <c r="J870" s="16" t="s">
        <v>3004</v>
      </c>
      <c r="K870" s="2" t="s">
        <v>2875</v>
      </c>
      <c r="L870" s="8" t="s">
        <v>3005</v>
      </c>
      <c r="M870" s="8" t="s">
        <v>27</v>
      </c>
      <c r="N870" s="2" t="s">
        <v>3006</v>
      </c>
      <c r="O870" s="8" t="s">
        <v>1013</v>
      </c>
      <c r="P870" s="8" t="s">
        <v>401</v>
      </c>
      <c r="Q870" s="12" t="str">
        <f>HYPERLINK("http://www.wyff4.com/news/family-of-man-killed-by-deputies-hires-attorney/32601896","http://www.wyff4.com/news/family-of-man-killed-by-deputies-hires-attorney/32601896")</f>
        <v>http://www.wyff4.com/news/family-of-man-killed-by-deputies-hires-attorney/32601896</v>
      </c>
      <c r="R870" s="8" t="s">
        <v>100</v>
      </c>
      <c r="S870" s="7" t="s">
        <v>28</v>
      </c>
      <c r="T870" s="6"/>
      <c r="U870" s="8"/>
    </row>
    <row r="871" spans="1:21" ht="13" customHeight="1">
      <c r="A871" s="8" t="s">
        <v>2993</v>
      </c>
      <c r="B871" s="16">
        <v>54</v>
      </c>
      <c r="C871" s="8" t="s">
        <v>20</v>
      </c>
      <c r="D871" s="8" t="s">
        <v>37</v>
      </c>
      <c r="E871" s="8" t="s">
        <v>2994</v>
      </c>
      <c r="F871" s="17">
        <v>42103</v>
      </c>
      <c r="G871" s="8" t="s">
        <v>2995</v>
      </c>
      <c r="H871" s="8" t="s">
        <v>2996</v>
      </c>
      <c r="I871" s="8" t="s">
        <v>395</v>
      </c>
      <c r="J871" s="16" t="s">
        <v>2997</v>
      </c>
      <c r="K871" s="2" t="s">
        <v>2047</v>
      </c>
      <c r="L871" s="8" t="s">
        <v>2998</v>
      </c>
      <c r="M871" s="8" t="s">
        <v>27</v>
      </c>
      <c r="N871" s="2" t="s">
        <v>2999</v>
      </c>
      <c r="O871" s="8" t="s">
        <v>1013</v>
      </c>
      <c r="P871" s="8" t="s">
        <v>401</v>
      </c>
      <c r="Q871" s="12" t="str">
        <f>HYPERLINK("http://newsok.com/oklahoma-agents-investigate-fatal-deputy-involved-shooting-in-creek-county/article/5408706","http://newsok.com/oklahoma-agents-investigate-fatal-deputy-involved-shooting-in-creek-county/article/5408706")</f>
        <v>http://newsok.com/oklahoma-agents-investigate-fatal-deputy-involved-shooting-in-creek-county/article/5408706</v>
      </c>
      <c r="R871" s="8" t="s">
        <v>100</v>
      </c>
      <c r="S871" s="7" t="s">
        <v>28</v>
      </c>
      <c r="T871" s="6"/>
      <c r="U871" s="8"/>
    </row>
    <row r="872" spans="1:21" ht="13" customHeight="1">
      <c r="A872" s="8" t="s">
        <v>3007</v>
      </c>
      <c r="B872" s="16">
        <v>42</v>
      </c>
      <c r="C872" s="8" t="s">
        <v>20</v>
      </c>
      <c r="D872" s="8" t="s">
        <v>85</v>
      </c>
      <c r="E872" s="8" t="s">
        <v>3008</v>
      </c>
      <c r="F872" s="17">
        <v>42102</v>
      </c>
      <c r="G872" s="8" t="s">
        <v>3009</v>
      </c>
      <c r="H872" s="8" t="s">
        <v>3010</v>
      </c>
      <c r="I872" s="8" t="s">
        <v>173</v>
      </c>
      <c r="J872" s="16" t="s">
        <v>3011</v>
      </c>
      <c r="K872" s="2" t="s">
        <v>3012</v>
      </c>
      <c r="L872" s="8" t="s">
        <v>3013</v>
      </c>
      <c r="M872" s="8" t="s">
        <v>27</v>
      </c>
      <c r="N872" s="2" t="s">
        <v>21648</v>
      </c>
      <c r="O872" s="8" t="s">
        <v>1013</v>
      </c>
      <c r="P872" s="8" t="s">
        <v>401</v>
      </c>
      <c r="Q872" s="12" t="str">
        <f>HYPERLINK("http://www.wctv.tv/home/headlines/Police-Respond-to-Apparent-Shooting-in-Valdosta-299123481.html","http://www.wctv.tv/home/headlines/Police-Respond-to-Apparent-Shooting-in-Valdosta-299123481.html")</f>
        <v>http://www.wctv.tv/home/headlines/Police-Respond-to-Apparent-Shooting-in-Valdosta-299123481.html</v>
      </c>
      <c r="R872" s="8" t="s">
        <v>100</v>
      </c>
      <c r="S872" s="7" t="s">
        <v>379</v>
      </c>
      <c r="T872" s="6"/>
      <c r="U872" s="8"/>
    </row>
    <row r="873" spans="1:21" ht="13" customHeight="1">
      <c r="A873" s="8" t="s">
        <v>3014</v>
      </c>
      <c r="B873" s="16">
        <v>39</v>
      </c>
      <c r="C873" s="8" t="s">
        <v>20</v>
      </c>
      <c r="D873" s="8" t="s">
        <v>48</v>
      </c>
      <c r="F873" s="17">
        <v>42102</v>
      </c>
      <c r="G873" s="8" t="s">
        <v>3015</v>
      </c>
      <c r="H873" s="8" t="s">
        <v>98</v>
      </c>
      <c r="I873" s="8" t="s">
        <v>45</v>
      </c>
      <c r="J873" s="16" t="s">
        <v>3016</v>
      </c>
      <c r="K873" s="2" t="s">
        <v>98</v>
      </c>
      <c r="L873" s="8" t="s">
        <v>99</v>
      </c>
      <c r="M873" s="8" t="s">
        <v>27</v>
      </c>
      <c r="N873" s="2" t="s">
        <v>3017</v>
      </c>
      <c r="O873" s="8" t="s">
        <v>1013</v>
      </c>
      <c r="P873" s="8" t="s">
        <v>401</v>
      </c>
      <c r="Q873" s="12" t="str">
        <f>HYPERLINK("http://www.latimes.com/local/lanow/la-me-ln-boyle-heights-ois-man-identified-20150410-story.html","http://www.latimes.com/local/lanow/la-me-ln-boyle-heights-ois-man-identified-20150410-story.html")</f>
        <v>http://www.latimes.com/local/lanow/la-me-ln-boyle-heights-ois-man-identified-20150410-story.html</v>
      </c>
      <c r="R873" s="8" t="s">
        <v>100</v>
      </c>
      <c r="S873" s="7" t="s">
        <v>28</v>
      </c>
      <c r="T873" s="6"/>
      <c r="U873" s="8"/>
    </row>
    <row r="874" spans="1:21" ht="13" customHeight="1">
      <c r="A874" s="8" t="s">
        <v>3018</v>
      </c>
      <c r="B874" s="16">
        <v>57</v>
      </c>
      <c r="C874" s="8" t="s">
        <v>20</v>
      </c>
      <c r="D874" s="8" t="s">
        <v>30</v>
      </c>
      <c r="F874" s="17">
        <v>42102</v>
      </c>
      <c r="G874" s="8" t="s">
        <v>3019</v>
      </c>
      <c r="H874" s="8" t="s">
        <v>3020</v>
      </c>
      <c r="I874" s="8" t="s">
        <v>45</v>
      </c>
      <c r="J874" s="16" t="s">
        <v>3021</v>
      </c>
      <c r="K874" s="2" t="s">
        <v>682</v>
      </c>
      <c r="L874" s="8" t="s">
        <v>750</v>
      </c>
      <c r="M874" s="8" t="s">
        <v>391</v>
      </c>
      <c r="N874" s="2" t="s">
        <v>3022</v>
      </c>
      <c r="O874" s="8" t="s">
        <v>400</v>
      </c>
      <c r="P874" s="8" t="s">
        <v>401</v>
      </c>
      <c r="Q874" s="12" t="str">
        <f>HYPERLINK("http://www.kerngoldenempire.com/news/top-stories/new-information-on-kcso-in-custody-death","http://www.kerngoldenempire.com/news/top-stories/new-information-on-kcso-in-custody-death")</f>
        <v>http://www.kerngoldenempire.com/news/top-stories/new-information-on-kcso-in-custody-death</v>
      </c>
      <c r="R874" s="8" t="s">
        <v>29</v>
      </c>
      <c r="S874" s="7" t="s">
        <v>18</v>
      </c>
      <c r="T874" s="6"/>
      <c r="U874" s="8"/>
    </row>
    <row r="875" spans="1:21" ht="13" customHeight="1">
      <c r="A875" s="8" t="s">
        <v>3023</v>
      </c>
      <c r="B875" s="16">
        <v>28</v>
      </c>
      <c r="C875" s="8" t="s">
        <v>20</v>
      </c>
      <c r="D875" s="8" t="s">
        <v>37</v>
      </c>
      <c r="E875" s="8" t="s">
        <v>3024</v>
      </c>
      <c r="F875" s="17">
        <v>42102</v>
      </c>
      <c r="G875" s="8" t="s">
        <v>3025</v>
      </c>
      <c r="H875" s="8" t="s">
        <v>774</v>
      </c>
      <c r="I875" s="8" t="s">
        <v>45</v>
      </c>
      <c r="J875" s="16" t="s">
        <v>3026</v>
      </c>
      <c r="K875" s="2" t="s">
        <v>609</v>
      </c>
      <c r="L875" s="8" t="s">
        <v>775</v>
      </c>
      <c r="M875" s="8" t="s">
        <v>27</v>
      </c>
      <c r="N875" s="2" t="s">
        <v>3027</v>
      </c>
      <c r="O875" s="8" t="s">
        <v>1013</v>
      </c>
      <c r="P875" s="8" t="s">
        <v>401</v>
      </c>
      <c r="Q875" s="12" t="str">
        <f>HYPERLINK("http://sanfrancisco.cbslocal.com/2015/04/14/armed-robbery-suspect-killed-by-sunnyvale-police-was-army-veteran/","http://sanfrancisco.cbslocal.com/2015/04/14/armed-robbery-suspect-killed-by-sunnyvale-police-was-army-veteran/")</f>
        <v>http://sanfrancisco.cbslocal.com/2015/04/14/armed-robbery-suspect-killed-by-sunnyvale-police-was-army-veteran/</v>
      </c>
      <c r="R875" s="8" t="s">
        <v>555</v>
      </c>
      <c r="S875" s="7" t="s">
        <v>28</v>
      </c>
      <c r="T875" s="6"/>
      <c r="U875" s="8"/>
    </row>
    <row r="876" spans="1:21" ht="13" customHeight="1">
      <c r="A876" s="8" t="s">
        <v>3028</v>
      </c>
      <c r="B876" s="16">
        <v>60</v>
      </c>
      <c r="C876" s="8" t="s">
        <v>20</v>
      </c>
      <c r="D876" s="8" t="s">
        <v>37</v>
      </c>
      <c r="E876" s="8" t="str">
        <f>HYPERLINK("http://www.ksat.com/content/pns/ksat/news/2015/04/10/man-shot--killed-by-police-id-d.html","http://www.ksat.com/content/pns/ksat/news/2015/04/10/man-shot--killed-by-police-id-d.html")</f>
        <v>http://www.ksat.com/content/pns/ksat/news/2015/04/10/man-shot--killed-by-police-id-d.html</v>
      </c>
      <c r="F876" s="17">
        <v>42102</v>
      </c>
      <c r="G876" s="8" t="s">
        <v>3029</v>
      </c>
      <c r="H876" s="8" t="s">
        <v>575</v>
      </c>
      <c r="I876" s="8" t="s">
        <v>73</v>
      </c>
      <c r="J876" s="16" t="s">
        <v>3030</v>
      </c>
      <c r="K876" s="2" t="s">
        <v>576</v>
      </c>
      <c r="L876" s="8" t="s">
        <v>577</v>
      </c>
      <c r="M876" s="8" t="s">
        <v>27</v>
      </c>
      <c r="N876" s="2" t="s">
        <v>3031</v>
      </c>
      <c r="O876" s="8" t="s">
        <v>1013</v>
      </c>
      <c r="P876" s="8" t="s">
        <v>401</v>
      </c>
      <c r="Q876" s="12" t="str">
        <f>HYPERLINK("http://www.ksat.com/content/pns/ksat/news/2015/04/10/man-shot--killed-by-police-id-d.html","http://www.ksat.com/content/pns/ksat/news/2015/04/10/man-shot--killed-by-police-id-d.html")</f>
        <v>http://www.ksat.com/content/pns/ksat/news/2015/04/10/man-shot--killed-by-police-id-d.html</v>
      </c>
      <c r="R876" s="8" t="s">
        <v>100</v>
      </c>
      <c r="S876" s="7" t="s">
        <v>28</v>
      </c>
      <c r="T876" s="6"/>
      <c r="U876" s="8"/>
    </row>
    <row r="877" spans="1:21" ht="13" customHeight="1">
      <c r="A877" s="8" t="s">
        <v>3032</v>
      </c>
      <c r="B877" s="16">
        <v>31</v>
      </c>
      <c r="C877" s="8" t="s">
        <v>20</v>
      </c>
      <c r="D877" s="8" t="s">
        <v>37</v>
      </c>
      <c r="E877" s="8" t="s">
        <v>3033</v>
      </c>
      <c r="F877" s="17">
        <v>42101</v>
      </c>
      <c r="G877" s="8" t="s">
        <v>3034</v>
      </c>
      <c r="H877" s="8" t="s">
        <v>3035</v>
      </c>
      <c r="I877" s="8" t="s">
        <v>793</v>
      </c>
      <c r="J877" s="16" t="s">
        <v>3036</v>
      </c>
      <c r="K877" s="2" t="s">
        <v>1781</v>
      </c>
      <c r="L877" s="8" t="s">
        <v>3037</v>
      </c>
      <c r="M877" s="8" t="s">
        <v>27</v>
      </c>
      <c r="N877" s="2" t="s">
        <v>3038</v>
      </c>
      <c r="O877" s="8" t="s">
        <v>1013</v>
      </c>
      <c r="P877" s="8" t="s">
        <v>401</v>
      </c>
      <c r="Q877" s="12" t="str">
        <f>HYPERLINK("http://www.ktvb.com/story/news/crime/2015/04/07/deputy-shoots-kills-man-rifle/25414923/","http://www.ktvb.com/story/news/crime/2015/04/07/deputy-shoots-kills-man-rifle/25414923/")</f>
        <v>http://www.ktvb.com/story/news/crime/2015/04/07/deputy-shoots-kills-man-rifle/25414923/</v>
      </c>
      <c r="R877" s="8" t="s">
        <v>100</v>
      </c>
      <c r="S877" s="7" t="s">
        <v>28</v>
      </c>
      <c r="T877" s="6"/>
      <c r="U877" s="8"/>
    </row>
    <row r="878" spans="1:21" ht="13" customHeight="1">
      <c r="A878" s="8" t="s">
        <v>3039</v>
      </c>
      <c r="B878" s="16">
        <v>32</v>
      </c>
      <c r="C878" s="8" t="s">
        <v>20</v>
      </c>
      <c r="D878" s="8" t="s">
        <v>37</v>
      </c>
      <c r="E878" s="8" t="s">
        <v>3040</v>
      </c>
      <c r="F878" s="17">
        <v>42101</v>
      </c>
      <c r="G878" s="8" t="s">
        <v>3041</v>
      </c>
      <c r="H878" s="8" t="s">
        <v>2802</v>
      </c>
      <c r="I878" s="8" t="s">
        <v>395</v>
      </c>
      <c r="J878" s="16" t="s">
        <v>3042</v>
      </c>
      <c r="K878" s="2" t="s">
        <v>3043</v>
      </c>
      <c r="L878" s="8" t="s">
        <v>3044</v>
      </c>
      <c r="M878" s="8" t="s">
        <v>27</v>
      </c>
      <c r="N878" s="2" t="s">
        <v>3045</v>
      </c>
      <c r="O878" s="8" t="s">
        <v>1013</v>
      </c>
      <c r="P878" s="8" t="s">
        <v>401</v>
      </c>
      <c r="Q878" s="12" t="str">
        <f>HYPERLINK("http://kfor.com/2015/04/08/officer-involved-shooting-in-shawnee-leaves-one-dead/","http://kfor.com/2015/04/08/officer-involved-shooting-in-shawnee-leaves-one-dead/")</f>
        <v>http://kfor.com/2015/04/08/officer-involved-shooting-in-shawnee-leaves-one-dead/</v>
      </c>
      <c r="R878" s="8" t="s">
        <v>29</v>
      </c>
      <c r="S878" s="7" t="s">
        <v>28</v>
      </c>
      <c r="T878" s="6"/>
      <c r="U878" s="8"/>
    </row>
    <row r="879" spans="1:21" ht="13" customHeight="1">
      <c r="A879" s="8" t="s">
        <v>3046</v>
      </c>
      <c r="B879" s="16">
        <v>25</v>
      </c>
      <c r="C879" s="8" t="s">
        <v>20</v>
      </c>
      <c r="D879" s="8" t="s">
        <v>85</v>
      </c>
      <c r="E879" s="8" t="s">
        <v>3047</v>
      </c>
      <c r="F879" s="17">
        <v>42100</v>
      </c>
      <c r="G879" s="8" t="s">
        <v>3048</v>
      </c>
      <c r="H879" s="8" t="s">
        <v>2301</v>
      </c>
      <c r="I879" s="8" t="s">
        <v>25</v>
      </c>
      <c r="J879" s="16" t="s">
        <v>2434</v>
      </c>
      <c r="K879" s="2" t="s">
        <v>1781</v>
      </c>
      <c r="L879" s="8" t="s">
        <v>2435</v>
      </c>
      <c r="M879" s="8" t="s">
        <v>27</v>
      </c>
      <c r="N879" s="2" t="s">
        <v>3049</v>
      </c>
      <c r="O879" s="8" t="s">
        <v>550</v>
      </c>
      <c r="P879" s="8" t="s">
        <v>401</v>
      </c>
      <c r="Q879" s="12" t="str">
        <f>HYPERLINK("http://www.wdsu.com/news/local-news/new-orleans/jpso-officer-involved-in-shooting-in-harvey/32215908","http://www.wdsu.com/news/local-news/new-orleans/jpso-officer-involved-in-shooting-in-harvey/32215908")</f>
        <v>http://www.wdsu.com/news/local-news/new-orleans/jpso-officer-involved-in-shooting-in-harvey/32215908</v>
      </c>
      <c r="R879" s="8" t="s">
        <v>29</v>
      </c>
      <c r="S879" s="7" t="s">
        <v>28</v>
      </c>
      <c r="T879" s="6"/>
      <c r="U879" s="8"/>
    </row>
    <row r="880" spans="1:21" ht="13" customHeight="1">
      <c r="A880" s="8" t="s">
        <v>3055</v>
      </c>
      <c r="B880" s="16">
        <v>28</v>
      </c>
      <c r="C880" s="8" t="s">
        <v>20</v>
      </c>
      <c r="D880" s="8" t="s">
        <v>139</v>
      </c>
      <c r="F880" s="17">
        <v>42100</v>
      </c>
      <c r="G880" s="8" t="s">
        <v>3056</v>
      </c>
      <c r="H880" s="8" t="s">
        <v>3057</v>
      </c>
      <c r="I880" s="8" t="s">
        <v>303</v>
      </c>
      <c r="J880" s="16" t="s">
        <v>3058</v>
      </c>
      <c r="K880" s="2" t="s">
        <v>3059</v>
      </c>
      <c r="L880" s="8" t="s">
        <v>19731</v>
      </c>
      <c r="M880" s="8" t="s">
        <v>391</v>
      </c>
      <c r="N880" s="2" t="s">
        <v>3060</v>
      </c>
      <c r="O880" s="8" t="s">
        <v>1013</v>
      </c>
      <c r="P880" s="8" t="s">
        <v>401</v>
      </c>
      <c r="Q880" s="12" t="str">
        <f>HYPERLINK("http://www.seattletimes.com/seattle-news/coulee-dam-man-dies-following-taser-incident/","http://www.seattletimes.com/seattle-news/coulee-dam-man-dies-following-taser-incident/")</f>
        <v>http://www.seattletimes.com/seattle-news/coulee-dam-man-dies-following-taser-incident/</v>
      </c>
      <c r="R880" s="8" t="s">
        <v>967</v>
      </c>
      <c r="S880" s="7" t="s">
        <v>18</v>
      </c>
      <c r="T880" s="6"/>
      <c r="U880" s="8"/>
    </row>
    <row r="881" spans="1:34" ht="13" customHeight="1">
      <c r="A881" s="8" t="s">
        <v>3050</v>
      </c>
      <c r="B881" s="16">
        <v>56</v>
      </c>
      <c r="C881" s="8" t="s">
        <v>20</v>
      </c>
      <c r="D881" s="8" t="s">
        <v>37</v>
      </c>
      <c r="F881" s="17">
        <v>42100</v>
      </c>
      <c r="G881" s="8" t="s">
        <v>3051</v>
      </c>
      <c r="H881" s="8" t="s">
        <v>3052</v>
      </c>
      <c r="I881" s="8" t="s">
        <v>45</v>
      </c>
      <c r="J881" s="16">
        <v>93561</v>
      </c>
      <c r="K881" s="2" t="s">
        <v>682</v>
      </c>
      <c r="L881" s="8" t="s">
        <v>3053</v>
      </c>
      <c r="M881" s="8" t="s">
        <v>27</v>
      </c>
      <c r="N881" s="2" t="s">
        <v>3054</v>
      </c>
      <c r="O881" s="8" t="s">
        <v>2624</v>
      </c>
      <c r="P881" s="8" t="s">
        <v>401</v>
      </c>
      <c r="Q881" s="12" t="str">
        <f>HYPERLINK("http://www.turnto23.com/news/local-news/suspect-dies-after-officer-involved-shooting-in-tehachapi-040615","http://www.turnto23.com/news/local-news/suspect-dies-after-officer-involved-shooting-in-tehachapi-040615")</f>
        <v>http://www.turnto23.com/news/local-news/suspect-dies-after-officer-involved-shooting-in-tehachapi-040615</v>
      </c>
      <c r="R881" s="8" t="s">
        <v>29</v>
      </c>
      <c r="S881" s="7" t="s">
        <v>28</v>
      </c>
      <c r="T881" s="6"/>
      <c r="U881" s="8"/>
    </row>
    <row r="882" spans="1:34" ht="13" customHeight="1">
      <c r="A882" s="8" t="s">
        <v>3068</v>
      </c>
      <c r="B882" s="16">
        <v>23</v>
      </c>
      <c r="C882" s="8" t="s">
        <v>20</v>
      </c>
      <c r="D882" s="8" t="s">
        <v>37</v>
      </c>
      <c r="E882" s="8" t="s">
        <v>3069</v>
      </c>
      <c r="F882" s="17">
        <v>42100</v>
      </c>
      <c r="G882" s="8" t="s">
        <v>3070</v>
      </c>
      <c r="H882" s="8" t="s">
        <v>216</v>
      </c>
      <c r="I882" s="8" t="s">
        <v>217</v>
      </c>
      <c r="J882" s="16" t="s">
        <v>3071</v>
      </c>
      <c r="K882" s="2" t="s">
        <v>420</v>
      </c>
      <c r="L882" s="8" t="s">
        <v>218</v>
      </c>
      <c r="M882" s="8" t="s">
        <v>27</v>
      </c>
      <c r="N882" s="2" t="s">
        <v>3072</v>
      </c>
      <c r="O882" s="8" t="s">
        <v>400</v>
      </c>
      <c r="P882" s="8" t="s">
        <v>401</v>
      </c>
      <c r="Q882" s="12" t="str">
        <f>HYPERLINK("http://www.indystar.com/story/news/crime/2015/04/06/armed-man-shot-and-killed-by-police-on-southwestside/25348529/","http://www.indystar.com/story/news/crime/2015/04/06/armed-man-shot-and-killed-by-police-on-southwestside/25348529/")</f>
        <v>http://www.indystar.com/story/news/crime/2015/04/06/armed-man-shot-and-killed-by-police-on-southwestside/25348529/</v>
      </c>
      <c r="S882" s="7" t="s">
        <v>28</v>
      </c>
      <c r="T882" s="6"/>
      <c r="U882" s="8"/>
    </row>
    <row r="883" spans="1:34" ht="13" customHeight="1">
      <c r="A883" s="8" t="s">
        <v>3061</v>
      </c>
      <c r="B883" s="16">
        <v>33</v>
      </c>
      <c r="C883" s="8" t="s">
        <v>20</v>
      </c>
      <c r="D883" s="8" t="s">
        <v>37</v>
      </c>
      <c r="E883" s="8" t="s">
        <v>3062</v>
      </c>
      <c r="F883" s="17">
        <v>42100</v>
      </c>
      <c r="G883" s="8" t="s">
        <v>3063</v>
      </c>
      <c r="H883" s="8" t="s">
        <v>3064</v>
      </c>
      <c r="I883" s="8" t="s">
        <v>62</v>
      </c>
      <c r="J883" s="16" t="s">
        <v>3065</v>
      </c>
      <c r="K883" s="2" t="s">
        <v>420</v>
      </c>
      <c r="L883" s="8" t="s">
        <v>3066</v>
      </c>
      <c r="M883" s="8" t="s">
        <v>27</v>
      </c>
      <c r="N883" s="2" t="s">
        <v>3067</v>
      </c>
      <c r="O883" s="8" t="s">
        <v>400</v>
      </c>
      <c r="P883" s="8" t="s">
        <v>401</v>
      </c>
      <c r="Q883" s="12" t="str">
        <f>HYPERLINK("http://www.ocala.com/article/20150429/ARTICLES/150429614","http://www.ocala.com/article/20150429/ARTICLES/150429614")</f>
        <v>http://www.ocala.com/article/20150429/ARTICLES/150429614</v>
      </c>
      <c r="R883" s="8" t="s">
        <v>100</v>
      </c>
      <c r="S883" s="7" t="s">
        <v>18</v>
      </c>
      <c r="T883" s="6"/>
      <c r="U883" s="8"/>
    </row>
    <row r="884" spans="1:34" ht="13" customHeight="1">
      <c r="A884" s="8" t="s">
        <v>3073</v>
      </c>
      <c r="B884" s="16">
        <v>51</v>
      </c>
      <c r="C884" s="8" t="s">
        <v>20</v>
      </c>
      <c r="D884" s="8" t="s">
        <v>37</v>
      </c>
      <c r="E884" s="8" t="str">
        <f>HYPERLINK("http://mugshot-record-search.com/mugshot/AZ/Maricopa-County-Sheriff-Office/2015-Mar-16/8155067/Kenneth-Cockerel","http://mugshot-record-search.com/mugshot/AZ/Maricopa-County-Sheriff-Office/2015-Mar-16/8155067/Kenneth-Cockerel")</f>
        <v>http://mugshot-record-search.com/mugshot/AZ/Maricopa-County-Sheriff-Office/2015-Mar-16/8155067/Kenneth-Cockerel</v>
      </c>
      <c r="F884" s="17">
        <v>42099</v>
      </c>
      <c r="G884" s="8" t="s">
        <v>3074</v>
      </c>
      <c r="H884" s="8" t="s">
        <v>634</v>
      </c>
      <c r="I884" s="8" t="s">
        <v>123</v>
      </c>
      <c r="J884" s="16">
        <v>85308</v>
      </c>
      <c r="K884" s="2" t="s">
        <v>635</v>
      </c>
      <c r="L884" s="8" t="s">
        <v>636</v>
      </c>
      <c r="M884" s="8" t="s">
        <v>27</v>
      </c>
      <c r="N884" s="2" t="s">
        <v>3075</v>
      </c>
      <c r="O884" s="8" t="s">
        <v>1013</v>
      </c>
      <c r="P884" s="8" t="s">
        <v>401</v>
      </c>
      <c r="Q884" s="12" t="str">
        <f>HYPERLINK("http://www.abc15.com/news/region-phoenix-metro/north-phoenix/police-identify-ken-cockerel-as-man-who-stabbed-himself-then-threatened-officers-with-knives","http://www.abc15.com/news/region-phoenix-metro/north-phoenix/police-identify-ken-cockerel-as-man-who-stabbed-himself-then-threatened-officers-with-knives")</f>
        <v>http://www.abc15.com/news/region-phoenix-metro/north-phoenix/police-identify-ken-cockerel-as-man-who-stabbed-himself-then-threatened-officers-with-knives</v>
      </c>
      <c r="S884" s="7" t="s">
        <v>28</v>
      </c>
      <c r="T884" s="6"/>
      <c r="U884" s="8"/>
    </row>
    <row r="885" spans="1:34" ht="13" customHeight="1">
      <c r="A885" s="8" t="s">
        <v>3087</v>
      </c>
      <c r="B885" s="16">
        <v>50</v>
      </c>
      <c r="C885" s="8" t="s">
        <v>20</v>
      </c>
      <c r="D885" s="8" t="s">
        <v>85</v>
      </c>
      <c r="E885" s="8" t="s">
        <v>3088</v>
      </c>
      <c r="F885" s="17">
        <v>42098</v>
      </c>
      <c r="G885" s="8" t="s">
        <v>3089</v>
      </c>
      <c r="H885" s="8" t="s">
        <v>3090</v>
      </c>
      <c r="I885" s="8" t="s">
        <v>32</v>
      </c>
      <c r="J885" s="16" t="s">
        <v>3091</v>
      </c>
      <c r="K885" s="2" t="s">
        <v>2221</v>
      </c>
      <c r="L885" s="8" t="s">
        <v>2244</v>
      </c>
      <c r="M885" s="8" t="s">
        <v>27</v>
      </c>
      <c r="N885" s="2" t="s">
        <v>3092</v>
      </c>
      <c r="O885" s="8" t="s">
        <v>1161</v>
      </c>
      <c r="P885" s="8" t="s">
        <v>1162</v>
      </c>
      <c r="Q885" s="12" t="s">
        <v>3093</v>
      </c>
      <c r="R885" s="8" t="s">
        <v>100</v>
      </c>
      <c r="S885" s="7" t="s">
        <v>18</v>
      </c>
      <c r="T885" s="6"/>
      <c r="U885" s="8"/>
    </row>
    <row r="886" spans="1:34" ht="13" customHeight="1">
      <c r="A886" s="8" t="s">
        <v>3081</v>
      </c>
      <c r="B886" s="16">
        <v>17</v>
      </c>
      <c r="C886" s="8" t="s">
        <v>20</v>
      </c>
      <c r="D886" s="8" t="s">
        <v>85</v>
      </c>
      <c r="E886" s="8" t="s">
        <v>3082</v>
      </c>
      <c r="F886" s="17">
        <v>42098</v>
      </c>
      <c r="G886" s="8" t="s">
        <v>3083</v>
      </c>
      <c r="H886" s="8" t="s">
        <v>3084</v>
      </c>
      <c r="I886" s="8" t="s">
        <v>44</v>
      </c>
      <c r="J886" s="16">
        <v>60099</v>
      </c>
      <c r="K886" s="2" t="s">
        <v>1259</v>
      </c>
      <c r="L886" s="8" t="s">
        <v>3085</v>
      </c>
      <c r="M886" s="8" t="s">
        <v>27</v>
      </c>
      <c r="N886" s="2" t="s">
        <v>3086</v>
      </c>
      <c r="O886" s="8" t="s">
        <v>550</v>
      </c>
      <c r="P886" s="8" t="s">
        <v>401</v>
      </c>
      <c r="Q886" s="12" t="str">
        <f>HYPERLINK("http://www.huffingtonpost.com/2015/04/29/justus-howell_n_7172814.html","http://www.huffingtonpost.com/2015/04/29/justus-howell_n_7172814.html")</f>
        <v>http://www.huffingtonpost.com/2015/04/29/justus-howell_n_7172814.html</v>
      </c>
      <c r="R886" s="8" t="s">
        <v>29</v>
      </c>
      <c r="S886" s="7" t="s">
        <v>28</v>
      </c>
      <c r="T886" s="6"/>
      <c r="U886" s="8"/>
      <c r="V886" s="8"/>
      <c r="W886" s="8"/>
      <c r="X886" s="8"/>
    </row>
    <row r="887" spans="1:34" ht="13" customHeight="1">
      <c r="A887" s="8" t="s">
        <v>3076</v>
      </c>
      <c r="B887" s="16">
        <v>31</v>
      </c>
      <c r="C887" s="8" t="s">
        <v>20</v>
      </c>
      <c r="D887" s="8" t="s">
        <v>85</v>
      </c>
      <c r="E887" s="8" t="s">
        <v>3077</v>
      </c>
      <c r="F887" s="17">
        <v>42098</v>
      </c>
      <c r="G887" s="8" t="s">
        <v>3078</v>
      </c>
      <c r="H887" s="8" t="s">
        <v>1882</v>
      </c>
      <c r="I887" s="8" t="s">
        <v>45</v>
      </c>
      <c r="J887" s="16">
        <v>92865</v>
      </c>
      <c r="K887" s="2" t="s">
        <v>3079</v>
      </c>
      <c r="L887" s="8" t="s">
        <v>1884</v>
      </c>
      <c r="M887" s="8" t="s">
        <v>27</v>
      </c>
      <c r="N887" s="2" t="s">
        <v>3080</v>
      </c>
      <c r="O887" s="8" t="s">
        <v>1013</v>
      </c>
      <c r="P887" s="8" t="s">
        <v>401</v>
      </c>
      <c r="Q887" s="12" t="str">
        <f>HYPERLINK("http://ktla.com/2015/04/05/armed-man-is-fatally-shot-by-anaheim-police-1-day-after-posting-bail/","http://ktla.com/2015/04/05/armed-man-is-fatally-shot-by-anaheim-police-1-day-after-posting-bail/")</f>
        <v>http://ktla.com/2015/04/05/armed-man-is-fatally-shot-by-anaheim-police-1-day-after-posting-bail/</v>
      </c>
      <c r="S887" s="7" t="s">
        <v>28</v>
      </c>
      <c r="T887" s="6"/>
      <c r="U887" s="8"/>
      <c r="Y887" s="8"/>
      <c r="Z887" s="8"/>
      <c r="AA887" s="8"/>
      <c r="AB887" s="8"/>
      <c r="AC887" s="8"/>
      <c r="AD887" s="8"/>
      <c r="AE887" s="8"/>
      <c r="AF887" s="8"/>
      <c r="AG887" s="8"/>
      <c r="AH887" s="8"/>
    </row>
    <row r="888" spans="1:34" ht="13" customHeight="1">
      <c r="A888" s="8" t="s">
        <v>3094</v>
      </c>
      <c r="B888" s="16">
        <v>34</v>
      </c>
      <c r="C888" s="8" t="s">
        <v>20</v>
      </c>
      <c r="D888" s="8" t="s">
        <v>37</v>
      </c>
      <c r="E888" s="8" t="s">
        <v>3095</v>
      </c>
      <c r="F888" s="17">
        <v>42098</v>
      </c>
      <c r="G888" s="8" t="s">
        <v>3096</v>
      </c>
      <c r="H888" s="8" t="s">
        <v>3097</v>
      </c>
      <c r="I888" s="8" t="s">
        <v>195</v>
      </c>
      <c r="J888" s="16">
        <v>87015</v>
      </c>
      <c r="K888" s="2" t="s">
        <v>630</v>
      </c>
      <c r="L888" s="8" t="s">
        <v>3098</v>
      </c>
      <c r="M888" s="8" t="s">
        <v>27</v>
      </c>
      <c r="N888" s="2" t="s">
        <v>3099</v>
      </c>
      <c r="O888" s="8" t="s">
        <v>1013</v>
      </c>
      <c r="P888" s="8" t="s">
        <v>401</v>
      </c>
      <c r="Q888" s="12" t="str">
        <f>HYPERLINK("http://www.koat.com/news/state-police-officers-fatally-shoot-east-mountains-man/32197688","http://www.koat.com/news/state-police-officers-fatally-shoot-east-mountains-man/32197688")</f>
        <v>http://www.koat.com/news/state-police-officers-fatally-shoot-east-mountains-man/32197688</v>
      </c>
      <c r="R888" s="8" t="s">
        <v>100</v>
      </c>
      <c r="S888" s="7" t="s">
        <v>28</v>
      </c>
      <c r="T888" s="6"/>
      <c r="U888" s="8"/>
    </row>
    <row r="889" spans="1:34" ht="13" customHeight="1">
      <c r="A889" s="8" t="s">
        <v>3100</v>
      </c>
      <c r="B889" s="16">
        <v>33</v>
      </c>
      <c r="C889" s="8" t="s">
        <v>20</v>
      </c>
      <c r="D889" s="8" t="s">
        <v>37</v>
      </c>
      <c r="E889" s="8" t="s">
        <v>3101</v>
      </c>
      <c r="F889" s="17">
        <v>42098</v>
      </c>
      <c r="G889" s="8" t="s">
        <v>3102</v>
      </c>
      <c r="H889" s="8" t="s">
        <v>3103</v>
      </c>
      <c r="I889" s="8" t="s">
        <v>395</v>
      </c>
      <c r="J889" s="16">
        <v>74469</v>
      </c>
      <c r="K889" s="2" t="s">
        <v>3104</v>
      </c>
      <c r="L889" s="8" t="s">
        <v>3105</v>
      </c>
      <c r="M889" s="8" t="s">
        <v>391</v>
      </c>
      <c r="N889" s="8" t="s">
        <v>3106</v>
      </c>
      <c r="O889" s="8" t="s">
        <v>1013</v>
      </c>
      <c r="P889" s="8" t="s">
        <v>401</v>
      </c>
      <c r="Q889" s="12" t="str">
        <f>HYPERLINK("http://www.newson6.com/story/28722322/sheriff-man-who-died-after-being-tasered-broke-warner-officers-eye-bone-first","http://www.newson6.com/story/28722322/sheriff-man-who-died-after-being-tasered-broke-warner-officers-eye-bone-first")</f>
        <v>http://www.newson6.com/story/28722322/sheriff-man-who-died-after-being-tasered-broke-warner-officers-eye-bone-first</v>
      </c>
      <c r="R889" s="8" t="s">
        <v>100</v>
      </c>
      <c r="S889" s="7" t="s">
        <v>18</v>
      </c>
      <c r="T889" s="6"/>
      <c r="U889" s="8"/>
    </row>
    <row r="890" spans="1:34" ht="13" customHeight="1">
      <c r="A890" s="8" t="s">
        <v>3107</v>
      </c>
      <c r="B890" s="16">
        <v>32</v>
      </c>
      <c r="C890" s="8" t="s">
        <v>20</v>
      </c>
      <c r="D890" s="8" t="s">
        <v>85</v>
      </c>
      <c r="E890" s="8" t="str">
        <f>HYPERLINK("http://www.killedbypolice.net/victims/150297.jpg","http://www.killedbypolice.net/victims/150297.jpg")</f>
        <v>http://www.killedbypolice.net/victims/150297.jpg</v>
      </c>
      <c r="F890" s="17">
        <v>42097</v>
      </c>
      <c r="G890" s="8" t="s">
        <v>3108</v>
      </c>
      <c r="H890" s="8" t="s">
        <v>3109</v>
      </c>
      <c r="I890" s="8" t="s">
        <v>44</v>
      </c>
      <c r="J890" s="16">
        <v>61201</v>
      </c>
      <c r="K890" s="2" t="s">
        <v>3109</v>
      </c>
      <c r="L890" s="8" t="s">
        <v>3110</v>
      </c>
      <c r="M890" s="8" t="s">
        <v>27</v>
      </c>
      <c r="N890" s="2" t="s">
        <v>3111</v>
      </c>
      <c r="O890" s="8" t="s">
        <v>1013</v>
      </c>
      <c r="P890" s="8" t="s">
        <v>401</v>
      </c>
      <c r="Q890" s="12" t="str">
        <f>HYPERLINK("http://kwqc.com/2015/04/03/r-i-county-coroner-identifies-man-killed-in-officer-involved-shooting/","http://kwqc.com/2015/04/03/r-i-county-coroner-identifies-man-killed-in-officer-involved-shooting/")</f>
        <v>http://kwqc.com/2015/04/03/r-i-county-coroner-identifies-man-killed-in-officer-involved-shooting/</v>
      </c>
      <c r="R890" s="8" t="s">
        <v>100</v>
      </c>
      <c r="S890" s="7" t="s">
        <v>28</v>
      </c>
      <c r="T890" s="6"/>
      <c r="U890" s="8"/>
    </row>
    <row r="891" spans="1:34" ht="13" customHeight="1">
      <c r="A891" s="8" t="s">
        <v>3112</v>
      </c>
      <c r="B891" s="16">
        <v>38</v>
      </c>
      <c r="C891" s="8" t="s">
        <v>20</v>
      </c>
      <c r="D891" s="8" t="s">
        <v>37</v>
      </c>
      <c r="E891" s="8" t="s">
        <v>3113</v>
      </c>
      <c r="F891" s="17">
        <v>42097</v>
      </c>
      <c r="G891" s="8" t="s">
        <v>3114</v>
      </c>
      <c r="H891" s="8" t="s">
        <v>3115</v>
      </c>
      <c r="I891" s="8" t="s">
        <v>244</v>
      </c>
      <c r="J891" s="16">
        <v>22603</v>
      </c>
      <c r="K891" s="2" t="s">
        <v>3116</v>
      </c>
      <c r="L891" s="8" t="s">
        <v>3117</v>
      </c>
      <c r="M891" s="8" t="s">
        <v>27</v>
      </c>
      <c r="N891" s="2" t="s">
        <v>3118</v>
      </c>
      <c r="O891" s="8" t="s">
        <v>1013</v>
      </c>
      <c r="P891" s="8" t="s">
        <v>401</v>
      </c>
      <c r="Q891" s="12" t="str">
        <f>HYPERLINK("http://www.winchesterstar.com/article/040615br","http://www.winchesterstar.com/article/040615br")</f>
        <v>http://www.winchesterstar.com/article/040615br</v>
      </c>
      <c r="R891" s="8" t="s">
        <v>100</v>
      </c>
      <c r="S891" s="7" t="s">
        <v>28</v>
      </c>
      <c r="T891" s="6"/>
      <c r="U891" s="8"/>
      <c r="V891" s="8"/>
      <c r="W891" s="8"/>
      <c r="X891" s="8"/>
    </row>
    <row r="892" spans="1:34" ht="13" customHeight="1">
      <c r="A892" s="8" t="s">
        <v>3125</v>
      </c>
      <c r="B892" s="16">
        <v>44</v>
      </c>
      <c r="C892" s="8" t="s">
        <v>20</v>
      </c>
      <c r="D892" s="8" t="s">
        <v>85</v>
      </c>
      <c r="E892" s="8" t="s">
        <v>3126</v>
      </c>
      <c r="F892" s="17">
        <v>42096</v>
      </c>
      <c r="G892" s="8" t="s">
        <v>3127</v>
      </c>
      <c r="H892" s="8" t="s">
        <v>2497</v>
      </c>
      <c r="I892" s="8" t="s">
        <v>395</v>
      </c>
      <c r="J892" s="16" t="s">
        <v>2498</v>
      </c>
      <c r="K892" s="2" t="s">
        <v>2497</v>
      </c>
      <c r="L892" s="8" t="s">
        <v>3128</v>
      </c>
      <c r="M892" s="8" t="s">
        <v>27</v>
      </c>
      <c r="N892" s="2" t="s">
        <v>3129</v>
      </c>
      <c r="O892" s="8" t="s">
        <v>1790</v>
      </c>
      <c r="P892" s="8" t="s">
        <v>1162</v>
      </c>
      <c r="Q892" s="12" t="str">
        <f>HYPERLINK("http://www.inquisitr.com/2003038/oklahoma-shooting-videos-reveal-eric-courtney-harris-last-moments-alive/","http://www.inquisitr.com/2003038/oklahoma-shooting-videos-reveal-eric-courtney-harris-last-moments-alive/")</f>
        <v>http://www.inquisitr.com/2003038/oklahoma-shooting-videos-reveal-eric-courtney-harris-last-moments-alive/</v>
      </c>
      <c r="R892" s="8" t="s">
        <v>100</v>
      </c>
      <c r="S892" s="7" t="s">
        <v>18</v>
      </c>
      <c r="T892" s="6"/>
      <c r="U892" s="8"/>
    </row>
    <row r="893" spans="1:34" ht="13" customHeight="1">
      <c r="A893" s="8" t="s">
        <v>3119</v>
      </c>
      <c r="B893" s="16">
        <v>39</v>
      </c>
      <c r="C893" s="8" t="s">
        <v>20</v>
      </c>
      <c r="D893" s="8" t="s">
        <v>85</v>
      </c>
      <c r="E893" s="8" t="s">
        <v>3120</v>
      </c>
      <c r="F893" s="17">
        <v>42096</v>
      </c>
      <c r="G893" s="8" t="s">
        <v>3121</v>
      </c>
      <c r="H893" s="8" t="s">
        <v>3122</v>
      </c>
      <c r="I893" s="8" t="s">
        <v>423</v>
      </c>
      <c r="J893" s="16">
        <v>12210</v>
      </c>
      <c r="K893" s="2" t="s">
        <v>3122</v>
      </c>
      <c r="L893" s="8" t="s">
        <v>3123</v>
      </c>
      <c r="M893" s="8" t="s">
        <v>391</v>
      </c>
      <c r="N893" s="2" t="s">
        <v>3124</v>
      </c>
      <c r="O893" s="8" t="s">
        <v>2624</v>
      </c>
      <c r="P893" s="8" t="s">
        <v>401</v>
      </c>
      <c r="Q893" s="12" t="str">
        <f>HYPERLINK("http://www.timesunion.com/news/article/Taser-victim-Dontay-Ivy-to-be-laid-to-rest-6187858.php","http://www.timesunion.com/news/article/Taser-victim-Dontay-Ivy-to-be-laid-to-rest-6187858.php")</f>
        <v>http://www.timesunion.com/news/article/Taser-victim-Dontay-Ivy-to-be-laid-to-rest-6187858.php</v>
      </c>
      <c r="R893" s="8" t="s">
        <v>555</v>
      </c>
      <c r="S893" s="7" t="s">
        <v>18</v>
      </c>
      <c r="T893" s="6"/>
      <c r="U893" s="8"/>
    </row>
    <row r="894" spans="1:34" ht="13" customHeight="1">
      <c r="A894" s="8" t="s">
        <v>3130</v>
      </c>
      <c r="B894" s="16">
        <v>63</v>
      </c>
      <c r="C894" s="8" t="s">
        <v>20</v>
      </c>
      <c r="D894" s="8" t="s">
        <v>37</v>
      </c>
      <c r="F894" s="17">
        <v>42096</v>
      </c>
      <c r="G894" s="8" t="s">
        <v>3131</v>
      </c>
      <c r="H894" s="8" t="s">
        <v>3132</v>
      </c>
      <c r="I894" s="8" t="s">
        <v>44</v>
      </c>
      <c r="J894" s="16" t="s">
        <v>3133</v>
      </c>
      <c r="K894" s="2" t="s">
        <v>3134</v>
      </c>
      <c r="L894" s="8" t="s">
        <v>3135</v>
      </c>
      <c r="M894" s="8" t="s">
        <v>27</v>
      </c>
      <c r="N894" s="2" t="s">
        <v>3136</v>
      </c>
      <c r="O894" s="8" t="s">
        <v>1013</v>
      </c>
      <c r="P894" s="8" t="s">
        <v>401</v>
      </c>
      <c r="Q894" s="12" t="str">
        <f>HYPERLINK("http://www.kfvs12.com/story/28708976/man-identified-following-officer-involved-shooting-in-metropolis","http://www.kfvs12.com/story/28708976/man-identified-following-officer-involved-shooting-in-metropolis")</f>
        <v>http://www.kfvs12.com/story/28708976/man-identified-following-officer-involved-shooting-in-metropolis</v>
      </c>
      <c r="R894" s="8" t="s">
        <v>29</v>
      </c>
      <c r="S894" s="7" t="s">
        <v>28</v>
      </c>
      <c r="T894" s="6"/>
      <c r="U894" s="8"/>
    </row>
    <row r="895" spans="1:34" ht="13" customHeight="1">
      <c r="A895" s="8" t="s">
        <v>3137</v>
      </c>
      <c r="B895" s="16">
        <v>27</v>
      </c>
      <c r="C895" s="8" t="s">
        <v>20</v>
      </c>
      <c r="D895" s="8" t="s">
        <v>37</v>
      </c>
      <c r="E895" s="8" t="s">
        <v>3138</v>
      </c>
      <c r="F895" s="17">
        <v>42096</v>
      </c>
      <c r="G895" s="8" t="s">
        <v>3139</v>
      </c>
      <c r="H895" s="8" t="s">
        <v>3140</v>
      </c>
      <c r="I895" s="8" t="s">
        <v>25</v>
      </c>
      <c r="J895" s="16" t="s">
        <v>3141</v>
      </c>
      <c r="K895" s="2" t="s">
        <v>3142</v>
      </c>
      <c r="L895" s="8" t="s">
        <v>3143</v>
      </c>
      <c r="M895" s="8" t="s">
        <v>27</v>
      </c>
      <c r="N895" s="2" t="s">
        <v>3144</v>
      </c>
      <c r="O895" s="8" t="s">
        <v>400</v>
      </c>
      <c r="P895" s="8" t="s">
        <v>401</v>
      </c>
      <c r="Q895" s="12" t="str">
        <f>HYPERLINK("http://www.thetowntalk.com/story/news/local/2015/04/04/pineville-man-killed-deputy-idd-la-guardsman/25296693/","http://www.thetowntalk.com/story/news/local/2015/04/04/pineville-man-killed-deputy-idd-la-guardsman/25296693/")</f>
        <v>http://www.thetowntalk.com/story/news/local/2015/04/04/pineville-man-killed-deputy-idd-la-guardsman/25296693/</v>
      </c>
      <c r="S895" s="7" t="s">
        <v>28</v>
      </c>
      <c r="T895" s="6"/>
      <c r="U895" s="8"/>
    </row>
    <row r="896" spans="1:34" ht="13" customHeight="1">
      <c r="A896" s="8" t="s">
        <v>3145</v>
      </c>
      <c r="B896" s="16">
        <v>37</v>
      </c>
      <c r="C896" s="8" t="s">
        <v>20</v>
      </c>
      <c r="D896" s="8" t="s">
        <v>85</v>
      </c>
      <c r="E896" s="8" t="str">
        <f>HYPERLINK("http://www.killedbypolice.net/victims/150292.jpg","http://www.killedbypolice.net/victims/150292.jpg")</f>
        <v>http://www.killedbypolice.net/victims/150292.jpg</v>
      </c>
      <c r="F896" s="17">
        <v>42095</v>
      </c>
      <c r="G896" s="8" t="s">
        <v>3146</v>
      </c>
      <c r="H896" s="8" t="s">
        <v>3147</v>
      </c>
      <c r="I896" s="8" t="s">
        <v>45</v>
      </c>
      <c r="J896" s="16">
        <v>90250</v>
      </c>
      <c r="K896" s="2" t="s">
        <v>98</v>
      </c>
      <c r="L896" s="8" t="s">
        <v>3148</v>
      </c>
      <c r="M896" s="8" t="s">
        <v>27</v>
      </c>
      <c r="N896" s="2" t="s">
        <v>3149</v>
      </c>
      <c r="O896" s="8" t="s">
        <v>1013</v>
      </c>
      <c r="P896" s="8" t="s">
        <v>401</v>
      </c>
      <c r="Q896" s="12" t="str">
        <f>HYPERLINK("http://www.nbclosangeles.com/news/local/Fatal-Shooting-May-Have-Started-Over-Laugh-298532211.html","http://www.nbclosangeles.com/news/local/Fatal-Shooting-May-Have-Started-Over-Laugh-298532211.html")</f>
        <v>http://www.nbclosangeles.com/news/local/Fatal-Shooting-May-Have-Started-Over-Laugh-298532211.html</v>
      </c>
      <c r="R896" s="8" t="s">
        <v>100</v>
      </c>
      <c r="S896" s="7" t="s">
        <v>28</v>
      </c>
      <c r="T896" s="6"/>
      <c r="U896" s="8"/>
    </row>
    <row r="897" spans="1:21" ht="13" customHeight="1">
      <c r="A897" s="8" t="s">
        <v>3162</v>
      </c>
      <c r="B897" s="16">
        <v>32</v>
      </c>
      <c r="C897" s="8" t="s">
        <v>20</v>
      </c>
      <c r="D897" s="8" t="s">
        <v>85</v>
      </c>
      <c r="E897" s="8" t="s">
        <v>3163</v>
      </c>
      <c r="F897" s="17">
        <v>42094</v>
      </c>
      <c r="G897" s="8" t="s">
        <v>3164</v>
      </c>
      <c r="H897" s="8" t="s">
        <v>3165</v>
      </c>
      <c r="I897" s="8" t="s">
        <v>81</v>
      </c>
      <c r="J897" s="16" t="s">
        <v>3166</v>
      </c>
      <c r="K897" s="2" t="s">
        <v>3167</v>
      </c>
      <c r="L897" s="8" t="s">
        <v>3168</v>
      </c>
      <c r="M897" s="8" t="s">
        <v>3169</v>
      </c>
      <c r="N897" s="2" t="s">
        <v>3170</v>
      </c>
      <c r="O897" s="8" t="s">
        <v>400</v>
      </c>
      <c r="P897" s="8" t="s">
        <v>401</v>
      </c>
      <c r="Q897" s="12" t="s">
        <v>3171</v>
      </c>
      <c r="R897" s="8" t="s">
        <v>29</v>
      </c>
      <c r="S897" s="7" t="s">
        <v>18</v>
      </c>
      <c r="T897" s="6"/>
      <c r="U897" s="8"/>
    </row>
    <row r="898" spans="1:21" ht="13" customHeight="1">
      <c r="A898" s="8" t="s">
        <v>3150</v>
      </c>
      <c r="B898" s="16">
        <v>31</v>
      </c>
      <c r="C898" s="8" t="s">
        <v>20</v>
      </c>
      <c r="D898" s="8" t="s">
        <v>85</v>
      </c>
      <c r="E898" s="8" t="s">
        <v>3151</v>
      </c>
      <c r="F898" s="17">
        <v>42094</v>
      </c>
      <c r="G898" s="8" t="s">
        <v>3152</v>
      </c>
      <c r="H898" s="8" t="s">
        <v>2031</v>
      </c>
      <c r="I898" s="8" t="s">
        <v>319</v>
      </c>
      <c r="J898" s="16" t="s">
        <v>3153</v>
      </c>
      <c r="K898" s="2" t="s">
        <v>882</v>
      </c>
      <c r="L898" s="8" t="s">
        <v>883</v>
      </c>
      <c r="M898" s="8" t="s">
        <v>27</v>
      </c>
      <c r="N898" s="2" t="s">
        <v>3154</v>
      </c>
      <c r="O898" s="8" t="s">
        <v>400</v>
      </c>
      <c r="P898" s="8" t="s">
        <v>401</v>
      </c>
      <c r="Q898" s="12" t="s">
        <v>3155</v>
      </c>
      <c r="R898" s="8" t="s">
        <v>29</v>
      </c>
      <c r="S898" s="7" t="s">
        <v>28</v>
      </c>
      <c r="T898" s="6"/>
      <c r="U898" s="8"/>
    </row>
    <row r="899" spans="1:21" ht="13" customHeight="1">
      <c r="A899" s="8" t="s">
        <v>3156</v>
      </c>
      <c r="B899" s="16">
        <v>17</v>
      </c>
      <c r="C899" s="8" t="s">
        <v>20</v>
      </c>
      <c r="D899" s="8" t="s">
        <v>85</v>
      </c>
      <c r="E899" s="8" t="s">
        <v>3157</v>
      </c>
      <c r="F899" s="17">
        <v>42094</v>
      </c>
      <c r="G899" s="8" t="s">
        <v>3158</v>
      </c>
      <c r="H899" s="8" t="s">
        <v>934</v>
      </c>
      <c r="I899" s="8" t="s">
        <v>173</v>
      </c>
      <c r="J899" s="16" t="s">
        <v>3159</v>
      </c>
      <c r="K899" s="2" t="s">
        <v>1560</v>
      </c>
      <c r="L899" s="8" t="s">
        <v>936</v>
      </c>
      <c r="M899" s="8" t="s">
        <v>379</v>
      </c>
      <c r="N899" s="2" t="s">
        <v>3160</v>
      </c>
      <c r="O899" s="8" t="s">
        <v>400</v>
      </c>
      <c r="P899" s="8" t="s">
        <v>401</v>
      </c>
      <c r="Q899" s="12" t="s">
        <v>3161</v>
      </c>
      <c r="R899" s="8" t="s">
        <v>29</v>
      </c>
      <c r="S899" s="7" t="s">
        <v>28</v>
      </c>
      <c r="T899" s="6"/>
      <c r="U899" s="8"/>
    </row>
    <row r="900" spans="1:21" ht="13" customHeight="1">
      <c r="A900" s="8" t="s">
        <v>3172</v>
      </c>
      <c r="B900" s="16">
        <v>21</v>
      </c>
      <c r="C900" s="8" t="s">
        <v>20</v>
      </c>
      <c r="D900" s="8" t="s">
        <v>48</v>
      </c>
      <c r="E900" s="8" t="s">
        <v>3173</v>
      </c>
      <c r="F900" s="17">
        <v>42094</v>
      </c>
      <c r="G900" s="8" t="s">
        <v>3174</v>
      </c>
      <c r="H900" s="8" t="s">
        <v>3175</v>
      </c>
      <c r="I900" s="8" t="s">
        <v>73</v>
      </c>
      <c r="J900" s="16">
        <v>77520</v>
      </c>
      <c r="K900" s="2" t="s">
        <v>3175</v>
      </c>
      <c r="L900" s="8" t="s">
        <v>3176</v>
      </c>
      <c r="M900" s="8" t="s">
        <v>27</v>
      </c>
      <c r="N900" s="2" t="s">
        <v>3177</v>
      </c>
      <c r="P900" s="8" t="s">
        <v>401</v>
      </c>
      <c r="Q900" s="12" t="str">
        <f>HYPERLINK("http://www.click2houston.com/news/pd-man-with-pellet-gun-shot-dead-by-baytown-police-officer/32108156","http://www.click2houston.com/news/pd-man-with-pellet-gun-shot-dead-by-baytown-police-officer/32108156")</f>
        <v>http://www.click2houston.com/news/pd-man-with-pellet-gun-shot-dead-by-baytown-police-officer/32108156</v>
      </c>
      <c r="S900" s="7" t="s">
        <v>18</v>
      </c>
      <c r="T900" s="6"/>
      <c r="U900" s="8"/>
    </row>
    <row r="901" spans="1:21" ht="13" customHeight="1">
      <c r="A901" s="8" t="s">
        <v>3178</v>
      </c>
      <c r="B901" s="16">
        <v>36</v>
      </c>
      <c r="C901" s="8" t="s">
        <v>20</v>
      </c>
      <c r="D901" s="8" t="s">
        <v>37</v>
      </c>
      <c r="E901" s="8" t="s">
        <v>3179</v>
      </c>
      <c r="F901" s="17">
        <v>42094</v>
      </c>
      <c r="G901" s="8" t="s">
        <v>3180</v>
      </c>
      <c r="H901" s="8" t="s">
        <v>1571</v>
      </c>
      <c r="I901" s="8" t="s">
        <v>62</v>
      </c>
      <c r="J901" s="16" t="s">
        <v>3181</v>
      </c>
      <c r="K901" s="2" t="s">
        <v>640</v>
      </c>
      <c r="L901" s="8" t="s">
        <v>3182</v>
      </c>
      <c r="M901" s="8" t="s">
        <v>27</v>
      </c>
      <c r="N901" s="2" t="s">
        <v>3183</v>
      </c>
      <c r="O901" s="8" t="s">
        <v>1013</v>
      </c>
      <c r="P901" s="8" t="s">
        <v>401</v>
      </c>
      <c r="Q901" s="12" t="s">
        <v>3184</v>
      </c>
      <c r="R901" s="8" t="s">
        <v>100</v>
      </c>
      <c r="S901" s="7" t="s">
        <v>28</v>
      </c>
      <c r="T901" s="6"/>
      <c r="U901" s="8"/>
    </row>
    <row r="902" spans="1:21" ht="13" customHeight="1">
      <c r="A902" s="8" t="s">
        <v>3192</v>
      </c>
      <c r="B902" s="16">
        <v>27</v>
      </c>
      <c r="C902" s="8" t="s">
        <v>114</v>
      </c>
      <c r="D902" s="8" t="s">
        <v>85</v>
      </c>
      <c r="E902" s="8" t="s">
        <v>3193</v>
      </c>
      <c r="F902" s="17">
        <v>42093</v>
      </c>
      <c r="G902" s="8" t="s">
        <v>3194</v>
      </c>
      <c r="H902" s="8" t="s">
        <v>3195</v>
      </c>
      <c r="I902" s="8" t="s">
        <v>52</v>
      </c>
      <c r="J902" s="16" t="s">
        <v>3196</v>
      </c>
      <c r="K902" s="2" t="s">
        <v>3197</v>
      </c>
      <c r="L902" s="8" t="s">
        <v>3198</v>
      </c>
      <c r="M902" s="8" t="s">
        <v>27</v>
      </c>
      <c r="N902" s="2" t="s">
        <v>3199</v>
      </c>
      <c r="O902" s="8" t="s">
        <v>400</v>
      </c>
      <c r="P902" s="8" t="s">
        <v>401</v>
      </c>
      <c r="Q902" s="12" t="s">
        <v>3200</v>
      </c>
      <c r="R902" s="8" t="s">
        <v>29</v>
      </c>
      <c r="S902" s="7" t="s">
        <v>379</v>
      </c>
      <c r="T902" s="6"/>
      <c r="U902" s="8"/>
    </row>
    <row r="903" spans="1:21" ht="13" customHeight="1">
      <c r="A903" s="8" t="s">
        <v>3185</v>
      </c>
      <c r="B903" s="16">
        <v>30</v>
      </c>
      <c r="C903" s="8" t="s">
        <v>20</v>
      </c>
      <c r="D903" s="8" t="s">
        <v>85</v>
      </c>
      <c r="E903" s="8" t="s">
        <v>3186</v>
      </c>
      <c r="F903" s="17">
        <v>42093</v>
      </c>
      <c r="G903" s="8" t="s">
        <v>3187</v>
      </c>
      <c r="H903" s="8" t="s">
        <v>3188</v>
      </c>
      <c r="I903" s="8" t="s">
        <v>244</v>
      </c>
      <c r="J903" s="16">
        <v>22701</v>
      </c>
      <c r="K903" s="2" t="s">
        <v>3188</v>
      </c>
      <c r="L903" s="8" t="s">
        <v>3189</v>
      </c>
      <c r="M903" s="8" t="s">
        <v>391</v>
      </c>
      <c r="N903" s="2" t="s">
        <v>3190</v>
      </c>
      <c r="P903" s="8" t="s">
        <v>401</v>
      </c>
      <c r="Q903" s="12" t="s">
        <v>3191</v>
      </c>
      <c r="S903" s="7" t="s">
        <v>18</v>
      </c>
      <c r="T903" s="6"/>
      <c r="U903" s="8"/>
    </row>
    <row r="904" spans="1:21" ht="13" customHeight="1">
      <c r="A904" s="8" t="s">
        <v>3206</v>
      </c>
      <c r="B904" s="16">
        <v>49</v>
      </c>
      <c r="C904" s="8" t="s">
        <v>20</v>
      </c>
      <c r="D904" s="8" t="s">
        <v>37</v>
      </c>
      <c r="E904" s="8" t="s">
        <v>3207</v>
      </c>
      <c r="F904" s="17">
        <v>42093</v>
      </c>
      <c r="G904" s="8" t="s">
        <v>3208</v>
      </c>
      <c r="H904" s="8" t="s">
        <v>3209</v>
      </c>
      <c r="I904" s="8" t="s">
        <v>117</v>
      </c>
      <c r="J904" s="16" t="s">
        <v>3210</v>
      </c>
      <c r="K904" s="2" t="s">
        <v>3211</v>
      </c>
      <c r="L904" s="8" t="s">
        <v>3212</v>
      </c>
      <c r="M904" s="8" t="s">
        <v>27</v>
      </c>
      <c r="N904" s="2" t="s">
        <v>3213</v>
      </c>
      <c r="O904" s="8" t="s">
        <v>400</v>
      </c>
      <c r="P904" s="8" t="s">
        <v>401</v>
      </c>
      <c r="Q904" s="12" t="s">
        <v>3214</v>
      </c>
      <c r="R904" s="8" t="s">
        <v>555</v>
      </c>
      <c r="S904" s="7" t="s">
        <v>28</v>
      </c>
      <c r="T904" s="6"/>
      <c r="U904" s="8"/>
    </row>
    <row r="905" spans="1:21" ht="13" customHeight="1">
      <c r="A905" s="8" t="s">
        <v>3201</v>
      </c>
      <c r="B905" s="16">
        <v>39</v>
      </c>
      <c r="C905" s="8" t="s">
        <v>20</v>
      </c>
      <c r="D905" s="8" t="s">
        <v>37</v>
      </c>
      <c r="F905" s="17">
        <v>42093</v>
      </c>
      <c r="G905" s="8" t="s">
        <v>3202</v>
      </c>
      <c r="H905" s="8" t="s">
        <v>3203</v>
      </c>
      <c r="I905" s="8" t="s">
        <v>217</v>
      </c>
      <c r="J905" s="16">
        <v>46307</v>
      </c>
      <c r="K905" s="2" t="s">
        <v>1259</v>
      </c>
      <c r="L905" s="8" t="s">
        <v>3204</v>
      </c>
      <c r="M905" s="8" t="s">
        <v>2297</v>
      </c>
      <c r="N905" s="2" t="s">
        <v>3205</v>
      </c>
      <c r="P905" s="8" t="s">
        <v>401</v>
      </c>
      <c r="Q905" s="12" t="str">
        <f>HYPERLINK("http://www.nwitimes.com/news/local/lake/hobart-man-dies-while-in-police-custody/article_8c40ecd0-25ee-537c-a247-168e9f79d438.html","http://www.nwitimes.com/news/local/lake/hobart-man-dies-while-in-police-custody/article_8c40ecd0-25ee-537c-a247-168e9f79d438.html")</f>
        <v>http://www.nwitimes.com/news/local/lake/hobart-man-dies-while-in-police-custody/article_8c40ecd0-25ee-537c-a247-168e9f79d438.html</v>
      </c>
      <c r="S905" s="7" t="s">
        <v>18</v>
      </c>
      <c r="T905" s="6"/>
      <c r="U905" s="8"/>
    </row>
    <row r="906" spans="1:21" ht="13" customHeight="1">
      <c r="A906" s="8" t="s">
        <v>3230</v>
      </c>
      <c r="B906" s="16">
        <v>29</v>
      </c>
      <c r="C906" s="8" t="s">
        <v>20</v>
      </c>
      <c r="D906" s="8" t="s">
        <v>85</v>
      </c>
      <c r="E906" s="8" t="s">
        <v>21567</v>
      </c>
      <c r="F906" s="17">
        <v>42092</v>
      </c>
      <c r="G906" s="8" t="s">
        <v>3231</v>
      </c>
      <c r="H906" s="8" t="s">
        <v>1409</v>
      </c>
      <c r="I906" s="8" t="s">
        <v>315</v>
      </c>
      <c r="J906" s="16" t="s">
        <v>3232</v>
      </c>
      <c r="K906" s="2" t="s">
        <v>1410</v>
      </c>
      <c r="L906" s="8" t="s">
        <v>3233</v>
      </c>
      <c r="M906" s="8" t="s">
        <v>27</v>
      </c>
      <c r="N906" s="2" t="s">
        <v>21566</v>
      </c>
      <c r="O906" s="8" t="s">
        <v>1013</v>
      </c>
      <c r="P906" s="8" t="s">
        <v>401</v>
      </c>
      <c r="Q906" s="12" t="s">
        <v>3234</v>
      </c>
      <c r="R906" s="8" t="s">
        <v>100</v>
      </c>
      <c r="S906" s="7" t="s">
        <v>28</v>
      </c>
      <c r="T906" s="6"/>
      <c r="U906" s="8"/>
    </row>
    <row r="907" spans="1:21" ht="13" customHeight="1">
      <c r="A907" s="8" t="s">
        <v>3215</v>
      </c>
      <c r="B907" s="16">
        <v>29</v>
      </c>
      <c r="C907" s="8" t="s">
        <v>20</v>
      </c>
      <c r="D907" s="8" t="s">
        <v>85</v>
      </c>
      <c r="F907" s="17">
        <v>42092</v>
      </c>
      <c r="G907" s="8" t="s">
        <v>3216</v>
      </c>
      <c r="H907" s="8" t="s">
        <v>3217</v>
      </c>
      <c r="I907" s="8" t="s">
        <v>45</v>
      </c>
      <c r="J907" s="16" t="s">
        <v>3218</v>
      </c>
      <c r="K907" s="2" t="s">
        <v>3219</v>
      </c>
      <c r="L907" s="8" t="s">
        <v>3220</v>
      </c>
      <c r="M907" s="8" t="s">
        <v>27</v>
      </c>
      <c r="N907" s="2" t="s">
        <v>3221</v>
      </c>
      <c r="O907" s="8" t="s">
        <v>400</v>
      </c>
      <c r="P907" s="8" t="s">
        <v>401</v>
      </c>
      <c r="Q907" s="12" t="s">
        <v>3222</v>
      </c>
      <c r="R907" s="8" t="s">
        <v>29</v>
      </c>
      <c r="S907" s="7" t="s">
        <v>18</v>
      </c>
      <c r="T907" s="6"/>
      <c r="U907" s="8"/>
    </row>
    <row r="908" spans="1:21" ht="13" customHeight="1">
      <c r="A908" s="8" t="s">
        <v>3235</v>
      </c>
      <c r="B908" s="16">
        <v>26</v>
      </c>
      <c r="C908" s="8" t="s">
        <v>20</v>
      </c>
      <c r="D908" s="8" t="s">
        <v>37</v>
      </c>
      <c r="F908" s="17">
        <v>42092</v>
      </c>
      <c r="G908" s="8" t="s">
        <v>3236</v>
      </c>
      <c r="H908" s="8" t="s">
        <v>3237</v>
      </c>
      <c r="I908" s="8" t="s">
        <v>69</v>
      </c>
      <c r="J908" s="16">
        <v>45660</v>
      </c>
      <c r="K908" s="2" t="s">
        <v>3238</v>
      </c>
      <c r="L908" s="8" t="s">
        <v>3239</v>
      </c>
      <c r="M908" s="8" t="s">
        <v>27</v>
      </c>
      <c r="N908" s="2" t="s">
        <v>3240</v>
      </c>
      <c r="O908" s="8" t="s">
        <v>400</v>
      </c>
      <c r="P908" s="8" t="s">
        <v>1162</v>
      </c>
      <c r="Q908" s="12" t="str">
        <f>HYPERLINK("http://www.10tv.com/content/stories/2015/03/29/pike-county-ohio--officer-involved-shooting-leaves-one-dead.html","http://www.10tv.com/content/stories/2015/03/29/pike-county-ohio--officer-involved-shooting-leaves-one-dead.html")</f>
        <v>http://www.10tv.com/content/stories/2015/03/29/pike-county-ohio--officer-involved-shooting-leaves-one-dead.html</v>
      </c>
      <c r="R908" s="8" t="s">
        <v>100</v>
      </c>
      <c r="S908" s="7" t="s">
        <v>379</v>
      </c>
      <c r="T908" s="6"/>
      <c r="U908" s="8"/>
    </row>
    <row r="909" spans="1:21" ht="13" customHeight="1">
      <c r="A909" s="8" t="s">
        <v>3223</v>
      </c>
      <c r="B909" s="16">
        <v>54</v>
      </c>
      <c r="C909" s="8" t="s">
        <v>20</v>
      </c>
      <c r="D909" s="8" t="s">
        <v>37</v>
      </c>
      <c r="F909" s="17">
        <v>42092</v>
      </c>
      <c r="G909" s="8" t="s">
        <v>3224</v>
      </c>
      <c r="H909" s="8" t="s">
        <v>3225</v>
      </c>
      <c r="I909" s="8" t="s">
        <v>269</v>
      </c>
      <c r="J909" s="16" t="s">
        <v>3226</v>
      </c>
      <c r="K909" s="2" t="s">
        <v>570</v>
      </c>
      <c r="L909" s="8" t="s">
        <v>3227</v>
      </c>
      <c r="M909" s="8" t="s">
        <v>27</v>
      </c>
      <c r="N909" s="2" t="s">
        <v>3228</v>
      </c>
      <c r="O909" s="8" t="s">
        <v>400</v>
      </c>
      <c r="P909" s="8" t="s">
        <v>401</v>
      </c>
      <c r="Q909" s="12" t="s">
        <v>3229</v>
      </c>
      <c r="R909" s="8" t="s">
        <v>29</v>
      </c>
      <c r="S909" s="7" t="s">
        <v>28</v>
      </c>
      <c r="T909" s="6"/>
      <c r="U909" s="8"/>
    </row>
    <row r="910" spans="1:21" ht="13" customHeight="1">
      <c r="A910" s="8" t="str">
        <f>HYPERLINK("http://www.killedbypolice.net/victims/150279.jpg","Meagan Hockaday")</f>
        <v>Meagan Hockaday</v>
      </c>
      <c r="B910" s="16">
        <v>26</v>
      </c>
      <c r="C910" s="8" t="s">
        <v>114</v>
      </c>
      <c r="D910" s="8" t="s">
        <v>85</v>
      </c>
      <c r="E910" s="8" t="s">
        <v>3247</v>
      </c>
      <c r="F910" s="17">
        <v>42090</v>
      </c>
      <c r="G910" s="8" t="s">
        <v>3248</v>
      </c>
      <c r="H910" s="8" t="s">
        <v>3249</v>
      </c>
      <c r="I910" s="8" t="s">
        <v>45</v>
      </c>
      <c r="J910" s="16">
        <v>93036</v>
      </c>
      <c r="K910" s="2" t="s">
        <v>3250</v>
      </c>
      <c r="L910" s="8" t="s">
        <v>3251</v>
      </c>
      <c r="M910" s="8" t="s">
        <v>27</v>
      </c>
      <c r="N910" s="2" t="s">
        <v>3252</v>
      </c>
      <c r="P910" s="8" t="s">
        <v>401</v>
      </c>
      <c r="Q910" s="12" t="str">
        <f>HYPERLINK("http://www.vcstar.com/news/local-news/oxnard/oxnard-woman-killed-by-police-after-domestic-dispute-call_34372240","http://www.vcstar.com/news/local-news/oxnard/oxnard-woman-killed-by-police-after-domestic-dispute-call_34372240")</f>
        <v>http://www.vcstar.com/news/local-news/oxnard/oxnard-woman-killed-by-police-after-domestic-dispute-call_34372240</v>
      </c>
      <c r="S910" s="7" t="s">
        <v>28</v>
      </c>
      <c r="T910" s="6"/>
      <c r="U910" s="8"/>
    </row>
    <row r="911" spans="1:21" ht="13" customHeight="1">
      <c r="A911" s="8" t="s">
        <v>3253</v>
      </c>
      <c r="B911" s="16">
        <v>39</v>
      </c>
      <c r="C911" s="8" t="s">
        <v>20</v>
      </c>
      <c r="D911" s="8" t="s">
        <v>85</v>
      </c>
      <c r="E911" s="8" t="s">
        <v>3254</v>
      </c>
      <c r="F911" s="17">
        <v>42090</v>
      </c>
      <c r="G911" s="8" t="s">
        <v>3255</v>
      </c>
      <c r="H911" s="8" t="s">
        <v>3256</v>
      </c>
      <c r="I911" s="8" t="s">
        <v>62</v>
      </c>
      <c r="J911" s="16" t="s">
        <v>3257</v>
      </c>
      <c r="K911" s="2" t="s">
        <v>3258</v>
      </c>
      <c r="L911" s="8" t="s">
        <v>3259</v>
      </c>
      <c r="M911" s="8" t="s">
        <v>27</v>
      </c>
      <c r="N911" s="2" t="s">
        <v>3260</v>
      </c>
      <c r="O911" s="8" t="s">
        <v>400</v>
      </c>
      <c r="P911" s="8" t="s">
        <v>401</v>
      </c>
      <c r="Q911" s="12" t="s">
        <v>3261</v>
      </c>
      <c r="R911" s="8" t="s">
        <v>29</v>
      </c>
      <c r="S911" s="7" t="s">
        <v>28</v>
      </c>
      <c r="T911" s="6"/>
      <c r="U911" s="8"/>
    </row>
    <row r="912" spans="1:21" ht="13" customHeight="1">
      <c r="A912" s="8" t="s">
        <v>3241</v>
      </c>
      <c r="B912" s="16">
        <v>41</v>
      </c>
      <c r="C912" s="8" t="s">
        <v>20</v>
      </c>
      <c r="D912" s="8" t="s">
        <v>85</v>
      </c>
      <c r="E912" s="8" t="s">
        <v>3242</v>
      </c>
      <c r="F912" s="17">
        <v>42090</v>
      </c>
      <c r="G912" s="8" t="s">
        <v>3243</v>
      </c>
      <c r="H912" s="8" t="s">
        <v>1701</v>
      </c>
      <c r="I912" s="8" t="s">
        <v>46</v>
      </c>
      <c r="J912" s="16" t="s">
        <v>3244</v>
      </c>
      <c r="K912" s="2" t="s">
        <v>1703</v>
      </c>
      <c r="L912" s="8" t="s">
        <v>3245</v>
      </c>
      <c r="M912" s="8" t="s">
        <v>27</v>
      </c>
      <c r="N912" s="2" t="s">
        <v>3246</v>
      </c>
      <c r="O912" s="8" t="s">
        <v>400</v>
      </c>
      <c r="P912" s="8" t="s">
        <v>401</v>
      </c>
      <c r="Q912" s="12" t="s">
        <v>3242</v>
      </c>
      <c r="R912" s="8" t="s">
        <v>29</v>
      </c>
      <c r="S912" s="7" t="s">
        <v>28</v>
      </c>
      <c r="T912" s="6"/>
      <c r="U912" s="8"/>
    </row>
    <row r="913" spans="1:34" ht="13" customHeight="1">
      <c r="A913" s="8" t="s">
        <v>3262</v>
      </c>
      <c r="B913" s="16">
        <v>22</v>
      </c>
      <c r="C913" s="8" t="s">
        <v>20</v>
      </c>
      <c r="D913" s="8" t="s">
        <v>48</v>
      </c>
      <c r="E913" s="8" t="s">
        <v>3263</v>
      </c>
      <c r="F913" s="17">
        <v>42090</v>
      </c>
      <c r="G913" s="8" t="s">
        <v>3264</v>
      </c>
      <c r="H913" s="8" t="s">
        <v>681</v>
      </c>
      <c r="I913" s="8" t="s">
        <v>45</v>
      </c>
      <c r="J913" s="16" t="s">
        <v>3265</v>
      </c>
      <c r="K913" s="2" t="s">
        <v>682</v>
      </c>
      <c r="L913" s="8" t="s">
        <v>683</v>
      </c>
      <c r="M913" s="8" t="s">
        <v>27</v>
      </c>
      <c r="N913" s="2" t="s">
        <v>3266</v>
      </c>
      <c r="O913" s="8" t="s">
        <v>400</v>
      </c>
      <c r="P913" s="8" t="s">
        <v>401</v>
      </c>
      <c r="Q913" s="12" t="s">
        <v>3263</v>
      </c>
      <c r="R913" s="8" t="s">
        <v>29</v>
      </c>
      <c r="S913" s="7" t="s">
        <v>28</v>
      </c>
      <c r="T913" s="6"/>
      <c r="U913" s="8"/>
      <c r="Y913" s="8"/>
      <c r="Z913" s="8"/>
      <c r="AA913" s="8"/>
      <c r="AB913" s="8"/>
      <c r="AC913" s="8"/>
      <c r="AD913" s="8"/>
      <c r="AE913" s="8"/>
      <c r="AF913" s="8"/>
      <c r="AG913" s="8"/>
      <c r="AH913" s="8"/>
    </row>
    <row r="914" spans="1:34" ht="13" customHeight="1">
      <c r="A914" s="8" t="s">
        <v>21565</v>
      </c>
      <c r="B914" s="16">
        <v>56</v>
      </c>
      <c r="C914" s="8" t="s">
        <v>20</v>
      </c>
      <c r="D914" s="8" t="s">
        <v>37</v>
      </c>
      <c r="F914" s="17">
        <v>42090</v>
      </c>
      <c r="G914" s="8" t="s">
        <v>3268</v>
      </c>
      <c r="H914" s="8" t="s">
        <v>3269</v>
      </c>
      <c r="I914" s="8" t="s">
        <v>45</v>
      </c>
      <c r="J914" s="16" t="s">
        <v>3270</v>
      </c>
      <c r="K914" s="2" t="s">
        <v>156</v>
      </c>
      <c r="L914" s="8" t="s">
        <v>3271</v>
      </c>
      <c r="M914" s="8" t="s">
        <v>27</v>
      </c>
      <c r="N914" s="2" t="s">
        <v>3272</v>
      </c>
      <c r="O914" s="8" t="s">
        <v>400</v>
      </c>
      <c r="P914" s="8" t="s">
        <v>401</v>
      </c>
      <c r="Q914" s="12" t="s">
        <v>3273</v>
      </c>
      <c r="R914" s="8" t="s">
        <v>555</v>
      </c>
      <c r="S914" s="7" t="s">
        <v>28</v>
      </c>
      <c r="T914" s="6"/>
      <c r="U914" s="8"/>
    </row>
    <row r="915" spans="1:34" ht="13" customHeight="1">
      <c r="A915" s="8" t="s">
        <v>3274</v>
      </c>
      <c r="B915" s="16">
        <v>40</v>
      </c>
      <c r="C915" s="8" t="s">
        <v>20</v>
      </c>
      <c r="D915" s="8" t="s">
        <v>37</v>
      </c>
      <c r="F915" s="17">
        <v>42090</v>
      </c>
      <c r="G915" s="8" t="s">
        <v>3275</v>
      </c>
      <c r="H915" s="8" t="s">
        <v>3276</v>
      </c>
      <c r="I915" s="8" t="s">
        <v>46</v>
      </c>
      <c r="J915" s="16" t="s">
        <v>3277</v>
      </c>
      <c r="K915" s="2" t="s">
        <v>953</v>
      </c>
      <c r="L915" s="8" t="s">
        <v>3278</v>
      </c>
      <c r="M915" s="8" t="s">
        <v>27</v>
      </c>
      <c r="N915" s="2" t="s">
        <v>3279</v>
      </c>
      <c r="O915" s="8" t="s">
        <v>400</v>
      </c>
      <c r="P915" s="8" t="s">
        <v>401</v>
      </c>
      <c r="Q915" s="12" t="s">
        <v>3280</v>
      </c>
      <c r="R915" s="8" t="s">
        <v>29</v>
      </c>
      <c r="S915" s="7" t="s">
        <v>28</v>
      </c>
      <c r="T915" s="6"/>
      <c r="U915" s="8"/>
    </row>
    <row r="916" spans="1:34" ht="13" customHeight="1">
      <c r="A916" s="8" t="s">
        <v>3281</v>
      </c>
      <c r="B916" s="16">
        <v>42</v>
      </c>
      <c r="C916" s="8" t="s">
        <v>20</v>
      </c>
      <c r="D916" s="8" t="s">
        <v>37</v>
      </c>
      <c r="F916" s="17">
        <v>42090</v>
      </c>
      <c r="G916" s="8" t="s">
        <v>3282</v>
      </c>
      <c r="H916" s="8" t="s">
        <v>3283</v>
      </c>
      <c r="I916" s="8" t="s">
        <v>150</v>
      </c>
      <c r="J916" s="16" t="s">
        <v>3284</v>
      </c>
      <c r="K916" s="2" t="s">
        <v>858</v>
      </c>
      <c r="L916" s="8" t="s">
        <v>17515</v>
      </c>
      <c r="M916" s="8" t="s">
        <v>27</v>
      </c>
      <c r="N916" s="2" t="s">
        <v>3285</v>
      </c>
      <c r="O916" s="8" t="s">
        <v>550</v>
      </c>
      <c r="P916" s="8" t="s">
        <v>401</v>
      </c>
      <c r="Q916" s="12" t="s">
        <v>3286</v>
      </c>
      <c r="R916" s="8" t="s">
        <v>29</v>
      </c>
      <c r="S916" s="7" t="s">
        <v>28</v>
      </c>
      <c r="T916" s="6"/>
      <c r="U916" s="8"/>
    </row>
    <row r="917" spans="1:34" ht="13" customHeight="1">
      <c r="A917" s="8" t="s">
        <v>3287</v>
      </c>
      <c r="B917" s="16">
        <v>35</v>
      </c>
      <c r="C917" s="8" t="s">
        <v>20</v>
      </c>
      <c r="D917" s="8" t="s">
        <v>48</v>
      </c>
      <c r="F917" s="17">
        <v>42089</v>
      </c>
      <c r="G917" s="8" t="s">
        <v>3288</v>
      </c>
      <c r="H917" s="8" t="s">
        <v>224</v>
      </c>
      <c r="I917" s="8" t="s">
        <v>45</v>
      </c>
      <c r="J917" s="16" t="s">
        <v>3289</v>
      </c>
      <c r="K917" s="2" t="s">
        <v>98</v>
      </c>
      <c r="L917" s="8" t="s">
        <v>99</v>
      </c>
      <c r="M917" s="8" t="s">
        <v>27</v>
      </c>
      <c r="N917" s="2" t="s">
        <v>3290</v>
      </c>
      <c r="O917" s="8" t="s">
        <v>400</v>
      </c>
      <c r="P917" s="8" t="s">
        <v>401</v>
      </c>
      <c r="Q917" s="12" t="s">
        <v>3291</v>
      </c>
      <c r="R917" s="8" t="s">
        <v>555</v>
      </c>
      <c r="S917" s="7" t="s">
        <v>28</v>
      </c>
      <c r="T917" s="6"/>
      <c r="U917" s="8"/>
      <c r="V917" s="8"/>
      <c r="W917" s="8"/>
      <c r="X917" s="8"/>
    </row>
    <row r="918" spans="1:34" ht="13" customHeight="1">
      <c r="A918" s="8" t="s">
        <v>3292</v>
      </c>
      <c r="B918" s="16">
        <v>29</v>
      </c>
      <c r="C918" s="8" t="s">
        <v>20</v>
      </c>
      <c r="D918" s="8" t="s">
        <v>30</v>
      </c>
      <c r="E918" s="8" t="s">
        <v>3293</v>
      </c>
      <c r="F918" s="17">
        <v>42089</v>
      </c>
      <c r="G918" s="8" t="s">
        <v>3294</v>
      </c>
      <c r="H918" s="8" t="s">
        <v>33</v>
      </c>
      <c r="I918" s="8" t="s">
        <v>32</v>
      </c>
      <c r="J918" s="16" t="s">
        <v>3295</v>
      </c>
      <c r="K918" s="2" t="s">
        <v>33</v>
      </c>
      <c r="L918" s="8" t="s">
        <v>830</v>
      </c>
      <c r="M918" s="8" t="s">
        <v>379</v>
      </c>
      <c r="N918" s="2" t="s">
        <v>3296</v>
      </c>
      <c r="O918" s="8" t="s">
        <v>400</v>
      </c>
      <c r="P918" s="8" t="s">
        <v>401</v>
      </c>
      <c r="Q918" s="12" t="s">
        <v>3297</v>
      </c>
      <c r="R918" s="8" t="s">
        <v>29</v>
      </c>
      <c r="S918" s="7" t="s">
        <v>18</v>
      </c>
      <c r="T918" s="6"/>
      <c r="U918" s="8"/>
    </row>
    <row r="919" spans="1:34" ht="13" customHeight="1">
      <c r="A919" s="8" t="s">
        <v>3298</v>
      </c>
      <c r="B919" s="16">
        <v>53</v>
      </c>
      <c r="C919" s="8" t="s">
        <v>114</v>
      </c>
      <c r="D919" s="8" t="s">
        <v>37</v>
      </c>
      <c r="E919" s="8" t="s">
        <v>3299</v>
      </c>
      <c r="F919" s="17">
        <v>42089</v>
      </c>
      <c r="G919" s="8" t="s">
        <v>3300</v>
      </c>
      <c r="H919" s="8" t="s">
        <v>3301</v>
      </c>
      <c r="I919" s="8" t="s">
        <v>363</v>
      </c>
      <c r="J919" s="16" t="s">
        <v>3302</v>
      </c>
      <c r="K919" s="2" t="s">
        <v>3303</v>
      </c>
      <c r="L919" s="8" t="s">
        <v>3304</v>
      </c>
      <c r="M919" s="8" t="s">
        <v>27</v>
      </c>
      <c r="N919" s="2" t="s">
        <v>3305</v>
      </c>
      <c r="O919" s="8" t="s">
        <v>400</v>
      </c>
      <c r="P919" s="8" t="s">
        <v>401</v>
      </c>
      <c r="Q919" s="12" t="s">
        <v>3306</v>
      </c>
      <c r="R919" s="8" t="s">
        <v>29</v>
      </c>
      <c r="S919" s="7" t="s">
        <v>28</v>
      </c>
      <c r="T919" s="6"/>
      <c r="U919" s="8"/>
    </row>
    <row r="920" spans="1:34" ht="13" customHeight="1">
      <c r="A920" s="8" t="s">
        <v>3307</v>
      </c>
      <c r="B920" s="16">
        <v>27</v>
      </c>
      <c r="C920" s="8" t="s">
        <v>20</v>
      </c>
      <c r="D920" s="8" t="s">
        <v>85</v>
      </c>
      <c r="F920" s="17">
        <v>42088</v>
      </c>
      <c r="G920" s="8" t="s">
        <v>3308</v>
      </c>
      <c r="H920" s="8" t="s">
        <v>3309</v>
      </c>
      <c r="I920" s="8" t="s">
        <v>32</v>
      </c>
      <c r="J920" s="16" t="s">
        <v>3310</v>
      </c>
      <c r="K920" s="2" t="s">
        <v>3311</v>
      </c>
      <c r="L920" s="8" t="s">
        <v>3312</v>
      </c>
      <c r="M920" s="8" t="s">
        <v>27</v>
      </c>
      <c r="N920" s="2" t="s">
        <v>3313</v>
      </c>
      <c r="O920" s="8" t="s">
        <v>400</v>
      </c>
      <c r="P920" s="8" t="s">
        <v>401</v>
      </c>
      <c r="Q920" s="12" t="s">
        <v>3314</v>
      </c>
      <c r="R920" s="8" t="s">
        <v>29</v>
      </c>
      <c r="S920" s="7" t="s">
        <v>28</v>
      </c>
      <c r="T920" s="6"/>
      <c r="U920" s="8"/>
    </row>
    <row r="921" spans="1:34" ht="13" customHeight="1">
      <c r="A921" s="8" t="s">
        <v>3315</v>
      </c>
      <c r="B921" s="16">
        <v>28</v>
      </c>
      <c r="C921" s="8" t="s">
        <v>20</v>
      </c>
      <c r="D921" s="8" t="s">
        <v>48</v>
      </c>
      <c r="F921" s="17">
        <v>42088</v>
      </c>
      <c r="G921" s="8" t="s">
        <v>3316</v>
      </c>
      <c r="H921" s="8" t="s">
        <v>98</v>
      </c>
      <c r="I921" s="8" t="s">
        <v>45</v>
      </c>
      <c r="J921" s="16" t="s">
        <v>3317</v>
      </c>
      <c r="K921" s="2" t="s">
        <v>98</v>
      </c>
      <c r="L921" s="8" t="s">
        <v>99</v>
      </c>
      <c r="M921" s="8" t="s">
        <v>27</v>
      </c>
      <c r="N921" s="2" t="s">
        <v>3318</v>
      </c>
      <c r="O921" s="8" t="s">
        <v>400</v>
      </c>
      <c r="P921" s="8" t="s">
        <v>401</v>
      </c>
      <c r="Q921" s="12" t="s">
        <v>3319</v>
      </c>
      <c r="R921" s="8" t="s">
        <v>29</v>
      </c>
      <c r="S921" s="7" t="s">
        <v>28</v>
      </c>
      <c r="T921" s="6"/>
      <c r="U921" s="8"/>
    </row>
    <row r="922" spans="1:34" ht="13" customHeight="1">
      <c r="A922" s="8" t="s">
        <v>3328</v>
      </c>
      <c r="B922" s="16">
        <v>29</v>
      </c>
      <c r="C922" s="8" t="s">
        <v>20</v>
      </c>
      <c r="D922" s="8" t="s">
        <v>85</v>
      </c>
      <c r="E922" s="8" t="s">
        <v>3329</v>
      </c>
      <c r="F922" s="17">
        <v>42087</v>
      </c>
      <c r="G922" s="8" t="s">
        <v>3330</v>
      </c>
      <c r="H922" s="8" t="s">
        <v>2709</v>
      </c>
      <c r="I922" s="8" t="s">
        <v>244</v>
      </c>
      <c r="J922" s="16" t="s">
        <v>3331</v>
      </c>
      <c r="K922" s="2" t="s">
        <v>3332</v>
      </c>
      <c r="L922" s="8" t="s">
        <v>3333</v>
      </c>
      <c r="M922" s="8" t="s">
        <v>27</v>
      </c>
      <c r="N922" s="2" t="s">
        <v>3334</v>
      </c>
      <c r="O922" s="8" t="s">
        <v>400</v>
      </c>
      <c r="P922" s="8" t="s">
        <v>401</v>
      </c>
      <c r="Q922" s="12" t="s">
        <v>3335</v>
      </c>
      <c r="R922" s="8" t="s">
        <v>29</v>
      </c>
      <c r="S922" s="7" t="s">
        <v>28</v>
      </c>
      <c r="T922" s="6"/>
      <c r="U922" s="8"/>
    </row>
    <row r="923" spans="1:34" ht="13" customHeight="1">
      <c r="A923" s="8" t="s">
        <v>3320</v>
      </c>
      <c r="B923" s="16">
        <v>23</v>
      </c>
      <c r="C923" s="8" t="s">
        <v>20</v>
      </c>
      <c r="D923" s="8" t="s">
        <v>85</v>
      </c>
      <c r="E923" s="8" t="s">
        <v>3321</v>
      </c>
      <c r="F923" s="17">
        <v>42087</v>
      </c>
      <c r="G923" s="8" t="s">
        <v>3322</v>
      </c>
      <c r="H923" s="8" t="s">
        <v>1919</v>
      </c>
      <c r="I923" s="8" t="s">
        <v>173</v>
      </c>
      <c r="J923" s="16" t="s">
        <v>3323</v>
      </c>
      <c r="K923" s="2" t="s">
        <v>3324</v>
      </c>
      <c r="L923" s="8" t="s">
        <v>3325</v>
      </c>
      <c r="M923" s="8" t="s">
        <v>27</v>
      </c>
      <c r="N923" s="2" t="s">
        <v>3326</v>
      </c>
      <c r="O923" s="8" t="s">
        <v>400</v>
      </c>
      <c r="P923" s="8" t="s">
        <v>401</v>
      </c>
      <c r="Q923" s="12" t="s">
        <v>3327</v>
      </c>
      <c r="R923" s="8" t="s">
        <v>29</v>
      </c>
      <c r="S923" s="7" t="s">
        <v>18</v>
      </c>
      <c r="T923" s="6"/>
      <c r="U923" s="8"/>
    </row>
    <row r="924" spans="1:34" ht="13" customHeight="1">
      <c r="A924" s="8" t="s">
        <v>3352</v>
      </c>
      <c r="B924" s="16">
        <v>37</v>
      </c>
      <c r="C924" s="8" t="s">
        <v>20</v>
      </c>
      <c r="D924" s="8" t="s">
        <v>37</v>
      </c>
      <c r="E924" s="8" t="s">
        <v>3353</v>
      </c>
      <c r="F924" s="17">
        <v>42087</v>
      </c>
      <c r="G924" s="8" t="s">
        <v>3354</v>
      </c>
      <c r="H924" s="8" t="s">
        <v>3355</v>
      </c>
      <c r="I924" s="8" t="s">
        <v>438</v>
      </c>
      <c r="J924" s="16" t="s">
        <v>3356</v>
      </c>
      <c r="K924" s="2" t="s">
        <v>3355</v>
      </c>
      <c r="L924" s="8" t="s">
        <v>3357</v>
      </c>
      <c r="M924" s="8" t="s">
        <v>27</v>
      </c>
      <c r="N924" s="2" t="s">
        <v>3358</v>
      </c>
      <c r="O924" s="8" t="s">
        <v>400</v>
      </c>
      <c r="P924" s="8" t="s">
        <v>401</v>
      </c>
      <c r="Q924" s="12" t="s">
        <v>3359</v>
      </c>
      <c r="R924" s="8" t="s">
        <v>29</v>
      </c>
      <c r="S924" s="7" t="s">
        <v>28</v>
      </c>
      <c r="T924" s="6"/>
      <c r="U924" s="8"/>
    </row>
    <row r="925" spans="1:34" ht="13" customHeight="1">
      <c r="A925" s="8" t="s">
        <v>3346</v>
      </c>
      <c r="B925" s="16">
        <v>57</v>
      </c>
      <c r="C925" s="8" t="s">
        <v>20</v>
      </c>
      <c r="D925" s="8" t="s">
        <v>37</v>
      </c>
      <c r="E925" s="8" t="s">
        <v>3347</v>
      </c>
      <c r="F925" s="17">
        <v>42087</v>
      </c>
      <c r="G925" s="8" t="s">
        <v>3348</v>
      </c>
      <c r="H925" s="8" t="s">
        <v>608</v>
      </c>
      <c r="I925" s="8" t="s">
        <v>45</v>
      </c>
      <c r="J925" s="16" t="s">
        <v>3349</v>
      </c>
      <c r="K925" s="2" t="s">
        <v>609</v>
      </c>
      <c r="L925" s="8" t="s">
        <v>730</v>
      </c>
      <c r="M925" s="8" t="s">
        <v>27</v>
      </c>
      <c r="N925" s="2" t="s">
        <v>3350</v>
      </c>
      <c r="O925" s="8" t="s">
        <v>1013</v>
      </c>
      <c r="P925" s="8" t="s">
        <v>401</v>
      </c>
      <c r="Q925" s="12" t="s">
        <v>3351</v>
      </c>
      <c r="R925" s="8" t="s">
        <v>555</v>
      </c>
      <c r="S925" s="7" t="s">
        <v>28</v>
      </c>
      <c r="T925" s="6"/>
      <c r="U925" s="8"/>
    </row>
    <row r="926" spans="1:34" ht="13" customHeight="1">
      <c r="A926" s="8" t="s">
        <v>3336</v>
      </c>
      <c r="B926" s="16">
        <v>63</v>
      </c>
      <c r="C926" s="8" t="s">
        <v>20</v>
      </c>
      <c r="D926" s="8" t="s">
        <v>37</v>
      </c>
      <c r="E926" s="8" t="s">
        <v>3337</v>
      </c>
      <c r="F926" s="17">
        <v>42087</v>
      </c>
      <c r="G926" s="8" t="s">
        <v>3338</v>
      </c>
      <c r="H926" s="8" t="s">
        <v>3339</v>
      </c>
      <c r="I926" s="8" t="s">
        <v>123</v>
      </c>
      <c r="J926" s="16" t="s">
        <v>3340</v>
      </c>
      <c r="K926" s="2" t="s">
        <v>3341</v>
      </c>
      <c r="L926" s="8" t="s">
        <v>3342</v>
      </c>
      <c r="M926" s="8" t="s">
        <v>3343</v>
      </c>
      <c r="N926" s="2" t="s">
        <v>3344</v>
      </c>
      <c r="O926" s="8" t="s">
        <v>400</v>
      </c>
      <c r="P926" s="8" t="s">
        <v>401</v>
      </c>
      <c r="Q926" s="12" t="s">
        <v>3345</v>
      </c>
      <c r="R926" s="8" t="s">
        <v>29</v>
      </c>
      <c r="S926" s="7" t="s">
        <v>28</v>
      </c>
      <c r="T926" s="6"/>
      <c r="U926" s="8"/>
    </row>
    <row r="927" spans="1:34" ht="13" customHeight="1">
      <c r="A927" s="8" t="s">
        <v>3360</v>
      </c>
      <c r="B927" s="16" t="s">
        <v>29</v>
      </c>
      <c r="C927" s="8" t="s">
        <v>20</v>
      </c>
      <c r="D927" s="8" t="s">
        <v>37</v>
      </c>
      <c r="F927" s="17">
        <v>42086</v>
      </c>
      <c r="G927" s="8" t="s">
        <v>3361</v>
      </c>
      <c r="H927" s="8" t="s">
        <v>3362</v>
      </c>
      <c r="I927" s="8" t="s">
        <v>303</v>
      </c>
      <c r="J927" s="16">
        <v>98660</v>
      </c>
      <c r="K927" s="2" t="s">
        <v>570</v>
      </c>
      <c r="L927" s="8" t="s">
        <v>3363</v>
      </c>
      <c r="M927" s="8" t="s">
        <v>2297</v>
      </c>
      <c r="N927" s="2" t="s">
        <v>3364</v>
      </c>
      <c r="P927" s="8" t="s">
        <v>401</v>
      </c>
      <c r="Q927" s="12" t="str">
        <f>HYPERLINK("http://www.oregonlive.com/clark-county/index.ssf/2015/03/clark_county_jail_inmate_dies_1.html","http://www.oregonlive.com/clark-county/index.ssf/2015/03/clark_county_jail_inmate_dies_1.html")</f>
        <v>http://www.oregonlive.com/clark-county/index.ssf/2015/03/clark_county_jail_inmate_dies_1.html</v>
      </c>
      <c r="S927" s="7" t="s">
        <v>18</v>
      </c>
      <c r="T927" s="6"/>
      <c r="U927" s="8"/>
    </row>
    <row r="928" spans="1:34" ht="13" customHeight="1">
      <c r="A928" s="8" t="s">
        <v>3365</v>
      </c>
      <c r="B928" s="16">
        <v>21</v>
      </c>
      <c r="C928" s="8" t="s">
        <v>20</v>
      </c>
      <c r="D928" s="8" t="s">
        <v>85</v>
      </c>
      <c r="E928" s="8" t="s">
        <v>3366</v>
      </c>
      <c r="F928" s="17">
        <v>42085</v>
      </c>
      <c r="G928" s="8" t="s">
        <v>3367</v>
      </c>
      <c r="H928" s="8" t="s">
        <v>3368</v>
      </c>
      <c r="I928" s="8" t="s">
        <v>423</v>
      </c>
      <c r="J928" s="16" t="s">
        <v>3369</v>
      </c>
      <c r="K928" s="2" t="s">
        <v>1703</v>
      </c>
      <c r="L928" s="8" t="s">
        <v>3370</v>
      </c>
      <c r="M928" s="8" t="s">
        <v>27</v>
      </c>
      <c r="N928" s="2" t="s">
        <v>3371</v>
      </c>
      <c r="O928" s="8" t="s">
        <v>400</v>
      </c>
      <c r="P928" s="8" t="s">
        <v>401</v>
      </c>
      <c r="Q928" s="12" t="s">
        <v>3372</v>
      </c>
      <c r="R928" s="8" t="s">
        <v>29</v>
      </c>
      <c r="S928" s="7" t="s">
        <v>18</v>
      </c>
      <c r="T928" s="6"/>
      <c r="U928" s="8"/>
    </row>
    <row r="929" spans="1:24" ht="13" customHeight="1">
      <c r="A929" s="8" t="s">
        <v>3373</v>
      </c>
      <c r="B929" s="16">
        <v>24</v>
      </c>
      <c r="C929" s="8" t="s">
        <v>20</v>
      </c>
      <c r="D929" s="8" t="s">
        <v>48</v>
      </c>
      <c r="E929" s="8" t="s">
        <v>21403</v>
      </c>
      <c r="F929" s="17">
        <v>42085</v>
      </c>
      <c r="G929" s="8" t="s">
        <v>3374</v>
      </c>
      <c r="H929" s="8" t="s">
        <v>609</v>
      </c>
      <c r="I929" s="8" t="s">
        <v>45</v>
      </c>
      <c r="J929" s="16" t="s">
        <v>3375</v>
      </c>
      <c r="K929" s="2" t="s">
        <v>609</v>
      </c>
      <c r="L929" s="8" t="s">
        <v>3376</v>
      </c>
      <c r="M929" s="8" t="s">
        <v>27</v>
      </c>
      <c r="N929" s="2" t="s">
        <v>3377</v>
      </c>
      <c r="O929" s="8" t="s">
        <v>550</v>
      </c>
      <c r="P929" s="8" t="s">
        <v>401</v>
      </c>
      <c r="Q929" s="12" t="s">
        <v>3378</v>
      </c>
      <c r="R929" s="8" t="s">
        <v>29</v>
      </c>
      <c r="S929" s="7" t="s">
        <v>28</v>
      </c>
      <c r="T929" s="6"/>
      <c r="U929" s="8"/>
    </row>
    <row r="930" spans="1:24" ht="13" customHeight="1">
      <c r="A930" s="8" t="s">
        <v>3389</v>
      </c>
      <c r="B930" s="16">
        <v>36</v>
      </c>
      <c r="C930" s="8" t="s">
        <v>20</v>
      </c>
      <c r="D930" s="8" t="s">
        <v>37</v>
      </c>
      <c r="E930" s="8" t="s">
        <v>3390</v>
      </c>
      <c r="F930" s="17">
        <v>42085</v>
      </c>
      <c r="G930" s="8" t="s">
        <v>3391</v>
      </c>
      <c r="H930" s="8" t="s">
        <v>1565</v>
      </c>
      <c r="I930" s="8" t="s">
        <v>117</v>
      </c>
      <c r="J930" s="16" t="s">
        <v>3392</v>
      </c>
      <c r="K930" s="2" t="s">
        <v>1567</v>
      </c>
      <c r="L930" s="8" t="s">
        <v>18022</v>
      </c>
      <c r="M930" s="8" t="s">
        <v>27</v>
      </c>
      <c r="N930" s="2" t="s">
        <v>3393</v>
      </c>
      <c r="O930" s="8" t="s">
        <v>400</v>
      </c>
      <c r="P930" s="8" t="s">
        <v>401</v>
      </c>
      <c r="Q930" s="12" t="s">
        <v>3394</v>
      </c>
      <c r="R930" s="8" t="s">
        <v>29</v>
      </c>
      <c r="S930" s="7" t="s">
        <v>28</v>
      </c>
      <c r="T930" s="6"/>
      <c r="U930" s="8"/>
    </row>
    <row r="931" spans="1:24" ht="13" customHeight="1">
      <c r="A931" s="8" t="s">
        <v>3379</v>
      </c>
      <c r="B931" s="16">
        <v>47</v>
      </c>
      <c r="C931" s="8" t="s">
        <v>20</v>
      </c>
      <c r="D931" s="8" t="s">
        <v>37</v>
      </c>
      <c r="E931" s="8" t="s">
        <v>3380</v>
      </c>
      <c r="F931" s="17">
        <v>42085</v>
      </c>
      <c r="G931" s="8" t="s">
        <v>3381</v>
      </c>
      <c r="H931" s="8" t="s">
        <v>3382</v>
      </c>
      <c r="I931" s="8" t="s">
        <v>315</v>
      </c>
      <c r="J931" s="16" t="s">
        <v>3383</v>
      </c>
      <c r="K931" s="2" t="s">
        <v>3384</v>
      </c>
      <c r="L931" s="8" t="s">
        <v>3385</v>
      </c>
      <c r="M931" s="8" t="s">
        <v>3386</v>
      </c>
      <c r="N931" s="2" t="s">
        <v>3387</v>
      </c>
      <c r="O931" s="8" t="s">
        <v>400</v>
      </c>
      <c r="P931" s="8" t="s">
        <v>401</v>
      </c>
      <c r="Q931" s="12" t="s">
        <v>3388</v>
      </c>
      <c r="R931" s="8" t="s">
        <v>967</v>
      </c>
      <c r="S931" s="7" t="s">
        <v>18</v>
      </c>
      <c r="T931" s="6"/>
      <c r="U931" s="8"/>
      <c r="V931" s="8"/>
      <c r="W931" s="8"/>
      <c r="X931" s="8"/>
    </row>
    <row r="932" spans="1:24" ht="13" customHeight="1">
      <c r="A932" s="8" t="s">
        <v>3395</v>
      </c>
      <c r="B932" s="16">
        <v>43</v>
      </c>
      <c r="C932" s="8" t="s">
        <v>20</v>
      </c>
      <c r="D932" s="8" t="s">
        <v>37</v>
      </c>
      <c r="F932" s="17">
        <v>42085</v>
      </c>
      <c r="G932" s="8" t="s">
        <v>3396</v>
      </c>
      <c r="H932" s="8" t="s">
        <v>2497</v>
      </c>
      <c r="I932" s="8" t="s">
        <v>395</v>
      </c>
      <c r="J932" s="16" t="s">
        <v>3397</v>
      </c>
      <c r="K932" s="2" t="s">
        <v>2497</v>
      </c>
      <c r="L932" s="8" t="s">
        <v>3398</v>
      </c>
      <c r="M932" s="8" t="s">
        <v>379</v>
      </c>
      <c r="N932" s="2" t="s">
        <v>3399</v>
      </c>
      <c r="O932" s="8" t="s">
        <v>3400</v>
      </c>
      <c r="P932" s="8" t="s">
        <v>401</v>
      </c>
      <c r="Q932" s="12" t="s">
        <v>3401</v>
      </c>
      <c r="R932" s="8" t="s">
        <v>29</v>
      </c>
      <c r="S932" s="7" t="s">
        <v>18</v>
      </c>
      <c r="T932" s="6"/>
      <c r="U932" s="8"/>
    </row>
    <row r="933" spans="1:24" ht="13" customHeight="1">
      <c r="A933" s="8" t="s">
        <v>3402</v>
      </c>
      <c r="B933" s="16">
        <v>20</v>
      </c>
      <c r="C933" s="8" t="s">
        <v>20</v>
      </c>
      <c r="D933" s="8" t="s">
        <v>85</v>
      </c>
      <c r="E933" s="8" t="s">
        <v>3403</v>
      </c>
      <c r="F933" s="17">
        <v>42084</v>
      </c>
      <c r="G933" s="8" t="s">
        <v>3404</v>
      </c>
      <c r="H933" s="8" t="s">
        <v>3405</v>
      </c>
      <c r="I933" s="8" t="s">
        <v>62</v>
      </c>
      <c r="J933" s="16" t="s">
        <v>3406</v>
      </c>
      <c r="K933" s="2" t="s">
        <v>2100</v>
      </c>
      <c r="L933" s="8" t="s">
        <v>3407</v>
      </c>
      <c r="M933" s="8" t="s">
        <v>379</v>
      </c>
      <c r="N933" s="2" t="s">
        <v>3408</v>
      </c>
      <c r="O933" s="8" t="s">
        <v>1013</v>
      </c>
      <c r="P933" s="8" t="s">
        <v>401</v>
      </c>
      <c r="Q933" s="12" t="s">
        <v>3409</v>
      </c>
      <c r="R933" s="8" t="s">
        <v>100</v>
      </c>
      <c r="S933" s="7" t="s">
        <v>379</v>
      </c>
      <c r="T933" s="6"/>
      <c r="U933" s="8"/>
    </row>
    <row r="934" spans="1:24" ht="13" customHeight="1">
      <c r="A934" s="8" t="s">
        <v>3410</v>
      </c>
      <c r="B934" s="16">
        <v>60</v>
      </c>
      <c r="C934" s="8" t="s">
        <v>20</v>
      </c>
      <c r="D934" s="8" t="s">
        <v>37</v>
      </c>
      <c r="F934" s="17">
        <v>42084</v>
      </c>
      <c r="G934" s="8" t="s">
        <v>3411</v>
      </c>
      <c r="H934" s="8" t="s">
        <v>3412</v>
      </c>
      <c r="I934" s="8" t="s">
        <v>217</v>
      </c>
      <c r="J934" s="16" t="s">
        <v>3413</v>
      </c>
      <c r="K934" s="2" t="s">
        <v>3414</v>
      </c>
      <c r="L934" s="8" t="s">
        <v>3415</v>
      </c>
      <c r="M934" s="8" t="s">
        <v>27</v>
      </c>
      <c r="N934" s="2" t="s">
        <v>3416</v>
      </c>
      <c r="O934" s="8" t="s">
        <v>1013</v>
      </c>
      <c r="P934" s="8" t="s">
        <v>401</v>
      </c>
      <c r="Q934" s="12" t="s">
        <v>3417</v>
      </c>
      <c r="R934" s="8" t="s">
        <v>555</v>
      </c>
      <c r="S934" s="7" t="s">
        <v>28</v>
      </c>
      <c r="T934" s="6"/>
      <c r="U934" s="8"/>
    </row>
    <row r="935" spans="1:24" ht="13" customHeight="1">
      <c r="A935" s="8" t="s">
        <v>3424</v>
      </c>
      <c r="B935" s="16">
        <v>21</v>
      </c>
      <c r="C935" s="8" t="s">
        <v>20</v>
      </c>
      <c r="D935" s="8" t="s">
        <v>37</v>
      </c>
      <c r="F935" s="17">
        <v>42084</v>
      </c>
      <c r="G935" s="8" t="s">
        <v>3425</v>
      </c>
      <c r="H935" s="8" t="s">
        <v>2037</v>
      </c>
      <c r="I935" s="8" t="s">
        <v>123</v>
      </c>
      <c r="J935" s="16" t="s">
        <v>2038</v>
      </c>
      <c r="K935" s="2" t="s">
        <v>179</v>
      </c>
      <c r="L935" s="8" t="s">
        <v>3426</v>
      </c>
      <c r="M935" s="8" t="s">
        <v>27</v>
      </c>
      <c r="N935" s="2" t="s">
        <v>3427</v>
      </c>
      <c r="O935" s="8" t="s">
        <v>400</v>
      </c>
      <c r="P935" s="8" t="s">
        <v>401</v>
      </c>
      <c r="Q935" s="12" t="s">
        <v>3428</v>
      </c>
      <c r="R935" s="8" t="s">
        <v>555</v>
      </c>
      <c r="S935" s="7" t="s">
        <v>28</v>
      </c>
      <c r="T935" s="6"/>
      <c r="U935" s="8"/>
    </row>
    <row r="936" spans="1:24" ht="13" customHeight="1">
      <c r="A936" s="8" t="s">
        <v>3418</v>
      </c>
      <c r="B936" s="16">
        <v>42</v>
      </c>
      <c r="C936" s="8" t="s">
        <v>20</v>
      </c>
      <c r="D936" s="8" t="s">
        <v>37</v>
      </c>
      <c r="F936" s="17">
        <v>42084</v>
      </c>
      <c r="G936" s="8" t="s">
        <v>3419</v>
      </c>
      <c r="H936" s="8" t="s">
        <v>1290</v>
      </c>
      <c r="I936" s="8" t="s">
        <v>69</v>
      </c>
      <c r="J936" s="16" t="s">
        <v>3420</v>
      </c>
      <c r="K936" s="2" t="s">
        <v>1291</v>
      </c>
      <c r="L936" s="8" t="s">
        <v>12628</v>
      </c>
      <c r="M936" s="8" t="s">
        <v>27</v>
      </c>
      <c r="N936" s="2" t="s">
        <v>3422</v>
      </c>
      <c r="O936" s="8" t="s">
        <v>1013</v>
      </c>
      <c r="P936" s="8" t="s">
        <v>401</v>
      </c>
      <c r="Q936" s="12" t="s">
        <v>3423</v>
      </c>
      <c r="R936" s="8" t="s">
        <v>29</v>
      </c>
      <c r="S936" s="7" t="s">
        <v>28</v>
      </c>
      <c r="T936" s="6"/>
      <c r="U936" s="8"/>
    </row>
    <row r="937" spans="1:24" ht="13" customHeight="1">
      <c r="A937" s="8" t="s">
        <v>3429</v>
      </c>
      <c r="B937" s="16">
        <v>44</v>
      </c>
      <c r="C937" s="8" t="s">
        <v>20</v>
      </c>
      <c r="D937" s="8" t="s">
        <v>37</v>
      </c>
      <c r="E937" s="8" t="s">
        <v>3430</v>
      </c>
      <c r="F937" s="17">
        <v>42084</v>
      </c>
      <c r="G937" s="8" t="s">
        <v>3431</v>
      </c>
      <c r="H937" s="8" t="s">
        <v>3432</v>
      </c>
      <c r="I937" s="8" t="s">
        <v>423</v>
      </c>
      <c r="J937" s="16" t="s">
        <v>3433</v>
      </c>
      <c r="K937" s="2" t="s">
        <v>2589</v>
      </c>
      <c r="L937" s="8" t="s">
        <v>3434</v>
      </c>
      <c r="M937" s="8" t="s">
        <v>27</v>
      </c>
      <c r="N937" s="2" t="s">
        <v>3435</v>
      </c>
      <c r="O937" s="8" t="s">
        <v>550</v>
      </c>
      <c r="P937" s="8" t="s">
        <v>401</v>
      </c>
      <c r="Q937" s="12" t="s">
        <v>3436</v>
      </c>
      <c r="R937" s="8" t="s">
        <v>29</v>
      </c>
      <c r="S937" s="7" t="s">
        <v>28</v>
      </c>
      <c r="T937" s="6"/>
      <c r="U937" s="8"/>
    </row>
    <row r="938" spans="1:24" ht="13" customHeight="1">
      <c r="A938" s="8" t="s">
        <v>3437</v>
      </c>
      <c r="B938" s="16">
        <v>37</v>
      </c>
      <c r="C938" s="8" t="s">
        <v>20</v>
      </c>
      <c r="D938" s="8" t="s">
        <v>37</v>
      </c>
      <c r="E938" s="8" t="s">
        <v>3438</v>
      </c>
      <c r="F938" s="17">
        <v>42084</v>
      </c>
      <c r="G938" s="8" t="s">
        <v>3439</v>
      </c>
      <c r="H938" s="8" t="s">
        <v>3440</v>
      </c>
      <c r="I938" s="8" t="s">
        <v>45</v>
      </c>
      <c r="J938" s="16" t="s">
        <v>3441</v>
      </c>
      <c r="K938" s="2" t="s">
        <v>3442</v>
      </c>
      <c r="L938" s="8" t="s">
        <v>3443</v>
      </c>
      <c r="M938" s="8" t="s">
        <v>27</v>
      </c>
      <c r="N938" s="2" t="s">
        <v>3444</v>
      </c>
      <c r="O938" s="8" t="s">
        <v>400</v>
      </c>
      <c r="P938" s="8" t="s">
        <v>401</v>
      </c>
      <c r="Q938" s="12" t="s">
        <v>3445</v>
      </c>
      <c r="R938" s="8" t="s">
        <v>555</v>
      </c>
      <c r="S938" s="7" t="s">
        <v>28</v>
      </c>
      <c r="T938" s="6"/>
      <c r="U938" s="8"/>
    </row>
    <row r="939" spans="1:24" ht="13" customHeight="1">
      <c r="A939" s="8" t="s">
        <v>3446</v>
      </c>
      <c r="B939" s="16">
        <v>28</v>
      </c>
      <c r="C939" s="8" t="s">
        <v>20</v>
      </c>
      <c r="D939" s="8" t="s">
        <v>48</v>
      </c>
      <c r="F939" s="17">
        <v>42083</v>
      </c>
      <c r="G939" s="8" t="s">
        <v>3447</v>
      </c>
      <c r="H939" s="8" t="s">
        <v>757</v>
      </c>
      <c r="I939" s="8" t="s">
        <v>423</v>
      </c>
      <c r="J939" s="16" t="s">
        <v>3448</v>
      </c>
      <c r="K939" s="2" t="s">
        <v>757</v>
      </c>
      <c r="L939" s="8" t="s">
        <v>3449</v>
      </c>
      <c r="M939" s="8" t="s">
        <v>379</v>
      </c>
      <c r="N939" s="2" t="s">
        <v>3450</v>
      </c>
      <c r="O939" s="8" t="s">
        <v>400</v>
      </c>
      <c r="P939" s="8" t="s">
        <v>401</v>
      </c>
      <c r="Q939" s="12" t="s">
        <v>3451</v>
      </c>
      <c r="R939" s="8" t="s">
        <v>555</v>
      </c>
      <c r="S939" s="7" t="s">
        <v>18</v>
      </c>
      <c r="T939" s="6"/>
      <c r="U939" s="8"/>
    </row>
    <row r="940" spans="1:24" ht="13" customHeight="1">
      <c r="A940" s="8" t="s">
        <v>3452</v>
      </c>
      <c r="B940" s="16">
        <v>28</v>
      </c>
      <c r="C940" s="8" t="s">
        <v>20</v>
      </c>
      <c r="D940" s="8" t="s">
        <v>30</v>
      </c>
      <c r="F940" s="17">
        <v>42083</v>
      </c>
      <c r="G940" s="8" t="s">
        <v>3447</v>
      </c>
      <c r="H940" s="8" t="s">
        <v>757</v>
      </c>
      <c r="I940" s="8" t="s">
        <v>423</v>
      </c>
      <c r="J940" s="16" t="s">
        <v>3448</v>
      </c>
      <c r="K940" s="2" t="s">
        <v>757</v>
      </c>
      <c r="L940" s="8" t="s">
        <v>3449</v>
      </c>
      <c r="M940" s="8" t="s">
        <v>379</v>
      </c>
      <c r="N940" s="2" t="s">
        <v>3453</v>
      </c>
      <c r="O940" s="8" t="s">
        <v>400</v>
      </c>
      <c r="P940" s="8" t="s">
        <v>401</v>
      </c>
      <c r="Q940" s="12" t="s">
        <v>3451</v>
      </c>
      <c r="R940" s="8" t="s">
        <v>967</v>
      </c>
      <c r="S940" s="7" t="s">
        <v>28</v>
      </c>
      <c r="T940" s="6"/>
      <c r="U940" s="8"/>
    </row>
    <row r="941" spans="1:24" ht="13" customHeight="1">
      <c r="A941" s="8" t="s">
        <v>3461</v>
      </c>
      <c r="B941" s="16">
        <v>34</v>
      </c>
      <c r="C941" s="8" t="s">
        <v>20</v>
      </c>
      <c r="D941" s="8" t="s">
        <v>37</v>
      </c>
      <c r="E941" s="8" t="s">
        <v>3462</v>
      </c>
      <c r="F941" s="17">
        <v>42083</v>
      </c>
      <c r="G941" s="8" t="s">
        <v>3463</v>
      </c>
      <c r="H941" s="8" t="s">
        <v>3464</v>
      </c>
      <c r="I941" s="8" t="s">
        <v>395</v>
      </c>
      <c r="J941" s="16" t="s">
        <v>3465</v>
      </c>
      <c r="K941" s="2" t="s">
        <v>2658</v>
      </c>
      <c r="L941" s="8" t="s">
        <v>2048</v>
      </c>
      <c r="M941" s="8" t="s">
        <v>27</v>
      </c>
      <c r="N941" s="2" t="s">
        <v>3466</v>
      </c>
      <c r="O941" s="8" t="s">
        <v>400</v>
      </c>
      <c r="P941" s="8" t="s">
        <v>401</v>
      </c>
      <c r="Q941" s="12" t="s">
        <v>3467</v>
      </c>
      <c r="R941" s="8" t="s">
        <v>29</v>
      </c>
      <c r="S941" s="7" t="s">
        <v>28</v>
      </c>
      <c r="T941" s="6"/>
      <c r="U941" s="8"/>
    </row>
    <row r="942" spans="1:24" ht="13" customHeight="1">
      <c r="A942" s="8" t="s">
        <v>3454</v>
      </c>
      <c r="B942" s="16">
        <v>63</v>
      </c>
      <c r="C942" s="8" t="s">
        <v>20</v>
      </c>
      <c r="D942" s="8" t="s">
        <v>37</v>
      </c>
      <c r="E942" s="8" t="s">
        <v>3455</v>
      </c>
      <c r="F942" s="17">
        <v>42083</v>
      </c>
      <c r="G942" s="8" t="s">
        <v>3456</v>
      </c>
      <c r="H942" s="8" t="s">
        <v>3457</v>
      </c>
      <c r="I942" s="8" t="s">
        <v>25</v>
      </c>
      <c r="J942" s="16" t="s">
        <v>3458</v>
      </c>
      <c r="K942" s="2" t="s">
        <v>1781</v>
      </c>
      <c r="L942" s="8" t="s">
        <v>3459</v>
      </c>
      <c r="M942" s="8" t="s">
        <v>27</v>
      </c>
      <c r="N942" s="2" t="s">
        <v>3460</v>
      </c>
      <c r="O942" s="8" t="s">
        <v>550</v>
      </c>
      <c r="P942" s="8" t="s">
        <v>401</v>
      </c>
      <c r="Q942" s="12" t="s">
        <v>3455</v>
      </c>
      <c r="R942" s="8" t="s">
        <v>555</v>
      </c>
      <c r="S942" s="7" t="s">
        <v>28</v>
      </c>
      <c r="T942" s="6"/>
      <c r="U942" s="8"/>
    </row>
    <row r="943" spans="1:24" ht="13" customHeight="1">
      <c r="A943" s="8" t="s">
        <v>3474</v>
      </c>
      <c r="B943" s="16">
        <v>16</v>
      </c>
      <c r="C943" s="8" t="s">
        <v>20</v>
      </c>
      <c r="D943" s="8" t="s">
        <v>85</v>
      </c>
      <c r="E943" s="8" t="s">
        <v>3475</v>
      </c>
      <c r="F943" s="17">
        <v>42082</v>
      </c>
      <c r="G943" s="8" t="s">
        <v>3476</v>
      </c>
      <c r="H943" s="8" t="s">
        <v>653</v>
      </c>
      <c r="I943" s="8" t="s">
        <v>62</v>
      </c>
      <c r="J943" s="16" t="s">
        <v>3477</v>
      </c>
      <c r="K943" s="2" t="s">
        <v>654</v>
      </c>
      <c r="L943" s="8" t="s">
        <v>655</v>
      </c>
      <c r="M943" s="8" t="s">
        <v>27</v>
      </c>
      <c r="N943" s="2" t="s">
        <v>3478</v>
      </c>
      <c r="O943" s="8" t="s">
        <v>400</v>
      </c>
      <c r="P943" s="8" t="s">
        <v>401</v>
      </c>
      <c r="Q943" s="12" t="s">
        <v>3479</v>
      </c>
      <c r="R943" s="8" t="s">
        <v>29</v>
      </c>
      <c r="S943" s="7" t="s">
        <v>28</v>
      </c>
      <c r="T943" s="6"/>
      <c r="U943" s="8"/>
    </row>
    <row r="944" spans="1:24" ht="13" customHeight="1">
      <c r="A944" s="8" t="s">
        <v>3468</v>
      </c>
      <c r="B944" s="16">
        <v>18</v>
      </c>
      <c r="C944" s="8" t="s">
        <v>20</v>
      </c>
      <c r="D944" s="8" t="s">
        <v>85</v>
      </c>
      <c r="F944" s="17">
        <v>42082</v>
      </c>
      <c r="G944" s="8" t="s">
        <v>3469</v>
      </c>
      <c r="H944" s="8" t="s">
        <v>987</v>
      </c>
      <c r="I944" s="8" t="s">
        <v>69</v>
      </c>
      <c r="J944" s="16" t="s">
        <v>3470</v>
      </c>
      <c r="K944" s="2" t="s">
        <v>105</v>
      </c>
      <c r="L944" s="8" t="s">
        <v>3471</v>
      </c>
      <c r="M944" s="8" t="s">
        <v>27</v>
      </c>
      <c r="N944" s="2" t="s">
        <v>3472</v>
      </c>
      <c r="O944" s="8" t="s">
        <v>1013</v>
      </c>
      <c r="P944" s="8" t="s">
        <v>401</v>
      </c>
      <c r="Q944" s="12" t="s">
        <v>3473</v>
      </c>
      <c r="R944" s="8" t="s">
        <v>29</v>
      </c>
      <c r="S944" s="7" t="s">
        <v>18</v>
      </c>
      <c r="T944" s="6"/>
      <c r="U944" s="8"/>
    </row>
    <row r="945" spans="1:21" ht="13" customHeight="1">
      <c r="A945" s="8" t="s">
        <v>3496</v>
      </c>
      <c r="B945" s="16">
        <v>36</v>
      </c>
      <c r="C945" s="8" t="s">
        <v>20</v>
      </c>
      <c r="D945" s="8" t="s">
        <v>37</v>
      </c>
      <c r="E945" s="8" t="s">
        <v>3497</v>
      </c>
      <c r="F945" s="17">
        <v>42082</v>
      </c>
      <c r="G945" s="8" t="s">
        <v>3498</v>
      </c>
      <c r="H945" s="8" t="s">
        <v>681</v>
      </c>
      <c r="I945" s="8" t="s">
        <v>45</v>
      </c>
      <c r="J945" s="16" t="s">
        <v>3499</v>
      </c>
      <c r="K945" s="2" t="s">
        <v>682</v>
      </c>
      <c r="L945" s="8" t="s">
        <v>683</v>
      </c>
      <c r="M945" s="8" t="s">
        <v>27</v>
      </c>
      <c r="N945" s="2" t="s">
        <v>3500</v>
      </c>
      <c r="O945" s="8" t="s">
        <v>550</v>
      </c>
      <c r="P945" s="8" t="s">
        <v>401</v>
      </c>
      <c r="Q945" s="12" t="s">
        <v>3501</v>
      </c>
      <c r="R945" s="8" t="s">
        <v>555</v>
      </c>
      <c r="S945" s="7" t="s">
        <v>28</v>
      </c>
      <c r="T945" s="6"/>
      <c r="U945" s="8"/>
    </row>
    <row r="946" spans="1:21" ht="13" customHeight="1">
      <c r="A946" s="8" t="s">
        <v>3502</v>
      </c>
      <c r="B946" s="16">
        <v>39</v>
      </c>
      <c r="C946" s="8" t="s">
        <v>20</v>
      </c>
      <c r="D946" s="8" t="s">
        <v>37</v>
      </c>
      <c r="E946" s="8" t="s">
        <v>3503</v>
      </c>
      <c r="F946" s="17">
        <v>42082</v>
      </c>
      <c r="G946" s="8" t="s">
        <v>3504</v>
      </c>
      <c r="H946" s="8" t="s">
        <v>3505</v>
      </c>
      <c r="I946" s="8" t="s">
        <v>94</v>
      </c>
      <c r="J946" s="16" t="s">
        <v>3506</v>
      </c>
      <c r="K946" s="2" t="s">
        <v>2073</v>
      </c>
      <c r="L946" s="8" t="s">
        <v>344</v>
      </c>
      <c r="M946" s="8" t="s">
        <v>27</v>
      </c>
      <c r="N946" s="2" t="s">
        <v>3507</v>
      </c>
      <c r="O946" s="8" t="s">
        <v>1013</v>
      </c>
      <c r="P946" s="8" t="s">
        <v>401</v>
      </c>
      <c r="Q946" s="12" t="s">
        <v>3508</v>
      </c>
      <c r="R946" s="8" t="s">
        <v>555</v>
      </c>
      <c r="S946" s="7" t="s">
        <v>28</v>
      </c>
      <c r="T946" s="6"/>
      <c r="U946" s="8"/>
    </row>
    <row r="947" spans="1:21" ht="13" customHeight="1">
      <c r="A947" s="8" t="s">
        <v>3488</v>
      </c>
      <c r="B947" s="16">
        <v>20</v>
      </c>
      <c r="C947" s="8" t="s">
        <v>20</v>
      </c>
      <c r="D947" s="8" t="s">
        <v>37</v>
      </c>
      <c r="E947" s="8" t="s">
        <v>21297</v>
      </c>
      <c r="F947" s="17">
        <v>42082</v>
      </c>
      <c r="G947" s="8" t="s">
        <v>3489</v>
      </c>
      <c r="H947" s="8" t="s">
        <v>3490</v>
      </c>
      <c r="I947" s="8" t="s">
        <v>303</v>
      </c>
      <c r="J947" s="16" t="s">
        <v>3491</v>
      </c>
      <c r="K947" s="2" t="s">
        <v>3492</v>
      </c>
      <c r="L947" s="8" t="s">
        <v>3493</v>
      </c>
      <c r="M947" s="8" t="s">
        <v>27</v>
      </c>
      <c r="N947" s="2" t="s">
        <v>3494</v>
      </c>
      <c r="O947" s="8" t="s">
        <v>1013</v>
      </c>
      <c r="P947" s="8" t="s">
        <v>401</v>
      </c>
      <c r="Q947" s="12" t="s">
        <v>3495</v>
      </c>
      <c r="R947" s="8" t="s">
        <v>967</v>
      </c>
      <c r="S947" s="7" t="s">
        <v>18</v>
      </c>
      <c r="T947" s="6"/>
      <c r="U947" s="8"/>
    </row>
    <row r="948" spans="1:21" ht="13" customHeight="1">
      <c r="A948" s="8" t="s">
        <v>3480</v>
      </c>
      <c r="B948" s="16">
        <v>29</v>
      </c>
      <c r="C948" s="8" t="s">
        <v>20</v>
      </c>
      <c r="D948" s="8" t="s">
        <v>37</v>
      </c>
      <c r="E948" s="8" t="s">
        <v>3481</v>
      </c>
      <c r="F948" s="17">
        <v>42082</v>
      </c>
      <c r="G948" s="8" t="s">
        <v>3482</v>
      </c>
      <c r="H948" s="8" t="s">
        <v>3483</v>
      </c>
      <c r="I948" s="8" t="s">
        <v>69</v>
      </c>
      <c r="J948" s="16" t="s">
        <v>3484</v>
      </c>
      <c r="K948" s="2" t="s">
        <v>3485</v>
      </c>
      <c r="L948" s="8" t="s">
        <v>3486</v>
      </c>
      <c r="M948" s="8" t="s">
        <v>27</v>
      </c>
      <c r="N948" s="2" t="s">
        <v>21530</v>
      </c>
      <c r="O948" s="8" t="s">
        <v>1013</v>
      </c>
      <c r="P948" s="8" t="s">
        <v>401</v>
      </c>
      <c r="Q948" s="12" t="s">
        <v>3487</v>
      </c>
      <c r="R948" s="8" t="s">
        <v>967</v>
      </c>
      <c r="S948" s="7" t="s">
        <v>18</v>
      </c>
      <c r="T948" s="6"/>
      <c r="U948" s="8"/>
    </row>
    <row r="949" spans="1:21" ht="13" customHeight="1">
      <c r="A949" s="8" t="s">
        <v>3509</v>
      </c>
      <c r="B949" s="16">
        <v>24</v>
      </c>
      <c r="C949" s="8" t="s">
        <v>20</v>
      </c>
      <c r="D949" s="8" t="s">
        <v>139</v>
      </c>
      <c r="F949" s="17">
        <v>42081</v>
      </c>
      <c r="G949" s="8" t="s">
        <v>3510</v>
      </c>
      <c r="H949" s="8" t="s">
        <v>3511</v>
      </c>
      <c r="I949" s="8" t="s">
        <v>123</v>
      </c>
      <c r="J949" s="16" t="s">
        <v>3512</v>
      </c>
      <c r="K949" s="2" t="s">
        <v>2176</v>
      </c>
      <c r="L949" s="8" t="s">
        <v>3513</v>
      </c>
      <c r="M949" s="8" t="s">
        <v>27</v>
      </c>
      <c r="N949" s="2" t="s">
        <v>3514</v>
      </c>
      <c r="O949" s="8" t="s">
        <v>1013</v>
      </c>
      <c r="P949" s="8" t="s">
        <v>401</v>
      </c>
      <c r="Q949" s="12" t="s">
        <v>3515</v>
      </c>
      <c r="R949" s="8" t="s">
        <v>29</v>
      </c>
      <c r="S949" s="7" t="s">
        <v>28</v>
      </c>
      <c r="T949" s="6"/>
      <c r="U949" s="8"/>
    </row>
    <row r="950" spans="1:21" ht="13" customHeight="1">
      <c r="A950" s="8" t="s">
        <v>3524</v>
      </c>
      <c r="B950" s="16">
        <v>31</v>
      </c>
      <c r="C950" s="8" t="s">
        <v>20</v>
      </c>
      <c r="D950" s="8" t="s">
        <v>37</v>
      </c>
      <c r="E950" s="8" t="s">
        <v>3525</v>
      </c>
      <c r="F950" s="17">
        <v>42081</v>
      </c>
      <c r="G950" s="8" t="s">
        <v>3526</v>
      </c>
      <c r="H950" s="8" t="s">
        <v>3527</v>
      </c>
      <c r="I950" s="8" t="s">
        <v>793</v>
      </c>
      <c r="J950" s="16" t="s">
        <v>3528</v>
      </c>
      <c r="K950" s="2" t="s">
        <v>3529</v>
      </c>
      <c r="L950" s="8" t="s">
        <v>3530</v>
      </c>
      <c r="M950" s="8" t="s">
        <v>27</v>
      </c>
      <c r="N950" s="2" t="s">
        <v>3531</v>
      </c>
      <c r="O950" s="8" t="s">
        <v>1013</v>
      </c>
      <c r="P950" s="8" t="s">
        <v>401</v>
      </c>
      <c r="Q950" s="12" t="s">
        <v>3532</v>
      </c>
      <c r="R950" s="8" t="s">
        <v>29</v>
      </c>
      <c r="S950" s="7" t="s">
        <v>28</v>
      </c>
      <c r="T950" s="6"/>
      <c r="U950" s="8"/>
    </row>
    <row r="951" spans="1:21" ht="13" customHeight="1">
      <c r="A951" s="8" t="s">
        <v>21051</v>
      </c>
      <c r="B951" s="16">
        <v>47</v>
      </c>
      <c r="C951" s="8" t="s">
        <v>20</v>
      </c>
      <c r="D951" s="8" t="s">
        <v>37</v>
      </c>
      <c r="F951" s="17">
        <v>42081</v>
      </c>
      <c r="G951" s="8" t="s">
        <v>21053</v>
      </c>
      <c r="H951" s="8" t="s">
        <v>681</v>
      </c>
      <c r="I951" s="8" t="s">
        <v>45</v>
      </c>
      <c r="J951" s="16">
        <v>93301</v>
      </c>
      <c r="K951" s="2" t="s">
        <v>682</v>
      </c>
      <c r="L951" s="8" t="s">
        <v>683</v>
      </c>
      <c r="M951" s="8" t="s">
        <v>27</v>
      </c>
      <c r="N951" s="2" t="s">
        <v>21054</v>
      </c>
      <c r="O951" s="8" t="s">
        <v>550</v>
      </c>
      <c r="P951" s="8" t="s">
        <v>401</v>
      </c>
      <c r="Q951" s="8" t="s">
        <v>21052</v>
      </c>
      <c r="R951" s="8" t="s">
        <v>29</v>
      </c>
      <c r="S951" s="7" t="s">
        <v>28</v>
      </c>
      <c r="T951" s="6"/>
      <c r="U951" s="8"/>
    </row>
    <row r="952" spans="1:21" ht="13" customHeight="1">
      <c r="A952" s="8" t="s">
        <v>3533</v>
      </c>
      <c r="B952" s="16">
        <v>49</v>
      </c>
      <c r="C952" s="8" t="s">
        <v>114</v>
      </c>
      <c r="D952" s="8" t="s">
        <v>37</v>
      </c>
      <c r="E952" s="8" t="s">
        <v>3534</v>
      </c>
      <c r="F952" s="17">
        <v>42081</v>
      </c>
      <c r="G952" s="8" t="s">
        <v>3535</v>
      </c>
      <c r="H952" s="8" t="s">
        <v>3536</v>
      </c>
      <c r="I952" s="8" t="s">
        <v>123</v>
      </c>
      <c r="J952" s="16" t="s">
        <v>3537</v>
      </c>
      <c r="K952" s="2" t="s">
        <v>635</v>
      </c>
      <c r="L952" s="8" t="s">
        <v>3342</v>
      </c>
      <c r="M952" s="8" t="s">
        <v>27</v>
      </c>
      <c r="N952" s="2" t="s">
        <v>3538</v>
      </c>
      <c r="O952" s="8" t="s">
        <v>400</v>
      </c>
      <c r="P952" s="8" t="s">
        <v>401</v>
      </c>
      <c r="Q952" s="12" t="s">
        <v>3539</v>
      </c>
      <c r="R952" s="8" t="s">
        <v>100</v>
      </c>
      <c r="S952" s="7" t="s">
        <v>28</v>
      </c>
      <c r="T952" s="6"/>
      <c r="U952" s="8"/>
    </row>
    <row r="953" spans="1:21" ht="13" customHeight="1">
      <c r="A953" s="8" t="s">
        <v>3516</v>
      </c>
      <c r="B953" s="16">
        <v>64</v>
      </c>
      <c r="C953" s="8" t="s">
        <v>20</v>
      </c>
      <c r="D953" s="8" t="s">
        <v>37</v>
      </c>
      <c r="E953" s="8" t="s">
        <v>20674</v>
      </c>
      <c r="F953" s="17">
        <v>42081</v>
      </c>
      <c r="G953" s="8" t="s">
        <v>3517</v>
      </c>
      <c r="H953" s="8" t="s">
        <v>3518</v>
      </c>
      <c r="I953" s="8" t="s">
        <v>62</v>
      </c>
      <c r="J953" s="16" t="s">
        <v>3519</v>
      </c>
      <c r="K953" s="2" t="s">
        <v>3520</v>
      </c>
      <c r="L953" s="8" t="s">
        <v>3521</v>
      </c>
      <c r="M953" s="8" t="s">
        <v>27</v>
      </c>
      <c r="N953" s="2" t="s">
        <v>3522</v>
      </c>
      <c r="O953" s="8" t="s">
        <v>400</v>
      </c>
      <c r="P953" s="8" t="s">
        <v>401</v>
      </c>
      <c r="Q953" s="12" t="s">
        <v>3523</v>
      </c>
      <c r="R953" s="8" t="s">
        <v>555</v>
      </c>
      <c r="S953" s="7" t="s">
        <v>28</v>
      </c>
      <c r="T953" s="6"/>
      <c r="U953" s="8"/>
    </row>
    <row r="954" spans="1:21" ht="13" customHeight="1">
      <c r="A954" s="8" t="s">
        <v>3540</v>
      </c>
      <c r="B954" s="16">
        <v>35</v>
      </c>
      <c r="C954" s="8" t="s">
        <v>20</v>
      </c>
      <c r="D954" s="8" t="s">
        <v>85</v>
      </c>
      <c r="E954" s="8" t="s">
        <v>3541</v>
      </c>
      <c r="F954" s="17">
        <v>42080</v>
      </c>
      <c r="G954" s="8" t="s">
        <v>3542</v>
      </c>
      <c r="H954" s="8" t="s">
        <v>3543</v>
      </c>
      <c r="I954" s="8" t="s">
        <v>173</v>
      </c>
      <c r="J954" s="16" t="s">
        <v>3544</v>
      </c>
      <c r="K954" s="2" t="s">
        <v>3545</v>
      </c>
      <c r="L954" s="8" t="s">
        <v>3546</v>
      </c>
      <c r="M954" s="8" t="s">
        <v>391</v>
      </c>
      <c r="N954" s="2" t="s">
        <v>3547</v>
      </c>
      <c r="O954" s="8" t="s">
        <v>400</v>
      </c>
      <c r="P954" s="8" t="s">
        <v>401</v>
      </c>
      <c r="Q954" s="12" t="s">
        <v>3548</v>
      </c>
      <c r="R954" s="8" t="s">
        <v>967</v>
      </c>
      <c r="S954" s="7" t="s">
        <v>18</v>
      </c>
      <c r="T954" s="6"/>
      <c r="U954" s="8"/>
    </row>
    <row r="955" spans="1:21" ht="13" customHeight="1">
      <c r="A955" s="8" t="s">
        <v>3549</v>
      </c>
      <c r="B955" s="16">
        <v>22</v>
      </c>
      <c r="C955" s="8" t="s">
        <v>20</v>
      </c>
      <c r="D955" s="8" t="s">
        <v>48</v>
      </c>
      <c r="E955" s="8" t="s">
        <v>3550</v>
      </c>
      <c r="F955" s="17">
        <v>42080</v>
      </c>
      <c r="G955" s="8" t="s">
        <v>3551</v>
      </c>
      <c r="H955" s="8" t="s">
        <v>1646</v>
      </c>
      <c r="I955" s="8" t="s">
        <v>45</v>
      </c>
      <c r="J955" s="16" t="s">
        <v>3552</v>
      </c>
      <c r="K955" s="2" t="s">
        <v>1646</v>
      </c>
      <c r="L955" s="8" t="s">
        <v>3553</v>
      </c>
      <c r="M955" s="8" t="s">
        <v>27</v>
      </c>
      <c r="N955" s="2" t="s">
        <v>3554</v>
      </c>
      <c r="O955" s="8" t="s">
        <v>1013</v>
      </c>
      <c r="P955" s="8" t="s">
        <v>401</v>
      </c>
      <c r="Q955" s="12" t="s">
        <v>3555</v>
      </c>
      <c r="R955" s="8" t="s">
        <v>29</v>
      </c>
      <c r="S955" s="7" t="s">
        <v>28</v>
      </c>
      <c r="T955" s="6"/>
      <c r="U955" s="8"/>
    </row>
    <row r="956" spans="1:21" ht="13" customHeight="1">
      <c r="A956" s="8" t="s">
        <v>3577</v>
      </c>
      <c r="B956" s="16">
        <v>20</v>
      </c>
      <c r="C956" s="8" t="s">
        <v>20</v>
      </c>
      <c r="D956" s="8" t="s">
        <v>37</v>
      </c>
      <c r="E956" s="8" t="s">
        <v>3578</v>
      </c>
      <c r="F956" s="17">
        <v>42080</v>
      </c>
      <c r="G956" s="8" t="s">
        <v>3579</v>
      </c>
      <c r="H956" s="8" t="s">
        <v>3580</v>
      </c>
      <c r="I956" s="8" t="s">
        <v>73</v>
      </c>
      <c r="J956" s="16" t="s">
        <v>3581</v>
      </c>
      <c r="K956" s="2" t="s">
        <v>1867</v>
      </c>
      <c r="L956" s="8" t="s">
        <v>3582</v>
      </c>
      <c r="M956" s="8" t="s">
        <v>27</v>
      </c>
      <c r="N956" s="2" t="s">
        <v>3583</v>
      </c>
      <c r="O956" s="8" t="s">
        <v>1013</v>
      </c>
      <c r="P956" s="8" t="s">
        <v>401</v>
      </c>
      <c r="Q956" s="12" t="s">
        <v>3584</v>
      </c>
      <c r="R956" s="8" t="s">
        <v>29</v>
      </c>
      <c r="S956" s="7" t="s">
        <v>28</v>
      </c>
      <c r="T956" s="6"/>
      <c r="U956" s="8"/>
    </row>
    <row r="957" spans="1:21" ht="13" customHeight="1">
      <c r="A957" s="8" t="s">
        <v>3563</v>
      </c>
      <c r="B957" s="16">
        <v>24</v>
      </c>
      <c r="C957" s="8" t="s">
        <v>20</v>
      </c>
      <c r="D957" s="8" t="s">
        <v>37</v>
      </c>
      <c r="E957" s="8" t="s">
        <v>3564</v>
      </c>
      <c r="F957" s="17">
        <v>42080</v>
      </c>
      <c r="G957" s="8" t="s">
        <v>3565</v>
      </c>
      <c r="H957" s="8" t="s">
        <v>3566</v>
      </c>
      <c r="I957" s="8" t="s">
        <v>366</v>
      </c>
      <c r="J957" s="16" t="s">
        <v>3567</v>
      </c>
      <c r="K957" s="2" t="s">
        <v>3568</v>
      </c>
      <c r="L957" s="8" t="s">
        <v>3569</v>
      </c>
      <c r="M957" s="8" t="s">
        <v>27</v>
      </c>
      <c r="N957" s="2" t="s">
        <v>3570</v>
      </c>
      <c r="O957" s="8" t="s">
        <v>400</v>
      </c>
      <c r="P957" s="8" t="s">
        <v>401</v>
      </c>
      <c r="Q957" s="12" t="s">
        <v>3571</v>
      </c>
      <c r="R957" s="8" t="s">
        <v>555</v>
      </c>
      <c r="S957" s="7" t="s">
        <v>28</v>
      </c>
      <c r="T957" s="6"/>
      <c r="U957" s="8"/>
    </row>
    <row r="958" spans="1:21" ht="13" customHeight="1">
      <c r="A958" s="8" t="s">
        <v>3572</v>
      </c>
      <c r="B958" s="16">
        <v>49</v>
      </c>
      <c r="C958" s="8" t="s">
        <v>20</v>
      </c>
      <c r="D958" s="8" t="s">
        <v>37</v>
      </c>
      <c r="F958" s="17">
        <v>42080</v>
      </c>
      <c r="G958" s="8" t="s">
        <v>3573</v>
      </c>
      <c r="H958" s="8" t="s">
        <v>2023</v>
      </c>
      <c r="I958" s="8" t="s">
        <v>117</v>
      </c>
      <c r="J958" s="16" t="s">
        <v>3574</v>
      </c>
      <c r="K958" s="2" t="s">
        <v>433</v>
      </c>
      <c r="L958" s="8" t="s">
        <v>2025</v>
      </c>
      <c r="M958" s="8" t="s">
        <v>27</v>
      </c>
      <c r="N958" s="2" t="s">
        <v>3575</v>
      </c>
      <c r="O958" s="8" t="s">
        <v>1013</v>
      </c>
      <c r="P958" s="8" t="s">
        <v>401</v>
      </c>
      <c r="Q958" s="12" t="s">
        <v>3576</v>
      </c>
      <c r="R958" s="8" t="s">
        <v>29</v>
      </c>
      <c r="S958" s="7" t="s">
        <v>28</v>
      </c>
      <c r="T958" s="6"/>
      <c r="U958" s="8"/>
    </row>
    <row r="959" spans="1:21" ht="13" customHeight="1">
      <c r="A959" s="8" t="s">
        <v>3585</v>
      </c>
      <c r="B959" s="16">
        <v>24</v>
      </c>
      <c r="C959" s="8" t="s">
        <v>114</v>
      </c>
      <c r="D959" s="8" t="s">
        <v>37</v>
      </c>
      <c r="E959" s="8" t="s">
        <v>3586</v>
      </c>
      <c r="F959" s="17">
        <v>42080</v>
      </c>
      <c r="G959" s="8" t="s">
        <v>3587</v>
      </c>
      <c r="H959" s="8" t="s">
        <v>948</v>
      </c>
      <c r="I959" s="8" t="s">
        <v>45</v>
      </c>
      <c r="J959" s="16" t="s">
        <v>3588</v>
      </c>
      <c r="K959" s="2" t="s">
        <v>948</v>
      </c>
      <c r="L959" s="8" t="s">
        <v>949</v>
      </c>
      <c r="M959" s="8" t="s">
        <v>27</v>
      </c>
      <c r="N959" s="2" t="s">
        <v>3589</v>
      </c>
      <c r="O959" s="8" t="s">
        <v>1013</v>
      </c>
      <c r="P959" s="8" t="s">
        <v>401</v>
      </c>
      <c r="Q959" s="12" t="s">
        <v>3590</v>
      </c>
      <c r="R959" s="8" t="s">
        <v>29</v>
      </c>
      <c r="S959" s="7" t="s">
        <v>379</v>
      </c>
      <c r="T959" s="6"/>
      <c r="U959" s="8"/>
    </row>
    <row r="960" spans="1:21" ht="13" customHeight="1">
      <c r="A960" s="8" t="s">
        <v>3556</v>
      </c>
      <c r="B960" s="16">
        <v>47</v>
      </c>
      <c r="C960" s="8" t="s">
        <v>20</v>
      </c>
      <c r="D960" s="8" t="s">
        <v>37</v>
      </c>
      <c r="F960" s="17">
        <v>42080</v>
      </c>
      <c r="G960" s="8" t="s">
        <v>3557</v>
      </c>
      <c r="H960" s="8" t="s">
        <v>3558</v>
      </c>
      <c r="I960" s="8" t="s">
        <v>25</v>
      </c>
      <c r="J960" s="16" t="s">
        <v>3559</v>
      </c>
      <c r="K960" s="2" t="s">
        <v>2165</v>
      </c>
      <c r="L960" s="8" t="s">
        <v>3560</v>
      </c>
      <c r="M960" s="8" t="s">
        <v>379</v>
      </c>
      <c r="N960" s="2" t="s">
        <v>3561</v>
      </c>
      <c r="O960" s="8" t="s">
        <v>400</v>
      </c>
      <c r="P960" s="8" t="s">
        <v>401</v>
      </c>
      <c r="Q960" s="12" t="s">
        <v>3562</v>
      </c>
      <c r="R960" s="8" t="s">
        <v>29</v>
      </c>
      <c r="S960" s="7" t="s">
        <v>18</v>
      </c>
      <c r="T960" s="6"/>
      <c r="U960" s="8"/>
    </row>
    <row r="961" spans="1:34" ht="13" customHeight="1">
      <c r="A961" s="8" t="s">
        <v>3591</v>
      </c>
      <c r="B961" s="16">
        <v>61</v>
      </c>
      <c r="C961" s="8" t="s">
        <v>20</v>
      </c>
      <c r="D961" s="8" t="s">
        <v>48</v>
      </c>
      <c r="F961" s="17">
        <v>42079</v>
      </c>
      <c r="G961" s="8" t="s">
        <v>3592</v>
      </c>
      <c r="H961" s="8" t="s">
        <v>3593</v>
      </c>
      <c r="I961" s="8" t="s">
        <v>62</v>
      </c>
      <c r="J961" s="16" t="s">
        <v>3594</v>
      </c>
      <c r="K961" s="2" t="s">
        <v>3595</v>
      </c>
      <c r="L961" s="8" t="s">
        <v>3596</v>
      </c>
      <c r="M961" s="8" t="s">
        <v>379</v>
      </c>
      <c r="N961" s="2" t="s">
        <v>3597</v>
      </c>
      <c r="O961" s="8" t="s">
        <v>1013</v>
      </c>
      <c r="P961" s="8" t="s">
        <v>401</v>
      </c>
      <c r="Q961" s="12" t="s">
        <v>3598</v>
      </c>
      <c r="R961" s="8" t="s">
        <v>100</v>
      </c>
      <c r="S961" s="7" t="s">
        <v>28</v>
      </c>
      <c r="T961" s="6"/>
      <c r="U961" s="8"/>
    </row>
    <row r="962" spans="1:34" ht="13" customHeight="1">
      <c r="A962" s="8" t="s">
        <v>3599</v>
      </c>
      <c r="B962" s="16">
        <v>38</v>
      </c>
      <c r="C962" s="8" t="s">
        <v>20</v>
      </c>
      <c r="D962" s="8" t="s">
        <v>945</v>
      </c>
      <c r="E962" s="8" t="s">
        <v>3600</v>
      </c>
      <c r="F962" s="17">
        <v>42079</v>
      </c>
      <c r="G962" s="8" t="s">
        <v>3601</v>
      </c>
      <c r="H962" s="8" t="s">
        <v>2372</v>
      </c>
      <c r="I962" s="8" t="s">
        <v>873</v>
      </c>
      <c r="J962" s="16" t="s">
        <v>3602</v>
      </c>
      <c r="K962" s="2" t="s">
        <v>2372</v>
      </c>
      <c r="L962" s="8" t="s">
        <v>3603</v>
      </c>
      <c r="M962" s="8" t="s">
        <v>3386</v>
      </c>
      <c r="N962" s="2" t="s">
        <v>3604</v>
      </c>
      <c r="O962" s="8" t="s">
        <v>400</v>
      </c>
      <c r="P962" s="8" t="s">
        <v>401</v>
      </c>
      <c r="Q962" s="12" t="s">
        <v>3605</v>
      </c>
      <c r="R962" s="8" t="s">
        <v>967</v>
      </c>
      <c r="S962" s="7" t="s">
        <v>18</v>
      </c>
      <c r="T962" s="6"/>
      <c r="U962" s="8"/>
    </row>
    <row r="963" spans="1:34" ht="13" customHeight="1">
      <c r="A963" s="8" t="s">
        <v>3610</v>
      </c>
      <c r="B963" s="16">
        <v>28</v>
      </c>
      <c r="C963" s="8" t="s">
        <v>20</v>
      </c>
      <c r="D963" s="8" t="s">
        <v>37</v>
      </c>
      <c r="E963" s="8" t="s">
        <v>3611</v>
      </c>
      <c r="F963" s="17">
        <v>42079</v>
      </c>
      <c r="G963" s="8" t="s">
        <v>3612</v>
      </c>
      <c r="H963" s="8" t="s">
        <v>3613</v>
      </c>
      <c r="I963" s="8" t="s">
        <v>133</v>
      </c>
      <c r="J963" s="16" t="s">
        <v>3614</v>
      </c>
      <c r="K963" s="2" t="s">
        <v>3615</v>
      </c>
      <c r="L963" s="8" t="s">
        <v>4947</v>
      </c>
      <c r="M963" s="8" t="s">
        <v>27</v>
      </c>
      <c r="N963" s="2" t="s">
        <v>3616</v>
      </c>
      <c r="O963" s="8" t="s">
        <v>1013</v>
      </c>
      <c r="P963" s="8" t="s">
        <v>401</v>
      </c>
      <c r="Q963" s="12" t="s">
        <v>3617</v>
      </c>
      <c r="R963" s="8" t="s">
        <v>555</v>
      </c>
      <c r="S963" s="7" t="s">
        <v>28</v>
      </c>
      <c r="T963" s="6"/>
      <c r="U963" s="8"/>
    </row>
    <row r="964" spans="1:34" ht="13" customHeight="1">
      <c r="A964" s="8" t="s">
        <v>3606</v>
      </c>
      <c r="B964" s="16">
        <v>52</v>
      </c>
      <c r="C964" s="8" t="s">
        <v>20</v>
      </c>
      <c r="D964" s="8" t="s">
        <v>37</v>
      </c>
      <c r="F964" s="17">
        <v>42079</v>
      </c>
      <c r="G964" s="8" t="s">
        <v>3607</v>
      </c>
      <c r="H964" s="8" t="s">
        <v>838</v>
      </c>
      <c r="I964" s="8" t="s">
        <v>366</v>
      </c>
      <c r="J964" s="16" t="s">
        <v>3608</v>
      </c>
      <c r="K964" s="2" t="s">
        <v>838</v>
      </c>
      <c r="L964" s="8" t="s">
        <v>839</v>
      </c>
      <c r="M964" s="8" t="s">
        <v>27</v>
      </c>
      <c r="N964" s="2" t="s">
        <v>21531</v>
      </c>
      <c r="O964" s="8" t="s">
        <v>400</v>
      </c>
      <c r="P964" s="8" t="s">
        <v>401</v>
      </c>
      <c r="Q964" s="12" t="s">
        <v>3609</v>
      </c>
      <c r="R964" s="8" t="s">
        <v>29</v>
      </c>
      <c r="S964" s="7" t="s">
        <v>28</v>
      </c>
      <c r="T964" s="6"/>
      <c r="U964" s="8"/>
    </row>
    <row r="965" spans="1:34" ht="13" customHeight="1">
      <c r="A965" s="8" t="s">
        <v>3626</v>
      </c>
      <c r="B965" s="16">
        <v>36</v>
      </c>
      <c r="C965" s="8" t="s">
        <v>20</v>
      </c>
      <c r="D965" s="8" t="s">
        <v>37</v>
      </c>
      <c r="E965" s="8" t="s">
        <v>3627</v>
      </c>
      <c r="F965" s="17">
        <v>42078</v>
      </c>
      <c r="G965" s="8" t="s">
        <v>3628</v>
      </c>
      <c r="H965" s="8" t="s">
        <v>3629</v>
      </c>
      <c r="I965" s="8" t="s">
        <v>671</v>
      </c>
      <c r="J965" s="16" t="s">
        <v>3630</v>
      </c>
      <c r="K965" s="2" t="s">
        <v>2324</v>
      </c>
      <c r="L965" s="8" t="s">
        <v>3239</v>
      </c>
      <c r="M965" s="8" t="s">
        <v>27</v>
      </c>
      <c r="N965" s="2" t="s">
        <v>3631</v>
      </c>
      <c r="O965" s="8" t="s">
        <v>1013</v>
      </c>
      <c r="P965" s="8" t="s">
        <v>1162</v>
      </c>
      <c r="Q965" s="12" t="s">
        <v>3632</v>
      </c>
      <c r="R965" s="8" t="s">
        <v>29</v>
      </c>
      <c r="S965" s="7" t="s">
        <v>28</v>
      </c>
      <c r="T965" s="6"/>
      <c r="U965" s="8"/>
    </row>
    <row r="966" spans="1:34" ht="13" customHeight="1">
      <c r="A966" s="8" t="s">
        <v>3618</v>
      </c>
      <c r="B966" s="16">
        <v>41</v>
      </c>
      <c r="C966" s="8" t="s">
        <v>20</v>
      </c>
      <c r="D966" s="8" t="s">
        <v>37</v>
      </c>
      <c r="F966" s="17">
        <v>42078</v>
      </c>
      <c r="G966" s="8" t="s">
        <v>3619</v>
      </c>
      <c r="H966" s="8" t="s">
        <v>3620</v>
      </c>
      <c r="I966" s="8" t="s">
        <v>41</v>
      </c>
      <c r="J966" s="16" t="s">
        <v>3621</v>
      </c>
      <c r="K966" s="2" t="s">
        <v>3622</v>
      </c>
      <c r="L966" s="8" t="s">
        <v>3623</v>
      </c>
      <c r="M966" s="8" t="s">
        <v>391</v>
      </c>
      <c r="N966" s="2" t="s">
        <v>3624</v>
      </c>
      <c r="O966" s="8" t="s">
        <v>400</v>
      </c>
      <c r="P966" s="8" t="s">
        <v>401</v>
      </c>
      <c r="Q966" s="12" t="s">
        <v>3625</v>
      </c>
      <c r="R966" s="8" t="s">
        <v>555</v>
      </c>
      <c r="S966" s="7" t="s">
        <v>18</v>
      </c>
      <c r="T966" s="6"/>
      <c r="U966" s="8"/>
    </row>
    <row r="967" spans="1:34" ht="13" customHeight="1">
      <c r="A967" s="8" t="s">
        <v>3633</v>
      </c>
      <c r="B967" s="16">
        <v>29</v>
      </c>
      <c r="C967" s="8" t="s">
        <v>20</v>
      </c>
      <c r="D967" s="8" t="s">
        <v>48</v>
      </c>
      <c r="E967" s="8" t="s">
        <v>3634</v>
      </c>
      <c r="F967" s="17">
        <v>42077</v>
      </c>
      <c r="G967" s="8" t="s">
        <v>3635</v>
      </c>
      <c r="H967" s="8" t="s">
        <v>575</v>
      </c>
      <c r="I967" s="8" t="s">
        <v>73</v>
      </c>
      <c r="J967" s="16" t="s">
        <v>3636</v>
      </c>
      <c r="K967" s="2" t="s">
        <v>576</v>
      </c>
      <c r="L967" s="8" t="s">
        <v>577</v>
      </c>
      <c r="M967" s="8" t="s">
        <v>27</v>
      </c>
      <c r="N967" s="2" t="s">
        <v>3637</v>
      </c>
      <c r="O967" s="8" t="s">
        <v>1013</v>
      </c>
      <c r="P967" s="8" t="s">
        <v>401</v>
      </c>
      <c r="Q967" s="12" t="s">
        <v>3638</v>
      </c>
      <c r="R967" s="8" t="s">
        <v>29</v>
      </c>
      <c r="S967" s="7" t="s">
        <v>28</v>
      </c>
      <c r="T967" s="6"/>
      <c r="U967" s="8"/>
    </row>
    <row r="968" spans="1:34" ht="13" customHeight="1">
      <c r="A968" s="8" t="s">
        <v>3639</v>
      </c>
      <c r="B968" s="16">
        <v>26</v>
      </c>
      <c r="C968" s="8" t="s">
        <v>20</v>
      </c>
      <c r="D968" s="8" t="s">
        <v>37</v>
      </c>
      <c r="E968" s="8" t="s">
        <v>3640</v>
      </c>
      <c r="F968" s="17">
        <v>42077</v>
      </c>
      <c r="G968" s="8" t="s">
        <v>3641</v>
      </c>
      <c r="H968" s="8" t="s">
        <v>3642</v>
      </c>
      <c r="I968" s="8" t="s">
        <v>438</v>
      </c>
      <c r="J968" s="16" t="s">
        <v>3643</v>
      </c>
      <c r="K968" s="2" t="s">
        <v>3642</v>
      </c>
      <c r="L968" s="8" t="s">
        <v>3644</v>
      </c>
      <c r="M968" s="8" t="s">
        <v>27</v>
      </c>
      <c r="N968" s="2" t="s">
        <v>3645</v>
      </c>
      <c r="O968" s="8" t="s">
        <v>1013</v>
      </c>
      <c r="P968" s="8" t="s">
        <v>401</v>
      </c>
      <c r="Q968" s="12" t="s">
        <v>3646</v>
      </c>
      <c r="R968" s="8" t="s">
        <v>29</v>
      </c>
      <c r="S968" s="7" t="s">
        <v>28</v>
      </c>
      <c r="T968" s="6"/>
      <c r="U968" s="8"/>
    </row>
    <row r="969" spans="1:34" ht="13" customHeight="1">
      <c r="A969" s="8" t="s">
        <v>3653</v>
      </c>
      <c r="B969" s="16">
        <v>41</v>
      </c>
      <c r="C969" s="8" t="s">
        <v>20</v>
      </c>
      <c r="D969" s="8" t="s">
        <v>48</v>
      </c>
      <c r="E969" s="8" t="s">
        <v>3654</v>
      </c>
      <c r="F969" s="17">
        <v>42076</v>
      </c>
      <c r="G969" s="8" t="s">
        <v>3655</v>
      </c>
      <c r="H969" s="8" t="s">
        <v>3656</v>
      </c>
      <c r="I969" s="8" t="s">
        <v>45</v>
      </c>
      <c r="J969" s="16" t="s">
        <v>3657</v>
      </c>
      <c r="K969" s="2" t="s">
        <v>3656</v>
      </c>
      <c r="L969" s="8" t="s">
        <v>3658</v>
      </c>
      <c r="M969" s="8" t="s">
        <v>27</v>
      </c>
      <c r="N969" s="2" t="s">
        <v>3659</v>
      </c>
      <c r="O969" s="8" t="s">
        <v>1013</v>
      </c>
      <c r="P969" s="8" t="s">
        <v>401</v>
      </c>
      <c r="Q969" s="12" t="s">
        <v>3660</v>
      </c>
      <c r="R969" s="8" t="s">
        <v>29</v>
      </c>
      <c r="S969" s="7" t="s">
        <v>28</v>
      </c>
      <c r="T969" s="6"/>
      <c r="U969" s="8"/>
    </row>
    <row r="970" spans="1:34" ht="13" customHeight="1">
      <c r="A970" s="8" t="s">
        <v>3647</v>
      </c>
      <c r="B970" s="16">
        <v>23</v>
      </c>
      <c r="C970" s="8" t="s">
        <v>20</v>
      </c>
      <c r="D970" s="8" t="s">
        <v>48</v>
      </c>
      <c r="E970" s="8" t="s">
        <v>3648</v>
      </c>
      <c r="F970" s="17">
        <v>42076</v>
      </c>
      <c r="G970" s="8" t="s">
        <v>3649</v>
      </c>
      <c r="H970" s="8" t="s">
        <v>2886</v>
      </c>
      <c r="I970" s="8" t="s">
        <v>45</v>
      </c>
      <c r="J970" s="16" t="s">
        <v>3650</v>
      </c>
      <c r="K970" s="2" t="s">
        <v>98</v>
      </c>
      <c r="L970" s="8" t="s">
        <v>99</v>
      </c>
      <c r="M970" s="8" t="s">
        <v>27</v>
      </c>
      <c r="N970" s="2" t="s">
        <v>3651</v>
      </c>
      <c r="O970" s="8" t="s">
        <v>400</v>
      </c>
      <c r="P970" s="8" t="s">
        <v>401</v>
      </c>
      <c r="Q970" s="12" t="s">
        <v>3652</v>
      </c>
      <c r="R970" s="8" t="s">
        <v>967</v>
      </c>
      <c r="S970" s="7" t="s">
        <v>18</v>
      </c>
      <c r="T970" s="6"/>
      <c r="U970" s="8"/>
    </row>
    <row r="971" spans="1:34" ht="13" customHeight="1">
      <c r="A971" s="8" t="s">
        <v>3661</v>
      </c>
      <c r="B971" s="16" t="s">
        <v>29</v>
      </c>
      <c r="C971" s="8" t="s">
        <v>20</v>
      </c>
      <c r="D971" s="8" t="s">
        <v>37</v>
      </c>
      <c r="F971" s="17">
        <v>42076</v>
      </c>
      <c r="G971" s="8" t="s">
        <v>3662</v>
      </c>
      <c r="H971" s="8" t="s">
        <v>415</v>
      </c>
      <c r="I971" s="8" t="s">
        <v>45</v>
      </c>
      <c r="J971" s="16" t="s">
        <v>3663</v>
      </c>
      <c r="K971" s="2" t="s">
        <v>309</v>
      </c>
      <c r="L971" s="8" t="s">
        <v>416</v>
      </c>
      <c r="M971" s="8" t="s">
        <v>27</v>
      </c>
      <c r="N971" s="2" t="s">
        <v>3664</v>
      </c>
      <c r="O971" s="8" t="s">
        <v>1013</v>
      </c>
      <c r="P971" s="8" t="s">
        <v>401</v>
      </c>
      <c r="Q971" s="12" t="s">
        <v>3665</v>
      </c>
      <c r="R971" s="8" t="s">
        <v>555</v>
      </c>
      <c r="S971" s="7" t="s">
        <v>28</v>
      </c>
      <c r="T971" s="6"/>
      <c r="U971" s="8"/>
    </row>
    <row r="972" spans="1:34" ht="13" customHeight="1">
      <c r="A972" s="8" t="s">
        <v>3671</v>
      </c>
      <c r="B972" s="16">
        <v>53</v>
      </c>
      <c r="C972" s="8" t="s">
        <v>20</v>
      </c>
      <c r="D972" s="8" t="s">
        <v>37</v>
      </c>
      <c r="E972" s="8" t="s">
        <v>3672</v>
      </c>
      <c r="F972" s="17">
        <v>42076</v>
      </c>
      <c r="G972" s="8" t="s">
        <v>3673</v>
      </c>
      <c r="H972" s="8" t="s">
        <v>3674</v>
      </c>
      <c r="I972" s="8" t="s">
        <v>150</v>
      </c>
      <c r="J972" s="16" t="s">
        <v>3675</v>
      </c>
      <c r="K972" s="2" t="s">
        <v>3676</v>
      </c>
      <c r="L972" s="8" t="s">
        <v>17515</v>
      </c>
      <c r="M972" s="8" t="s">
        <v>27</v>
      </c>
      <c r="N972" s="2" t="s">
        <v>3677</v>
      </c>
      <c r="O972" s="8" t="s">
        <v>1013</v>
      </c>
      <c r="P972" s="8" t="s">
        <v>401</v>
      </c>
      <c r="Q972" s="12" t="s">
        <v>3678</v>
      </c>
      <c r="R972" s="8" t="s">
        <v>555</v>
      </c>
      <c r="S972" s="7" t="s">
        <v>28</v>
      </c>
      <c r="T972" s="6"/>
      <c r="U972" s="8"/>
    </row>
    <row r="973" spans="1:34" ht="13" customHeight="1">
      <c r="A973" s="8" t="s">
        <v>3666</v>
      </c>
      <c r="B973" s="16">
        <v>59</v>
      </c>
      <c r="C973" s="8" t="s">
        <v>20</v>
      </c>
      <c r="D973" s="8" t="s">
        <v>37</v>
      </c>
      <c r="F973" s="17">
        <v>42076</v>
      </c>
      <c r="G973" s="8" t="s">
        <v>3667</v>
      </c>
      <c r="H973" s="8" t="s">
        <v>430</v>
      </c>
      <c r="I973" s="8" t="s">
        <v>431</v>
      </c>
      <c r="J973" s="16" t="s">
        <v>3668</v>
      </c>
      <c r="K973" s="2" t="s">
        <v>433</v>
      </c>
      <c r="L973" s="8" t="s">
        <v>5671</v>
      </c>
      <c r="M973" s="8" t="s">
        <v>27</v>
      </c>
      <c r="N973" s="2" t="s">
        <v>3669</v>
      </c>
      <c r="O973" s="8" t="s">
        <v>400</v>
      </c>
      <c r="P973" s="8" t="s">
        <v>401</v>
      </c>
      <c r="Q973" s="12" t="s">
        <v>3670</v>
      </c>
      <c r="R973" s="8" t="s">
        <v>29</v>
      </c>
      <c r="S973" s="7" t="s">
        <v>28</v>
      </c>
      <c r="T973" s="6"/>
      <c r="U973" s="8"/>
    </row>
    <row r="974" spans="1:34" ht="13" customHeight="1">
      <c r="A974" s="8" t="s">
        <v>3683</v>
      </c>
      <c r="B974" s="16">
        <v>35</v>
      </c>
      <c r="C974" s="8" t="s">
        <v>20</v>
      </c>
      <c r="D974" s="8" t="s">
        <v>85</v>
      </c>
      <c r="F974" s="17">
        <v>42075</v>
      </c>
      <c r="G974" s="8" t="s">
        <v>3684</v>
      </c>
      <c r="H974" s="8" t="s">
        <v>118</v>
      </c>
      <c r="I974" s="8" t="s">
        <v>3685</v>
      </c>
      <c r="J974" s="16" t="s">
        <v>3686</v>
      </c>
      <c r="K974" s="2" t="s">
        <v>3687</v>
      </c>
      <c r="L974" s="8" t="s">
        <v>3688</v>
      </c>
      <c r="M974" s="8" t="s">
        <v>27</v>
      </c>
      <c r="N974" s="2" t="s">
        <v>3689</v>
      </c>
      <c r="O974" s="8" t="s">
        <v>400</v>
      </c>
      <c r="P974" s="8" t="s">
        <v>401</v>
      </c>
      <c r="Q974" s="12" t="s">
        <v>3690</v>
      </c>
      <c r="R974" s="8" t="s">
        <v>555</v>
      </c>
      <c r="S974" s="7" t="s">
        <v>28</v>
      </c>
      <c r="T974" s="6"/>
      <c r="U974" s="8"/>
    </row>
    <row r="975" spans="1:34" ht="13" customHeight="1">
      <c r="A975" s="8" t="s">
        <v>3679</v>
      </c>
      <c r="B975" s="16">
        <v>42</v>
      </c>
      <c r="C975" s="8" t="s">
        <v>20</v>
      </c>
      <c r="D975" s="8" t="s">
        <v>85</v>
      </c>
      <c r="E975" s="8" t="s">
        <v>3680</v>
      </c>
      <c r="F975" s="17">
        <v>42075</v>
      </c>
      <c r="G975" s="8" t="s">
        <v>3681</v>
      </c>
      <c r="H975" s="8" t="s">
        <v>846</v>
      </c>
      <c r="I975" s="8" t="s">
        <v>73</v>
      </c>
      <c r="J975" s="16">
        <v>76010</v>
      </c>
      <c r="K975" s="2" t="s">
        <v>74</v>
      </c>
      <c r="L975" s="8" t="s">
        <v>847</v>
      </c>
      <c r="M975" s="8" t="s">
        <v>2297</v>
      </c>
      <c r="N975" s="2" t="s">
        <v>3682</v>
      </c>
      <c r="P975" s="8" t="s">
        <v>401</v>
      </c>
      <c r="Q975" s="12" t="str">
        <f>HYPERLINK("http://crimeblog.dallasnews.com/2015/03/man-in-arlington-police-custody-hospitazlied.html/","http://crimeblog.dallasnews.com/2015/03/man-in-arlington-police-custody-hospitazlied.html/")</f>
        <v>http://crimeblog.dallasnews.com/2015/03/man-in-arlington-police-custody-hospitazlied.html/</v>
      </c>
      <c r="S975" s="7" t="s">
        <v>28</v>
      </c>
      <c r="T975" s="6"/>
      <c r="U975" s="8"/>
      <c r="Y975" s="8"/>
      <c r="Z975" s="8"/>
      <c r="AA975" s="8"/>
      <c r="AB975" s="8"/>
      <c r="AC975" s="8"/>
      <c r="AD975" s="8"/>
      <c r="AE975" s="8"/>
      <c r="AF975" s="8"/>
      <c r="AG975" s="8"/>
      <c r="AH975" s="8"/>
    </row>
    <row r="976" spans="1:34" ht="13" customHeight="1">
      <c r="A976" s="8" t="s">
        <v>3691</v>
      </c>
      <c r="C976" s="8" t="s">
        <v>20</v>
      </c>
      <c r="D976" s="8" t="s">
        <v>48</v>
      </c>
      <c r="E976" s="8" t="s">
        <v>3692</v>
      </c>
      <c r="F976" s="17">
        <v>42075</v>
      </c>
      <c r="G976" s="8" t="s">
        <v>3693</v>
      </c>
      <c r="H976" s="8" t="s">
        <v>98</v>
      </c>
      <c r="I976" s="8" t="s">
        <v>45</v>
      </c>
      <c r="J976" s="16" t="s">
        <v>3694</v>
      </c>
      <c r="K976" s="2" t="s">
        <v>98</v>
      </c>
      <c r="L976" s="8" t="s">
        <v>5014</v>
      </c>
      <c r="M976" s="8" t="s">
        <v>27</v>
      </c>
      <c r="N976" s="2" t="s">
        <v>3695</v>
      </c>
      <c r="O976" s="8" t="s">
        <v>1013</v>
      </c>
      <c r="P976" s="8" t="s">
        <v>401</v>
      </c>
      <c r="Q976" s="12" t="s">
        <v>3696</v>
      </c>
      <c r="R976" s="8" t="s">
        <v>29</v>
      </c>
      <c r="S976" s="7" t="s">
        <v>18</v>
      </c>
      <c r="T976" s="6"/>
      <c r="U976" s="8"/>
    </row>
    <row r="977" spans="1:39" ht="13" customHeight="1">
      <c r="A977" s="8" t="s">
        <v>3697</v>
      </c>
      <c r="B977" s="16">
        <v>37</v>
      </c>
      <c r="C977" s="8" t="s">
        <v>20</v>
      </c>
      <c r="D977" s="8" t="s">
        <v>85</v>
      </c>
      <c r="E977" s="8" t="s">
        <v>3698</v>
      </c>
      <c r="F977" s="17">
        <v>42074</v>
      </c>
      <c r="G977" s="8" t="s">
        <v>3699</v>
      </c>
      <c r="H977" s="8" t="s">
        <v>3700</v>
      </c>
      <c r="I977" s="8" t="s">
        <v>52</v>
      </c>
      <c r="J977" s="16" t="s">
        <v>3701</v>
      </c>
      <c r="K977" s="2" t="s">
        <v>697</v>
      </c>
      <c r="L977" s="8" t="s">
        <v>3702</v>
      </c>
      <c r="M977" s="8" t="s">
        <v>27</v>
      </c>
      <c r="N977" s="2" t="s">
        <v>3703</v>
      </c>
      <c r="O977" s="8" t="s">
        <v>1013</v>
      </c>
      <c r="P977" s="8" t="s">
        <v>401</v>
      </c>
      <c r="Q977" s="12" t="s">
        <v>3704</v>
      </c>
      <c r="R977" s="8" t="s">
        <v>29</v>
      </c>
      <c r="S977" s="7" t="s">
        <v>28</v>
      </c>
      <c r="T977" s="6"/>
      <c r="U977" s="8"/>
    </row>
    <row r="978" spans="1:39" ht="13" customHeight="1">
      <c r="A978" s="8" t="s">
        <v>3705</v>
      </c>
      <c r="B978" s="16">
        <v>64</v>
      </c>
      <c r="C978" s="8" t="s">
        <v>20</v>
      </c>
      <c r="D978" s="8" t="s">
        <v>85</v>
      </c>
      <c r="E978" s="8" t="s">
        <v>3706</v>
      </c>
      <c r="F978" s="17">
        <v>42074</v>
      </c>
      <c r="G978" s="8" t="s">
        <v>3707</v>
      </c>
      <c r="H978" s="8" t="s">
        <v>987</v>
      </c>
      <c r="I978" s="8" t="s">
        <v>69</v>
      </c>
      <c r="J978" s="16">
        <v>44105</v>
      </c>
      <c r="K978" s="2" t="s">
        <v>105</v>
      </c>
      <c r="L978" s="8" t="s">
        <v>3471</v>
      </c>
      <c r="M978" s="8" t="s">
        <v>27</v>
      </c>
      <c r="N978" s="2" t="s">
        <v>3708</v>
      </c>
      <c r="P978" s="8" t="s">
        <v>401</v>
      </c>
      <c r="Q978" s="12" t="str">
        <f>HYPERLINK("http://www.19actionnews.com/story/28380324/one-dead-after-officer-involved-shooting-in-cleveland","http://www.19actionnews.com/story/28380324/one-dead-after-officer-involved-shooting-in-cleveland")</f>
        <v>http://www.19actionnews.com/story/28380324/one-dead-after-officer-involved-shooting-in-cleveland</v>
      </c>
      <c r="S978" s="7" t="s">
        <v>28</v>
      </c>
      <c r="T978" s="6"/>
      <c r="U978" s="8"/>
    </row>
    <row r="979" spans="1:39" ht="13" customHeight="1">
      <c r="A979" s="8" t="s">
        <v>3717</v>
      </c>
      <c r="B979" s="16">
        <v>25</v>
      </c>
      <c r="C979" s="8" t="s">
        <v>20</v>
      </c>
      <c r="D979" s="8" t="s">
        <v>48</v>
      </c>
      <c r="F979" s="17">
        <v>42074</v>
      </c>
      <c r="G979" s="8" t="s">
        <v>3718</v>
      </c>
      <c r="H979" s="8" t="s">
        <v>3719</v>
      </c>
      <c r="I979" s="8" t="s">
        <v>45</v>
      </c>
      <c r="J979" s="16" t="s">
        <v>3720</v>
      </c>
      <c r="K979" s="2" t="s">
        <v>98</v>
      </c>
      <c r="L979" s="8" t="s">
        <v>3721</v>
      </c>
      <c r="M979" s="8" t="s">
        <v>27</v>
      </c>
      <c r="N979" s="2" t="s">
        <v>3722</v>
      </c>
      <c r="O979" s="8" t="s">
        <v>1013</v>
      </c>
      <c r="P979" s="8" t="s">
        <v>401</v>
      </c>
      <c r="Q979" s="12" t="s">
        <v>3723</v>
      </c>
      <c r="R979" s="8" t="s">
        <v>29</v>
      </c>
      <c r="S979" s="7" t="s">
        <v>28</v>
      </c>
      <c r="T979" s="6"/>
      <c r="U979" s="8"/>
    </row>
    <row r="980" spans="1:39" ht="13" customHeight="1">
      <c r="A980" s="8" t="s">
        <v>3709</v>
      </c>
      <c r="B980" s="16">
        <v>39</v>
      </c>
      <c r="C980" s="8" t="s">
        <v>20</v>
      </c>
      <c r="D980" s="8" t="s">
        <v>48</v>
      </c>
      <c r="E980" s="8" t="s">
        <v>3710</v>
      </c>
      <c r="F980" s="17">
        <v>42074</v>
      </c>
      <c r="G980" s="8" t="s">
        <v>3711</v>
      </c>
      <c r="H980" s="8" t="s">
        <v>3712</v>
      </c>
      <c r="I980" s="8" t="s">
        <v>45</v>
      </c>
      <c r="J980" s="16" t="s">
        <v>3713</v>
      </c>
      <c r="K980" s="2" t="s">
        <v>1064</v>
      </c>
      <c r="L980" s="8" t="s">
        <v>3714</v>
      </c>
      <c r="M980" s="8" t="s">
        <v>27</v>
      </c>
      <c r="N980" s="2" t="s">
        <v>3715</v>
      </c>
      <c r="O980" s="8" t="s">
        <v>1013</v>
      </c>
      <c r="P980" s="8" t="s">
        <v>401</v>
      </c>
      <c r="Q980" s="12" t="s">
        <v>3716</v>
      </c>
      <c r="R980" s="8" t="s">
        <v>555</v>
      </c>
      <c r="S980" s="7" t="s">
        <v>28</v>
      </c>
      <c r="T980" s="6"/>
      <c r="U980" s="8"/>
    </row>
    <row r="981" spans="1:39" ht="13" customHeight="1">
      <c r="A981" s="8" t="s">
        <v>3733</v>
      </c>
      <c r="B981" s="16">
        <v>31</v>
      </c>
      <c r="C981" s="8" t="s">
        <v>20</v>
      </c>
      <c r="D981" s="8" t="s">
        <v>37</v>
      </c>
      <c r="E981" s="8" t="s">
        <v>3734</v>
      </c>
      <c r="F981" s="17">
        <v>42074</v>
      </c>
      <c r="G981" s="8" t="s">
        <v>3735</v>
      </c>
      <c r="H981" s="8" t="s">
        <v>1195</v>
      </c>
      <c r="I981" s="8" t="s">
        <v>319</v>
      </c>
      <c r="J981" s="16" t="s">
        <v>3736</v>
      </c>
      <c r="K981" s="2" t="s">
        <v>1196</v>
      </c>
      <c r="L981" s="8" t="s">
        <v>1197</v>
      </c>
      <c r="M981" s="8" t="s">
        <v>27</v>
      </c>
      <c r="N981" s="2" t="s">
        <v>3737</v>
      </c>
      <c r="O981" s="8" t="s">
        <v>1013</v>
      </c>
      <c r="P981" s="8" t="s">
        <v>401</v>
      </c>
      <c r="Q981" s="12" t="s">
        <v>3738</v>
      </c>
      <c r="R981" s="8" t="s">
        <v>967</v>
      </c>
      <c r="S981" s="7" t="s">
        <v>28</v>
      </c>
      <c r="T981" s="6"/>
      <c r="U981" s="8"/>
    </row>
    <row r="982" spans="1:39" ht="13" customHeight="1">
      <c r="A982" s="8" t="s">
        <v>3724</v>
      </c>
      <c r="B982" s="16">
        <v>54</v>
      </c>
      <c r="C982" s="8" t="s">
        <v>20</v>
      </c>
      <c r="D982" s="8" t="s">
        <v>37</v>
      </c>
      <c r="E982" s="8" t="s">
        <v>3725</v>
      </c>
      <c r="F982" s="17">
        <v>42074</v>
      </c>
      <c r="G982" s="8" t="s">
        <v>3726</v>
      </c>
      <c r="H982" s="8" t="s">
        <v>3727</v>
      </c>
      <c r="I982" s="8" t="s">
        <v>94</v>
      </c>
      <c r="J982" s="16" t="s">
        <v>3728</v>
      </c>
      <c r="K982" s="2" t="s">
        <v>3729</v>
      </c>
      <c r="L982" s="8" t="s">
        <v>3730</v>
      </c>
      <c r="M982" s="8" t="s">
        <v>27</v>
      </c>
      <c r="N982" s="2" t="s">
        <v>3731</v>
      </c>
      <c r="O982" s="8" t="s">
        <v>1013</v>
      </c>
      <c r="P982" s="8" t="s">
        <v>401</v>
      </c>
      <c r="Q982" s="12" t="s">
        <v>3732</v>
      </c>
      <c r="R982" s="8" t="s">
        <v>555</v>
      </c>
      <c r="S982" s="7" t="s">
        <v>28</v>
      </c>
      <c r="T982" s="6"/>
      <c r="U982" s="8"/>
    </row>
    <row r="983" spans="1:39" ht="13" customHeight="1">
      <c r="A983" s="8" t="s">
        <v>3739</v>
      </c>
      <c r="B983" s="16">
        <v>31</v>
      </c>
      <c r="C983" s="8" t="s">
        <v>20</v>
      </c>
      <c r="D983" s="8" t="s">
        <v>37</v>
      </c>
      <c r="E983" s="8" t="s">
        <v>3740</v>
      </c>
      <c r="F983" s="17">
        <v>42074</v>
      </c>
      <c r="G983" s="8" t="s">
        <v>3741</v>
      </c>
      <c r="H983" s="8" t="s">
        <v>3742</v>
      </c>
      <c r="I983" s="8" t="s">
        <v>123</v>
      </c>
      <c r="J983" s="16" t="s">
        <v>3743</v>
      </c>
      <c r="K983" s="2" t="s">
        <v>3744</v>
      </c>
      <c r="L983" s="8" t="s">
        <v>3745</v>
      </c>
      <c r="M983" s="8" t="s">
        <v>27</v>
      </c>
      <c r="N983" s="2" t="s">
        <v>3746</v>
      </c>
      <c r="O983" s="8" t="s">
        <v>1013</v>
      </c>
      <c r="P983" s="8" t="s">
        <v>401</v>
      </c>
      <c r="Q983" s="12" t="s">
        <v>3747</v>
      </c>
      <c r="R983" s="8" t="s">
        <v>967</v>
      </c>
      <c r="S983" s="7" t="s">
        <v>18</v>
      </c>
      <c r="T983" s="6"/>
      <c r="U983" s="8"/>
    </row>
    <row r="984" spans="1:39" ht="13" customHeight="1">
      <c r="A984" s="8" t="s">
        <v>3754</v>
      </c>
      <c r="B984" s="16">
        <v>23</v>
      </c>
      <c r="C984" s="8" t="s">
        <v>20</v>
      </c>
      <c r="D984" s="8" t="s">
        <v>85</v>
      </c>
      <c r="F984" s="17">
        <v>42073</v>
      </c>
      <c r="G984" s="8" t="s">
        <v>3755</v>
      </c>
      <c r="H984" s="8" t="s">
        <v>3756</v>
      </c>
      <c r="I984" s="8" t="s">
        <v>173</v>
      </c>
      <c r="J984" s="16" t="s">
        <v>3757</v>
      </c>
      <c r="K984" s="2" t="s">
        <v>3758</v>
      </c>
      <c r="L984" s="8" t="s">
        <v>3759</v>
      </c>
      <c r="M984" s="8" t="s">
        <v>27</v>
      </c>
      <c r="N984" s="2" t="s">
        <v>3760</v>
      </c>
      <c r="O984" s="8" t="s">
        <v>1013</v>
      </c>
      <c r="P984" s="8" t="s">
        <v>401</v>
      </c>
      <c r="Q984" s="12" t="s">
        <v>3761</v>
      </c>
      <c r="R984" s="8" t="s">
        <v>29</v>
      </c>
      <c r="S984" s="7" t="s">
        <v>28</v>
      </c>
      <c r="T984" s="6"/>
      <c r="U984" s="8"/>
    </row>
    <row r="985" spans="1:39" ht="13" customHeight="1">
      <c r="A985" s="8" t="s">
        <v>3762</v>
      </c>
      <c r="B985" s="16">
        <v>31</v>
      </c>
      <c r="C985" s="8" t="s">
        <v>20</v>
      </c>
      <c r="D985" s="8" t="s">
        <v>85</v>
      </c>
      <c r="E985" s="8" t="s">
        <v>3763</v>
      </c>
      <c r="F985" s="17">
        <v>42073</v>
      </c>
      <c r="G985" s="8" t="s">
        <v>3764</v>
      </c>
      <c r="H985" s="8" t="s">
        <v>189</v>
      </c>
      <c r="I985" s="8" t="s">
        <v>25</v>
      </c>
      <c r="J985" s="16" t="s">
        <v>1685</v>
      </c>
      <c r="K985" s="2" t="s">
        <v>3765</v>
      </c>
      <c r="L985" s="8" t="s">
        <v>3766</v>
      </c>
      <c r="M985" s="8" t="s">
        <v>27</v>
      </c>
      <c r="N985" s="2" t="s">
        <v>3767</v>
      </c>
      <c r="O985" s="8" t="s">
        <v>1013</v>
      </c>
      <c r="P985" s="8" t="s">
        <v>401</v>
      </c>
      <c r="Q985" s="12" t="s">
        <v>3768</v>
      </c>
      <c r="R985" s="8" t="s">
        <v>29</v>
      </c>
      <c r="S985" s="7" t="s">
        <v>28</v>
      </c>
      <c r="T985" s="6"/>
      <c r="U985" s="8"/>
    </row>
    <row r="986" spans="1:39" ht="13" customHeight="1">
      <c r="A986" s="8" t="s">
        <v>3748</v>
      </c>
      <c r="B986" s="16">
        <v>29</v>
      </c>
      <c r="C986" s="8" t="s">
        <v>20</v>
      </c>
      <c r="D986" s="8" t="s">
        <v>85</v>
      </c>
      <c r="E986" s="8" t="s">
        <v>3749</v>
      </c>
      <c r="F986" s="17">
        <v>42073</v>
      </c>
      <c r="G986" s="8" t="s">
        <v>3750</v>
      </c>
      <c r="H986" s="8" t="s">
        <v>2598</v>
      </c>
      <c r="I986" s="8" t="s">
        <v>69</v>
      </c>
      <c r="J986" s="16" t="s">
        <v>3751</v>
      </c>
      <c r="K986" s="2" t="s">
        <v>2599</v>
      </c>
      <c r="L986" s="8" t="s">
        <v>2600</v>
      </c>
      <c r="M986" s="8" t="s">
        <v>391</v>
      </c>
      <c r="N986" s="2" t="s">
        <v>3752</v>
      </c>
      <c r="O986" s="8" t="s">
        <v>400</v>
      </c>
      <c r="P986" s="8" t="s">
        <v>401</v>
      </c>
      <c r="Q986" s="12" t="s">
        <v>3753</v>
      </c>
      <c r="R986" s="8" t="s">
        <v>555</v>
      </c>
      <c r="S986" s="7" t="s">
        <v>18</v>
      </c>
      <c r="T986" s="6"/>
      <c r="U986" s="8"/>
    </row>
    <row r="987" spans="1:39" ht="13" customHeight="1">
      <c r="A987" s="8" t="s">
        <v>3267</v>
      </c>
      <c r="B987" s="16" t="s">
        <v>29</v>
      </c>
      <c r="C987" s="8" t="s">
        <v>20</v>
      </c>
      <c r="D987" s="8" t="s">
        <v>30</v>
      </c>
      <c r="F987" s="17">
        <v>42073</v>
      </c>
      <c r="G987" s="8" t="s">
        <v>3776</v>
      </c>
      <c r="H987" s="8" t="s">
        <v>485</v>
      </c>
      <c r="I987" s="8" t="s">
        <v>45</v>
      </c>
      <c r="J987" s="16" t="s">
        <v>3777</v>
      </c>
      <c r="K987" s="2" t="s">
        <v>309</v>
      </c>
      <c r="L987" s="8" t="s">
        <v>486</v>
      </c>
      <c r="M987" s="8" t="s">
        <v>27</v>
      </c>
      <c r="N987" s="2" t="s">
        <v>3778</v>
      </c>
      <c r="O987" s="8" t="s">
        <v>1013</v>
      </c>
      <c r="P987" s="8" t="s">
        <v>401</v>
      </c>
      <c r="Q987" s="12" t="s">
        <v>3779</v>
      </c>
      <c r="R987" s="8" t="s">
        <v>555</v>
      </c>
      <c r="S987" s="7" t="s">
        <v>28</v>
      </c>
      <c r="T987" s="6"/>
      <c r="U987" s="8"/>
    </row>
    <row r="988" spans="1:39" ht="13" customHeight="1">
      <c r="A988" s="8" t="s">
        <v>3769</v>
      </c>
      <c r="B988" s="16">
        <v>53</v>
      </c>
      <c r="C988" s="8" t="s">
        <v>20</v>
      </c>
      <c r="D988" s="8" t="s">
        <v>37</v>
      </c>
      <c r="F988" s="17">
        <v>42073</v>
      </c>
      <c r="G988" s="8" t="s">
        <v>3770</v>
      </c>
      <c r="H988" s="8" t="s">
        <v>3771</v>
      </c>
      <c r="I988" s="8" t="s">
        <v>94</v>
      </c>
      <c r="J988" s="16" t="s">
        <v>3772</v>
      </c>
      <c r="K988" s="2" t="s">
        <v>1781</v>
      </c>
      <c r="L988" s="8" t="s">
        <v>3773</v>
      </c>
      <c r="M988" s="8" t="s">
        <v>27</v>
      </c>
      <c r="N988" s="2" t="s">
        <v>3774</v>
      </c>
      <c r="O988" s="8" t="s">
        <v>400</v>
      </c>
      <c r="P988" s="8" t="s">
        <v>401</v>
      </c>
      <c r="Q988" s="12" t="s">
        <v>3775</v>
      </c>
      <c r="R988" s="8" t="s">
        <v>555</v>
      </c>
      <c r="S988" s="7" t="s">
        <v>28</v>
      </c>
      <c r="T988" s="6"/>
      <c r="U988" s="8"/>
    </row>
    <row r="989" spans="1:39" ht="13" customHeight="1">
      <c r="A989" s="8" t="s">
        <v>3780</v>
      </c>
      <c r="B989" s="16">
        <v>64</v>
      </c>
      <c r="C989" s="8" t="s">
        <v>114</v>
      </c>
      <c r="D989" s="8" t="s">
        <v>21</v>
      </c>
      <c r="F989" s="17">
        <v>42072</v>
      </c>
      <c r="G989" s="8" t="s">
        <v>3781</v>
      </c>
      <c r="H989" s="8" t="s">
        <v>1834</v>
      </c>
      <c r="I989" s="8" t="s">
        <v>81</v>
      </c>
      <c r="J989" s="16" t="s">
        <v>1835</v>
      </c>
      <c r="K989" s="2" t="s">
        <v>1836</v>
      </c>
      <c r="L989" s="8" t="s">
        <v>3782</v>
      </c>
      <c r="M989" s="8" t="s">
        <v>379</v>
      </c>
      <c r="N989" s="2" t="s">
        <v>3783</v>
      </c>
      <c r="O989" s="8" t="s">
        <v>400</v>
      </c>
      <c r="P989" s="8" t="s">
        <v>401</v>
      </c>
      <c r="Q989" s="12" t="s">
        <v>3784</v>
      </c>
      <c r="R989" s="8" t="s">
        <v>100</v>
      </c>
      <c r="S989" s="7" t="s">
        <v>18</v>
      </c>
      <c r="T989" s="6"/>
      <c r="U989" s="8"/>
      <c r="AI989" s="8"/>
      <c r="AJ989" s="8"/>
      <c r="AK989" s="8"/>
      <c r="AL989" s="8"/>
      <c r="AM989" s="8"/>
    </row>
    <row r="990" spans="1:39" ht="13" customHeight="1">
      <c r="A990" s="8" t="s">
        <v>3785</v>
      </c>
      <c r="B990" s="16">
        <v>30</v>
      </c>
      <c r="C990" s="8" t="s">
        <v>20</v>
      </c>
      <c r="D990" s="8" t="s">
        <v>85</v>
      </c>
      <c r="E990" s="8" t="s">
        <v>3786</v>
      </c>
      <c r="F990" s="17">
        <v>42072</v>
      </c>
      <c r="G990" s="8" t="s">
        <v>3787</v>
      </c>
      <c r="H990" s="8" t="s">
        <v>1770</v>
      </c>
      <c r="I990" s="8" t="s">
        <v>62</v>
      </c>
      <c r="J990" s="16" t="s">
        <v>3788</v>
      </c>
      <c r="K990" s="2" t="s">
        <v>1772</v>
      </c>
      <c r="L990" s="8" t="s">
        <v>3789</v>
      </c>
      <c r="M990" s="8" t="s">
        <v>27</v>
      </c>
      <c r="N990" s="2" t="s">
        <v>3790</v>
      </c>
      <c r="O990" s="8" t="s">
        <v>1013</v>
      </c>
      <c r="P990" s="8" t="s">
        <v>401</v>
      </c>
      <c r="Q990" s="12" t="s">
        <v>3791</v>
      </c>
      <c r="R990" s="8" t="s">
        <v>100</v>
      </c>
      <c r="S990" s="7" t="s">
        <v>28</v>
      </c>
      <c r="T990" s="6"/>
      <c r="U990" s="8"/>
    </row>
    <row r="991" spans="1:39" ht="13" customHeight="1">
      <c r="A991" s="8" t="s">
        <v>3792</v>
      </c>
      <c r="B991" s="16">
        <v>27</v>
      </c>
      <c r="C991" s="8" t="s">
        <v>20</v>
      </c>
      <c r="D991" s="8" t="s">
        <v>85</v>
      </c>
      <c r="E991" s="8" t="s">
        <v>3793</v>
      </c>
      <c r="F991" s="17">
        <v>42072</v>
      </c>
      <c r="G991" s="8" t="s">
        <v>3794</v>
      </c>
      <c r="H991" s="8" t="s">
        <v>3795</v>
      </c>
      <c r="I991" s="8" t="s">
        <v>173</v>
      </c>
      <c r="J991" s="16" t="s">
        <v>3796</v>
      </c>
      <c r="K991" s="2" t="s">
        <v>1307</v>
      </c>
      <c r="L991" s="8" t="s">
        <v>865</v>
      </c>
      <c r="M991" s="8" t="s">
        <v>27</v>
      </c>
      <c r="N991" s="2" t="s">
        <v>3797</v>
      </c>
      <c r="O991" s="8" t="s">
        <v>400</v>
      </c>
      <c r="P991" s="8" t="s">
        <v>401</v>
      </c>
      <c r="Q991" s="12" t="s">
        <v>3798</v>
      </c>
      <c r="R991" s="8" t="s">
        <v>555</v>
      </c>
      <c r="S991" s="7" t="s">
        <v>18</v>
      </c>
      <c r="T991" s="6"/>
      <c r="U991" s="8"/>
    </row>
    <row r="992" spans="1:39" ht="13" customHeight="1">
      <c r="A992" s="8" t="s">
        <v>3799</v>
      </c>
      <c r="B992" s="16">
        <v>46</v>
      </c>
      <c r="C992" s="8" t="s">
        <v>20</v>
      </c>
      <c r="D992" s="8" t="s">
        <v>37</v>
      </c>
      <c r="E992" s="8" t="s">
        <v>3800</v>
      </c>
      <c r="F992" s="17">
        <v>42072</v>
      </c>
      <c r="G992" s="8" t="s">
        <v>3801</v>
      </c>
      <c r="H992" s="8" t="s">
        <v>3802</v>
      </c>
      <c r="I992" s="8" t="s">
        <v>209</v>
      </c>
      <c r="J992" s="16" t="s">
        <v>3803</v>
      </c>
      <c r="K992" s="2" t="s">
        <v>3804</v>
      </c>
      <c r="L992" s="8" t="s">
        <v>3805</v>
      </c>
      <c r="M992" s="8" t="s">
        <v>27</v>
      </c>
      <c r="N992" s="2" t="s">
        <v>3806</v>
      </c>
      <c r="O992" s="8" t="s">
        <v>1013</v>
      </c>
      <c r="P992" s="8" t="s">
        <v>401</v>
      </c>
      <c r="Q992" s="12" t="s">
        <v>3807</v>
      </c>
      <c r="R992" s="8" t="s">
        <v>100</v>
      </c>
      <c r="S992" s="7" t="s">
        <v>28</v>
      </c>
      <c r="T992" s="6"/>
      <c r="U992" s="8"/>
    </row>
    <row r="993" spans="1:39" ht="13" customHeight="1">
      <c r="A993" s="8" t="s">
        <v>3808</v>
      </c>
      <c r="B993" s="16">
        <v>58</v>
      </c>
      <c r="C993" s="8" t="s">
        <v>20</v>
      </c>
      <c r="D993" s="8" t="s">
        <v>37</v>
      </c>
      <c r="E993" s="8" t="s">
        <v>3809</v>
      </c>
      <c r="F993" s="17">
        <v>42072</v>
      </c>
      <c r="G993" s="8" t="s">
        <v>3810</v>
      </c>
      <c r="H993" s="8" t="s">
        <v>3811</v>
      </c>
      <c r="I993" s="8" t="s">
        <v>366</v>
      </c>
      <c r="J993" s="16" t="s">
        <v>3812</v>
      </c>
      <c r="K993" s="2" t="s">
        <v>3813</v>
      </c>
      <c r="L993" s="8" t="s">
        <v>3814</v>
      </c>
      <c r="M993" s="8" t="s">
        <v>27</v>
      </c>
      <c r="N993" s="2" t="s">
        <v>3815</v>
      </c>
      <c r="O993" s="8" t="s">
        <v>1013</v>
      </c>
      <c r="P993" s="8" t="s">
        <v>401</v>
      </c>
      <c r="Q993" s="12" t="s">
        <v>3816</v>
      </c>
      <c r="R993" s="8" t="s">
        <v>967</v>
      </c>
      <c r="S993" s="7" t="s">
        <v>28</v>
      </c>
      <c r="T993" s="6"/>
      <c r="U993" s="8"/>
    </row>
    <row r="994" spans="1:39" ht="13" customHeight="1">
      <c r="A994" s="8" t="s">
        <v>3817</v>
      </c>
      <c r="B994" s="16">
        <v>43</v>
      </c>
      <c r="C994" s="8" t="s">
        <v>114</v>
      </c>
      <c r="D994" s="8" t="s">
        <v>85</v>
      </c>
      <c r="E994" s="8" t="s">
        <v>3818</v>
      </c>
      <c r="F994" s="17">
        <v>42071</v>
      </c>
      <c r="G994" s="8" t="s">
        <v>3819</v>
      </c>
      <c r="H994" s="8" t="s">
        <v>1882</v>
      </c>
      <c r="I994" s="8" t="s">
        <v>45</v>
      </c>
      <c r="J994" s="16" t="s">
        <v>3820</v>
      </c>
      <c r="K994" s="2" t="s">
        <v>1064</v>
      </c>
      <c r="L994" s="8" t="s">
        <v>1884</v>
      </c>
      <c r="M994" s="8" t="s">
        <v>27</v>
      </c>
      <c r="N994" s="2" t="s">
        <v>3821</v>
      </c>
      <c r="O994" s="8" t="s">
        <v>1013</v>
      </c>
      <c r="P994" s="8" t="s">
        <v>401</v>
      </c>
      <c r="Q994" s="12" t="s">
        <v>3822</v>
      </c>
      <c r="R994" s="8" t="s">
        <v>555</v>
      </c>
      <c r="S994" s="7" t="s">
        <v>28</v>
      </c>
      <c r="T994" s="6"/>
      <c r="U994" s="8"/>
      <c r="Y994" s="8"/>
      <c r="Z994" s="8"/>
      <c r="AA994" s="8"/>
      <c r="AB994" s="8"/>
      <c r="AC994" s="8"/>
      <c r="AD994" s="8"/>
      <c r="AE994" s="8"/>
      <c r="AF994" s="8"/>
      <c r="AG994" s="8"/>
      <c r="AH994" s="8"/>
    </row>
    <row r="995" spans="1:39" ht="13" customHeight="1">
      <c r="A995" s="8" t="s">
        <v>3823</v>
      </c>
      <c r="B995" s="16">
        <v>40</v>
      </c>
      <c r="C995" s="8" t="s">
        <v>20</v>
      </c>
      <c r="D995" s="8" t="s">
        <v>48</v>
      </c>
      <c r="E995" s="8" t="s">
        <v>3824</v>
      </c>
      <c r="F995" s="17">
        <v>42071</v>
      </c>
      <c r="G995" s="8" t="s">
        <v>3825</v>
      </c>
      <c r="H995" s="8" t="s">
        <v>1097</v>
      </c>
      <c r="I995" s="8" t="s">
        <v>395</v>
      </c>
      <c r="J995" s="16" t="s">
        <v>3826</v>
      </c>
      <c r="K995" s="2" t="s">
        <v>1098</v>
      </c>
      <c r="L995" s="8" t="s">
        <v>1099</v>
      </c>
      <c r="M995" s="8" t="s">
        <v>27</v>
      </c>
      <c r="N995" s="2" t="s">
        <v>3827</v>
      </c>
      <c r="O995" s="8" t="s">
        <v>1013</v>
      </c>
      <c r="P995" s="8" t="s">
        <v>401</v>
      </c>
      <c r="Q995" s="12" t="s">
        <v>3828</v>
      </c>
      <c r="R995" s="8" t="s">
        <v>100</v>
      </c>
      <c r="S995" s="7" t="s">
        <v>28</v>
      </c>
      <c r="T995" s="6"/>
      <c r="U995" s="8"/>
    </row>
    <row r="996" spans="1:39" ht="13" customHeight="1">
      <c r="A996" s="8" t="s">
        <v>3829</v>
      </c>
      <c r="B996" s="16">
        <v>35</v>
      </c>
      <c r="C996" s="8" t="s">
        <v>20</v>
      </c>
      <c r="D996" s="8" t="s">
        <v>37</v>
      </c>
      <c r="E996" s="8" t="s">
        <v>3830</v>
      </c>
      <c r="F996" s="17">
        <v>42071</v>
      </c>
      <c r="G996" s="8" t="s">
        <v>3831</v>
      </c>
      <c r="H996" s="8" t="s">
        <v>3832</v>
      </c>
      <c r="I996" s="8" t="s">
        <v>225</v>
      </c>
      <c r="J996" s="16" t="s">
        <v>3833</v>
      </c>
      <c r="K996" s="2" t="s">
        <v>3834</v>
      </c>
      <c r="L996" s="8" t="s">
        <v>3835</v>
      </c>
      <c r="M996" s="8" t="s">
        <v>27</v>
      </c>
      <c r="N996" s="2" t="s">
        <v>3836</v>
      </c>
      <c r="O996" s="8" t="s">
        <v>1013</v>
      </c>
      <c r="P996" s="8" t="s">
        <v>401</v>
      </c>
      <c r="Q996" s="12" t="s">
        <v>3837</v>
      </c>
      <c r="R996" s="8" t="s">
        <v>100</v>
      </c>
      <c r="S996" s="7" t="s">
        <v>28</v>
      </c>
      <c r="T996" s="6"/>
      <c r="U996" s="8"/>
    </row>
    <row r="997" spans="1:39" ht="13" customHeight="1">
      <c r="A997" s="8" t="s">
        <v>3838</v>
      </c>
      <c r="B997" s="16">
        <v>29</v>
      </c>
      <c r="C997" s="8" t="s">
        <v>20</v>
      </c>
      <c r="D997" s="8" t="s">
        <v>37</v>
      </c>
      <c r="E997" s="8" t="s">
        <v>3839</v>
      </c>
      <c r="F997" s="17">
        <v>42070</v>
      </c>
      <c r="G997" s="8" t="s">
        <v>3840</v>
      </c>
      <c r="H997" s="8" t="s">
        <v>634</v>
      </c>
      <c r="I997" s="8" t="s">
        <v>123</v>
      </c>
      <c r="J997" s="16" t="s">
        <v>2816</v>
      </c>
      <c r="K997" s="2" t="s">
        <v>3841</v>
      </c>
      <c r="L997" s="8" t="s">
        <v>636</v>
      </c>
      <c r="M997" s="8" t="s">
        <v>27</v>
      </c>
      <c r="N997" s="2" t="s">
        <v>3842</v>
      </c>
      <c r="O997" s="8" t="s">
        <v>400</v>
      </c>
      <c r="P997" s="8" t="s">
        <v>401</v>
      </c>
      <c r="Q997" s="12" t="s">
        <v>3843</v>
      </c>
      <c r="R997" s="8" t="s">
        <v>29</v>
      </c>
      <c r="S997" s="7" t="s">
        <v>28</v>
      </c>
      <c r="T997" s="6"/>
      <c r="U997" s="8"/>
    </row>
    <row r="998" spans="1:39" ht="13" customHeight="1">
      <c r="A998" s="8" t="s">
        <v>3853</v>
      </c>
      <c r="B998" s="16">
        <v>62</v>
      </c>
      <c r="C998" s="8" t="s">
        <v>20</v>
      </c>
      <c r="D998" s="8" t="s">
        <v>85</v>
      </c>
      <c r="E998" s="8" t="s">
        <v>3854</v>
      </c>
      <c r="F998" s="17">
        <v>42069</v>
      </c>
      <c r="G998" s="8" t="s">
        <v>3855</v>
      </c>
      <c r="H998" s="8" t="s">
        <v>1919</v>
      </c>
      <c r="I998" s="8" t="s">
        <v>173</v>
      </c>
      <c r="J998" s="16" t="s">
        <v>3856</v>
      </c>
      <c r="K998" s="2" t="s">
        <v>1560</v>
      </c>
      <c r="L998" s="8" t="s">
        <v>2550</v>
      </c>
      <c r="M998" s="8" t="s">
        <v>379</v>
      </c>
      <c r="N998" s="2" t="s">
        <v>3857</v>
      </c>
      <c r="O998" s="8" t="s">
        <v>1013</v>
      </c>
      <c r="P998" s="8" t="s">
        <v>1162</v>
      </c>
      <c r="Q998" s="12" t="s">
        <v>3858</v>
      </c>
      <c r="R998" s="8" t="s">
        <v>100</v>
      </c>
      <c r="S998" s="7" t="s">
        <v>18</v>
      </c>
      <c r="T998" s="6"/>
      <c r="U998" s="8"/>
      <c r="Y998" s="8"/>
      <c r="Z998" s="8"/>
      <c r="AA998" s="8"/>
      <c r="AB998" s="8"/>
      <c r="AC998" s="8"/>
      <c r="AD998" s="8"/>
      <c r="AE998" s="8"/>
      <c r="AF998" s="8"/>
      <c r="AG998" s="8"/>
      <c r="AH998" s="8"/>
    </row>
    <row r="999" spans="1:39" ht="13" customHeight="1">
      <c r="A999" s="8" t="s">
        <v>3859</v>
      </c>
      <c r="B999" s="16">
        <v>19</v>
      </c>
      <c r="C999" s="8" t="s">
        <v>20</v>
      </c>
      <c r="D999" s="8" t="s">
        <v>85</v>
      </c>
      <c r="E999" s="8" t="s">
        <v>3860</v>
      </c>
      <c r="F999" s="17">
        <v>42069</v>
      </c>
      <c r="G999" s="8" t="s">
        <v>3861</v>
      </c>
      <c r="H999" s="8" t="s">
        <v>2165</v>
      </c>
      <c r="I999" s="8" t="s">
        <v>438</v>
      </c>
      <c r="J999" s="16" t="s">
        <v>3862</v>
      </c>
      <c r="K999" s="2" t="s">
        <v>2165</v>
      </c>
      <c r="L999" s="8" t="s">
        <v>3863</v>
      </c>
      <c r="M999" s="8" t="s">
        <v>27</v>
      </c>
      <c r="N999" s="2" t="s">
        <v>3864</v>
      </c>
      <c r="O999" s="8" t="s">
        <v>400</v>
      </c>
      <c r="P999" s="8" t="s">
        <v>401</v>
      </c>
      <c r="Q999" s="12" t="s">
        <v>3865</v>
      </c>
      <c r="R999" s="8" t="s">
        <v>100</v>
      </c>
      <c r="S999" s="7" t="s">
        <v>18</v>
      </c>
      <c r="T999" s="6"/>
      <c r="U999" s="8"/>
    </row>
    <row r="1000" spans="1:39" ht="13" customHeight="1">
      <c r="A1000" s="8" t="s">
        <v>3844</v>
      </c>
      <c r="B1000" s="16">
        <v>37</v>
      </c>
      <c r="C1000" s="8" t="s">
        <v>20</v>
      </c>
      <c r="D1000" s="8" t="s">
        <v>85</v>
      </c>
      <c r="E1000" s="8" t="s">
        <v>3845</v>
      </c>
      <c r="F1000" s="17">
        <v>42069</v>
      </c>
      <c r="G1000" s="8" t="s">
        <v>3846</v>
      </c>
      <c r="H1000" s="8" t="s">
        <v>3847</v>
      </c>
      <c r="I1000" s="8" t="s">
        <v>209</v>
      </c>
      <c r="J1000" s="16" t="s">
        <v>3848</v>
      </c>
      <c r="K1000" s="2" t="s">
        <v>3849</v>
      </c>
      <c r="L1000" s="8" t="s">
        <v>3850</v>
      </c>
      <c r="M1000" s="8" t="s">
        <v>27</v>
      </c>
      <c r="N1000" s="2" t="s">
        <v>3851</v>
      </c>
      <c r="O1000" s="8" t="s">
        <v>1013</v>
      </c>
      <c r="P1000" s="8" t="s">
        <v>401</v>
      </c>
      <c r="Q1000" s="12" t="s">
        <v>3852</v>
      </c>
      <c r="R1000" s="8" t="s">
        <v>29</v>
      </c>
      <c r="S1000" s="7" t="s">
        <v>18</v>
      </c>
      <c r="T1000" s="6"/>
      <c r="U1000" s="8"/>
      <c r="Y1000" s="8"/>
      <c r="Z1000" s="8"/>
      <c r="AA1000" s="8"/>
      <c r="AB1000" s="8"/>
      <c r="AC1000" s="8"/>
      <c r="AD1000" s="8"/>
      <c r="AE1000" s="8"/>
      <c r="AF1000" s="8"/>
      <c r="AG1000" s="8"/>
      <c r="AH1000" s="8"/>
    </row>
    <row r="1001" spans="1:39" ht="13" customHeight="1">
      <c r="A1001" s="8" t="s">
        <v>3866</v>
      </c>
      <c r="B1001" s="16">
        <v>48</v>
      </c>
      <c r="C1001" s="8" t="s">
        <v>20</v>
      </c>
      <c r="D1001" s="8" t="s">
        <v>85</v>
      </c>
      <c r="E1001" s="8" t="s">
        <v>3867</v>
      </c>
      <c r="F1001" s="17">
        <v>42069</v>
      </c>
      <c r="G1001" s="8" t="s">
        <v>3868</v>
      </c>
      <c r="H1001" s="8" t="s">
        <v>3869</v>
      </c>
      <c r="I1001" s="8" t="s">
        <v>62</v>
      </c>
      <c r="J1001" s="16" t="s">
        <v>3870</v>
      </c>
      <c r="K1001" s="2" t="s">
        <v>2100</v>
      </c>
      <c r="L1001" s="8" t="s">
        <v>3407</v>
      </c>
      <c r="M1001" s="8" t="s">
        <v>27</v>
      </c>
      <c r="N1001" s="2" t="s">
        <v>3871</v>
      </c>
      <c r="O1001" s="8" t="s">
        <v>400</v>
      </c>
      <c r="P1001" s="8" t="s">
        <v>401</v>
      </c>
      <c r="Q1001" s="12" t="s">
        <v>3872</v>
      </c>
      <c r="R1001" s="8" t="s">
        <v>100</v>
      </c>
      <c r="S1001" s="7" t="s">
        <v>379</v>
      </c>
      <c r="T1001" s="6"/>
      <c r="U1001" s="8"/>
    </row>
    <row r="1002" spans="1:39" ht="13" customHeight="1">
      <c r="A1002" s="8" t="s">
        <v>3873</v>
      </c>
      <c r="B1002" s="16">
        <v>33</v>
      </c>
      <c r="C1002" s="8" t="s">
        <v>20</v>
      </c>
      <c r="D1002" s="8" t="s">
        <v>48</v>
      </c>
      <c r="F1002" s="17">
        <v>42069</v>
      </c>
      <c r="G1002" s="8" t="s">
        <v>3874</v>
      </c>
      <c r="H1002" s="8" t="s">
        <v>860</v>
      </c>
      <c r="I1002" s="8" t="s">
        <v>73</v>
      </c>
      <c r="J1002" s="16" t="s">
        <v>3875</v>
      </c>
      <c r="K1002" s="2" t="s">
        <v>860</v>
      </c>
      <c r="L1002" s="8" t="s">
        <v>861</v>
      </c>
      <c r="M1002" s="8" t="s">
        <v>27</v>
      </c>
      <c r="N1002" s="2" t="s">
        <v>3876</v>
      </c>
      <c r="O1002" s="8" t="s">
        <v>1013</v>
      </c>
      <c r="P1002" s="8" t="s">
        <v>401</v>
      </c>
      <c r="Q1002" s="12" t="s">
        <v>3877</v>
      </c>
      <c r="R1002" s="8" t="s">
        <v>29</v>
      </c>
      <c r="S1002" s="7" t="s">
        <v>28</v>
      </c>
      <c r="T1002" s="6"/>
      <c r="U1002" s="8"/>
    </row>
    <row r="1003" spans="1:39" ht="13" customHeight="1">
      <c r="A1003" s="8" t="s">
        <v>3878</v>
      </c>
      <c r="B1003" s="16">
        <v>34</v>
      </c>
      <c r="C1003" s="8" t="s">
        <v>20</v>
      </c>
      <c r="D1003" s="8" t="s">
        <v>37</v>
      </c>
      <c r="E1003" s="8" t="s">
        <v>3879</v>
      </c>
      <c r="F1003" s="17">
        <v>42069</v>
      </c>
      <c r="G1003" s="8" t="s">
        <v>3880</v>
      </c>
      <c r="H1003" s="8" t="s">
        <v>3881</v>
      </c>
      <c r="I1003" s="8" t="s">
        <v>73</v>
      </c>
      <c r="J1003" s="16">
        <v>75482</v>
      </c>
      <c r="K1003" s="2" t="s">
        <v>3882</v>
      </c>
      <c r="L1003" s="8" t="s">
        <v>3883</v>
      </c>
      <c r="M1003" s="8" t="s">
        <v>391</v>
      </c>
      <c r="N1003" s="2" t="s">
        <v>3884</v>
      </c>
      <c r="P1003" s="8" t="s">
        <v>401</v>
      </c>
      <c r="Q1003" s="12" t="str">
        <f>HYPERLINK("http://www.ksstradio.com/2015/03/09/texas-rangers-investigate-death-of-inmate/","http://www.ksstradio.com/2015/03/09/texas-rangers-investigate-death-of-inmate/")</f>
        <v>http://www.ksstradio.com/2015/03/09/texas-rangers-investigate-death-of-inmate/</v>
      </c>
      <c r="S1003" s="7" t="s">
        <v>18</v>
      </c>
      <c r="T1003" s="6"/>
      <c r="U1003" s="8"/>
    </row>
    <row r="1004" spans="1:39" ht="13" customHeight="1">
      <c r="A1004" s="8" t="s">
        <v>3885</v>
      </c>
      <c r="B1004" s="16">
        <v>45</v>
      </c>
      <c r="C1004" s="8" t="s">
        <v>20</v>
      </c>
      <c r="D1004" s="8" t="s">
        <v>85</v>
      </c>
      <c r="E1004" s="8" t="s">
        <v>3886</v>
      </c>
      <c r="F1004" s="17">
        <v>42068</v>
      </c>
      <c r="G1004" s="8" t="s">
        <v>3887</v>
      </c>
      <c r="H1004" s="8" t="s">
        <v>890</v>
      </c>
      <c r="I1004" s="8" t="s">
        <v>438</v>
      </c>
      <c r="J1004" s="16" t="s">
        <v>3888</v>
      </c>
      <c r="K1004" s="2" t="s">
        <v>890</v>
      </c>
      <c r="L1004" s="8" t="s">
        <v>3889</v>
      </c>
      <c r="M1004" s="8" t="s">
        <v>27</v>
      </c>
      <c r="N1004" s="2" t="s">
        <v>3890</v>
      </c>
      <c r="O1004" s="8" t="s">
        <v>1013</v>
      </c>
      <c r="P1004" s="8" t="s">
        <v>401</v>
      </c>
      <c r="Q1004" s="12" t="s">
        <v>3891</v>
      </c>
      <c r="R1004" s="8" t="s">
        <v>29</v>
      </c>
      <c r="S1004" s="7" t="s">
        <v>28</v>
      </c>
      <c r="T1004" s="6"/>
      <c r="U1004" s="8"/>
    </row>
    <row r="1005" spans="1:39" ht="13" customHeight="1">
      <c r="A1005" s="8" t="s">
        <v>3892</v>
      </c>
      <c r="B1005" s="16">
        <v>34</v>
      </c>
      <c r="C1005" s="8" t="s">
        <v>20</v>
      </c>
      <c r="D1005" s="8" t="s">
        <v>48</v>
      </c>
      <c r="F1005" s="17">
        <v>42068</v>
      </c>
      <c r="G1005" s="8" t="s">
        <v>3893</v>
      </c>
      <c r="H1005" s="8" t="s">
        <v>3894</v>
      </c>
      <c r="I1005" s="8" t="s">
        <v>45</v>
      </c>
      <c r="J1005" s="16" t="s">
        <v>3895</v>
      </c>
      <c r="K1005" s="2" t="s">
        <v>98</v>
      </c>
      <c r="L1005" s="8" t="s">
        <v>99</v>
      </c>
      <c r="M1005" s="8" t="s">
        <v>27</v>
      </c>
      <c r="N1005" s="2" t="s">
        <v>3896</v>
      </c>
      <c r="O1005" s="8" t="s">
        <v>1013</v>
      </c>
      <c r="P1005" s="8" t="s">
        <v>401</v>
      </c>
      <c r="Q1005" s="12" t="s">
        <v>3897</v>
      </c>
      <c r="R1005" s="8" t="s">
        <v>100</v>
      </c>
      <c r="S1005" s="7" t="s">
        <v>18</v>
      </c>
      <c r="T1005" s="6"/>
      <c r="U1005" s="8"/>
    </row>
    <row r="1006" spans="1:39" ht="13" customHeight="1">
      <c r="A1006" s="8" t="s">
        <v>3898</v>
      </c>
      <c r="B1006" s="16">
        <v>34</v>
      </c>
      <c r="C1006" s="8" t="s">
        <v>20</v>
      </c>
      <c r="D1006" s="8" t="s">
        <v>37</v>
      </c>
      <c r="E1006" s="8" t="s">
        <v>3899</v>
      </c>
      <c r="F1006" s="17">
        <v>42068</v>
      </c>
      <c r="G1006" s="8" t="s">
        <v>3900</v>
      </c>
      <c r="H1006" s="8" t="s">
        <v>2324</v>
      </c>
      <c r="I1006" s="8" t="s">
        <v>463</v>
      </c>
      <c r="J1006" s="16" t="s">
        <v>3901</v>
      </c>
      <c r="K1006" s="2" t="s">
        <v>1496</v>
      </c>
      <c r="L1006" s="8" t="s">
        <v>3902</v>
      </c>
      <c r="M1006" s="8" t="s">
        <v>27</v>
      </c>
      <c r="N1006" s="2" t="s">
        <v>3903</v>
      </c>
      <c r="O1006" s="8" t="s">
        <v>1013</v>
      </c>
      <c r="P1006" s="8" t="s">
        <v>401</v>
      </c>
      <c r="Q1006" s="12" t="s">
        <v>3904</v>
      </c>
      <c r="R1006" s="8" t="s">
        <v>29</v>
      </c>
      <c r="S1006" s="7" t="s">
        <v>28</v>
      </c>
      <c r="T1006" s="6"/>
      <c r="U1006" s="8"/>
    </row>
    <row r="1007" spans="1:39" ht="13" customHeight="1">
      <c r="A1007" s="8" t="s">
        <v>3905</v>
      </c>
      <c r="B1007" s="16">
        <v>28</v>
      </c>
      <c r="C1007" s="8" t="s">
        <v>20</v>
      </c>
      <c r="D1007" s="8" t="s">
        <v>21</v>
      </c>
      <c r="F1007" s="17">
        <v>42067</v>
      </c>
      <c r="G1007" s="8" t="s">
        <v>3906</v>
      </c>
      <c r="H1007" s="8" t="s">
        <v>1763</v>
      </c>
      <c r="I1007" s="8" t="s">
        <v>45</v>
      </c>
      <c r="J1007" s="16" t="s">
        <v>3907</v>
      </c>
      <c r="K1007" s="2" t="s">
        <v>1765</v>
      </c>
      <c r="L1007" s="8" t="s">
        <v>3908</v>
      </c>
      <c r="M1007" s="8" t="s">
        <v>27</v>
      </c>
      <c r="N1007" s="2" t="s">
        <v>3909</v>
      </c>
      <c r="O1007" s="8" t="s">
        <v>550</v>
      </c>
      <c r="P1007" s="8" t="s">
        <v>401</v>
      </c>
      <c r="Q1007" s="12" t="s">
        <v>3910</v>
      </c>
      <c r="R1007" s="8" t="s">
        <v>29</v>
      </c>
      <c r="S1007" s="7" t="s">
        <v>28</v>
      </c>
      <c r="T1007" s="6"/>
      <c r="U1007" s="8"/>
      <c r="AI1007" s="8"/>
      <c r="AJ1007" s="8"/>
      <c r="AK1007" s="8"/>
      <c r="AL1007" s="8"/>
      <c r="AM1007" s="8"/>
    </row>
    <row r="1008" spans="1:39" ht="13" customHeight="1">
      <c r="A1008" s="8" t="s">
        <v>3911</v>
      </c>
      <c r="B1008" s="16">
        <v>26</v>
      </c>
      <c r="C1008" s="8" t="s">
        <v>20</v>
      </c>
      <c r="D1008" s="8" t="s">
        <v>48</v>
      </c>
      <c r="E1008" s="8" t="s">
        <v>3912</v>
      </c>
      <c r="F1008" s="17">
        <v>42067</v>
      </c>
      <c r="G1008" s="8" t="s">
        <v>3913</v>
      </c>
      <c r="H1008" s="8" t="s">
        <v>3914</v>
      </c>
      <c r="I1008" s="8" t="s">
        <v>62</v>
      </c>
      <c r="J1008" s="16" t="s">
        <v>3915</v>
      </c>
      <c r="K1008" s="2" t="s">
        <v>3916</v>
      </c>
      <c r="L1008" s="8" t="s">
        <v>261</v>
      </c>
      <c r="M1008" s="8" t="s">
        <v>27</v>
      </c>
      <c r="N1008" s="2" t="s">
        <v>3917</v>
      </c>
      <c r="O1008" s="8" t="s">
        <v>1013</v>
      </c>
      <c r="P1008" s="8" t="s">
        <v>401</v>
      </c>
      <c r="Q1008" s="12" t="s">
        <v>3918</v>
      </c>
      <c r="R1008" s="8" t="s">
        <v>29</v>
      </c>
      <c r="S1008" s="7" t="s">
        <v>18</v>
      </c>
      <c r="T1008" s="6"/>
      <c r="U1008" s="8"/>
    </row>
    <row r="1009" spans="1:34" ht="13" customHeight="1">
      <c r="A1009" s="8" t="s">
        <v>3919</v>
      </c>
      <c r="B1009" s="16">
        <v>25</v>
      </c>
      <c r="C1009" s="8" t="s">
        <v>20</v>
      </c>
      <c r="D1009" s="8" t="s">
        <v>85</v>
      </c>
      <c r="E1009" s="8" t="s">
        <v>3920</v>
      </c>
      <c r="F1009" s="17">
        <v>42066</v>
      </c>
      <c r="G1009" s="8" t="s">
        <v>3921</v>
      </c>
      <c r="H1009" s="8" t="s">
        <v>3922</v>
      </c>
      <c r="I1009" s="8" t="s">
        <v>52</v>
      </c>
      <c r="J1009" s="16" t="s">
        <v>3923</v>
      </c>
      <c r="K1009" s="2" t="s">
        <v>3924</v>
      </c>
      <c r="L1009" s="8" t="s">
        <v>698</v>
      </c>
      <c r="M1009" s="8" t="s">
        <v>27</v>
      </c>
      <c r="N1009" s="2" t="s">
        <v>3925</v>
      </c>
      <c r="O1009" s="8" t="s">
        <v>1013</v>
      </c>
      <c r="P1009" s="8" t="s">
        <v>401</v>
      </c>
      <c r="Q1009" s="12" t="s">
        <v>3926</v>
      </c>
      <c r="R1009" s="8" t="s">
        <v>100</v>
      </c>
      <c r="S1009" s="7" t="s">
        <v>28</v>
      </c>
      <c r="T1009" s="6"/>
      <c r="U1009" s="8"/>
    </row>
    <row r="1010" spans="1:34" ht="13" customHeight="1">
      <c r="A1010" s="8" t="s">
        <v>3927</v>
      </c>
      <c r="B1010" s="16">
        <v>25</v>
      </c>
      <c r="C1010" s="8" t="s">
        <v>20</v>
      </c>
      <c r="D1010" s="8" t="s">
        <v>37</v>
      </c>
      <c r="E1010" s="8" t="s">
        <v>3928</v>
      </c>
      <c r="F1010" s="17">
        <v>42066</v>
      </c>
      <c r="G1010" s="8" t="s">
        <v>3929</v>
      </c>
      <c r="H1010" s="8" t="s">
        <v>3930</v>
      </c>
      <c r="I1010" s="8" t="s">
        <v>123</v>
      </c>
      <c r="J1010" s="16" t="s">
        <v>3931</v>
      </c>
      <c r="K1010" s="2" t="s">
        <v>635</v>
      </c>
      <c r="L1010" s="8" t="s">
        <v>3932</v>
      </c>
      <c r="M1010" s="8" t="s">
        <v>27</v>
      </c>
      <c r="N1010" s="2" t="s">
        <v>3933</v>
      </c>
      <c r="O1010" s="8" t="s">
        <v>1013</v>
      </c>
      <c r="P1010" s="8" t="s">
        <v>401</v>
      </c>
      <c r="Q1010" s="12" t="s">
        <v>3934</v>
      </c>
      <c r="R1010" s="8" t="s">
        <v>100</v>
      </c>
      <c r="S1010" s="7" t="s">
        <v>28</v>
      </c>
      <c r="T1010" s="6"/>
      <c r="U1010" s="8"/>
    </row>
    <row r="1011" spans="1:34" ht="13" customHeight="1">
      <c r="A1011" s="8" t="s">
        <v>3935</v>
      </c>
      <c r="B1011" s="16">
        <v>20</v>
      </c>
      <c r="C1011" s="8" t="s">
        <v>20</v>
      </c>
      <c r="D1011" s="8" t="s">
        <v>85</v>
      </c>
      <c r="E1011" s="8" t="s">
        <v>3936</v>
      </c>
      <c r="F1011" s="17">
        <v>42065</v>
      </c>
      <c r="G1011" s="8" t="s">
        <v>3937</v>
      </c>
      <c r="H1011" s="8" t="s">
        <v>3938</v>
      </c>
      <c r="I1011" s="8" t="s">
        <v>44</v>
      </c>
      <c r="J1011" s="16" t="s">
        <v>3939</v>
      </c>
      <c r="K1011" s="2" t="s">
        <v>3940</v>
      </c>
      <c r="L1011" s="8" t="s">
        <v>3941</v>
      </c>
      <c r="M1011" s="8" t="s">
        <v>27</v>
      </c>
      <c r="N1011" s="2" t="s">
        <v>3942</v>
      </c>
      <c r="O1011" s="8" t="s">
        <v>1013</v>
      </c>
      <c r="P1011" s="8" t="s">
        <v>401</v>
      </c>
      <c r="Q1011" s="12" t="s">
        <v>3943</v>
      </c>
      <c r="R1011" s="8" t="s">
        <v>29</v>
      </c>
      <c r="S1011" s="7" t="s">
        <v>28</v>
      </c>
      <c r="T1011" s="6"/>
      <c r="U1011" s="8"/>
    </row>
    <row r="1012" spans="1:34" ht="13" customHeight="1">
      <c r="A1012" s="8" t="s">
        <v>3944</v>
      </c>
      <c r="B1012" s="16">
        <v>43</v>
      </c>
      <c r="C1012" s="8" t="s">
        <v>20</v>
      </c>
      <c r="D1012" s="8" t="s">
        <v>85</v>
      </c>
      <c r="E1012" s="8" t="s">
        <v>3945</v>
      </c>
      <c r="F1012" s="17">
        <v>42064</v>
      </c>
      <c r="G1012" s="8" t="s">
        <v>3946</v>
      </c>
      <c r="H1012" s="8" t="s">
        <v>98</v>
      </c>
      <c r="I1012" s="8" t="s">
        <v>45</v>
      </c>
      <c r="J1012" s="16" t="s">
        <v>3947</v>
      </c>
      <c r="K1012" s="2" t="s">
        <v>98</v>
      </c>
      <c r="L1012" s="8" t="s">
        <v>99</v>
      </c>
      <c r="M1012" s="8" t="s">
        <v>27</v>
      </c>
      <c r="N1012" s="2" t="s">
        <v>3948</v>
      </c>
      <c r="O1012" s="8" t="s">
        <v>400</v>
      </c>
      <c r="P1012" s="8" t="s">
        <v>401</v>
      </c>
      <c r="Q1012" s="12" t="s">
        <v>3949</v>
      </c>
      <c r="R1012" s="8" t="s">
        <v>555</v>
      </c>
      <c r="S1012" s="7" t="s">
        <v>18</v>
      </c>
      <c r="T1012" s="6"/>
      <c r="U1012" s="8"/>
    </row>
    <row r="1013" spans="1:34" ht="13" customHeight="1">
      <c r="A1013" s="8" t="s">
        <v>19437</v>
      </c>
      <c r="B1013" s="16">
        <v>32</v>
      </c>
      <c r="C1013" s="8" t="s">
        <v>20</v>
      </c>
      <c r="D1013" s="8" t="s">
        <v>85</v>
      </c>
      <c r="F1013" s="17">
        <v>42064</v>
      </c>
      <c r="G1013" s="8" t="s">
        <v>19438</v>
      </c>
      <c r="H1013" s="8" t="s">
        <v>19439</v>
      </c>
      <c r="I1013" s="8" t="s">
        <v>52</v>
      </c>
      <c r="J1013" s="16">
        <v>20695</v>
      </c>
      <c r="K1013" s="2" t="s">
        <v>2845</v>
      </c>
      <c r="L1013" s="8" t="s">
        <v>19440</v>
      </c>
      <c r="M1013" s="8" t="s">
        <v>391</v>
      </c>
      <c r="N1013" s="2" t="s">
        <v>19442</v>
      </c>
      <c r="O1013" s="8" t="s">
        <v>400</v>
      </c>
      <c r="P1013" s="8" t="s">
        <v>401</v>
      </c>
      <c r="Q1013" s="12" t="s">
        <v>19441</v>
      </c>
      <c r="S1013" s="9" t="s">
        <v>18</v>
      </c>
      <c r="T1013" s="7"/>
      <c r="U1013" s="7"/>
      <c r="V1013" s="7"/>
      <c r="W1013" s="8"/>
      <c r="X1013" s="6"/>
    </row>
    <row r="1014" spans="1:34" ht="13" customHeight="1">
      <c r="A1014" s="8" t="s">
        <v>3950</v>
      </c>
      <c r="B1014" s="16">
        <v>47</v>
      </c>
      <c r="C1014" s="8" t="s">
        <v>20</v>
      </c>
      <c r="D1014" s="8" t="s">
        <v>85</v>
      </c>
      <c r="E1014" s="8" t="s">
        <v>3951</v>
      </c>
      <c r="F1014" s="17">
        <v>42064</v>
      </c>
      <c r="G1014" s="8" t="s">
        <v>3952</v>
      </c>
      <c r="H1014" s="8" t="s">
        <v>1097</v>
      </c>
      <c r="I1014" s="8" t="s">
        <v>395</v>
      </c>
      <c r="J1014" s="16" t="s">
        <v>3953</v>
      </c>
      <c r="K1014" s="2" t="s">
        <v>1098</v>
      </c>
      <c r="L1014" s="8" t="s">
        <v>1099</v>
      </c>
      <c r="M1014" s="8" t="s">
        <v>391</v>
      </c>
      <c r="N1014" s="2" t="s">
        <v>3954</v>
      </c>
      <c r="O1014" s="8" t="s">
        <v>1013</v>
      </c>
      <c r="P1014" s="8" t="s">
        <v>401</v>
      </c>
      <c r="Q1014" s="12" t="s">
        <v>3955</v>
      </c>
      <c r="R1014" s="8" t="s">
        <v>555</v>
      </c>
      <c r="S1014" s="7" t="s">
        <v>18</v>
      </c>
      <c r="T1014" s="6"/>
      <c r="U1014" s="8"/>
    </row>
    <row r="1015" spans="1:34" ht="13" customHeight="1">
      <c r="A1015" s="8" t="s">
        <v>3956</v>
      </c>
      <c r="B1015" s="16">
        <v>49</v>
      </c>
      <c r="C1015" s="8" t="s">
        <v>20</v>
      </c>
      <c r="D1015" s="8" t="s">
        <v>37</v>
      </c>
      <c r="F1015" s="17">
        <v>42064</v>
      </c>
      <c r="G1015" s="8" t="s">
        <v>3957</v>
      </c>
      <c r="H1015" s="8" t="s">
        <v>3958</v>
      </c>
      <c r="I1015" s="8" t="s">
        <v>671</v>
      </c>
      <c r="J1015" s="16" t="s">
        <v>3959</v>
      </c>
      <c r="K1015" s="2" t="s">
        <v>3960</v>
      </c>
      <c r="L1015" s="8" t="s">
        <v>3961</v>
      </c>
      <c r="M1015" s="8" t="s">
        <v>27</v>
      </c>
      <c r="N1015" s="2" t="s">
        <v>3962</v>
      </c>
      <c r="O1015" s="8" t="s">
        <v>1013</v>
      </c>
      <c r="P1015" s="8" t="s">
        <v>401</v>
      </c>
      <c r="Q1015" s="12" t="s">
        <v>3963</v>
      </c>
      <c r="R1015" s="8" t="s">
        <v>29</v>
      </c>
      <c r="S1015" s="7" t="s">
        <v>28</v>
      </c>
      <c r="T1015" s="6"/>
      <c r="U1015" s="8"/>
    </row>
    <row r="1016" spans="1:34" ht="13" customHeight="1">
      <c r="A1016" s="8" t="s">
        <v>3972</v>
      </c>
      <c r="B1016" s="16">
        <v>17</v>
      </c>
      <c r="C1016" s="8" t="s">
        <v>20</v>
      </c>
      <c r="D1016" s="8" t="s">
        <v>37</v>
      </c>
      <c r="E1016" s="8" t="s">
        <v>3973</v>
      </c>
      <c r="F1016" s="17">
        <v>42064</v>
      </c>
      <c r="G1016" s="8" t="s">
        <v>3974</v>
      </c>
      <c r="H1016" s="8" t="s">
        <v>3975</v>
      </c>
      <c r="I1016" s="8" t="s">
        <v>57</v>
      </c>
      <c r="J1016" s="16" t="s">
        <v>3976</v>
      </c>
      <c r="K1016" s="2" t="s">
        <v>3977</v>
      </c>
      <c r="L1016" s="8" t="s">
        <v>3978</v>
      </c>
      <c r="M1016" s="8" t="s">
        <v>27</v>
      </c>
      <c r="N1016" s="2" t="s">
        <v>3979</v>
      </c>
      <c r="O1016" s="8" t="s">
        <v>400</v>
      </c>
      <c r="P1016" s="8" t="s">
        <v>401</v>
      </c>
      <c r="Q1016" s="12" t="s">
        <v>3980</v>
      </c>
      <c r="R1016" s="8" t="s">
        <v>100</v>
      </c>
      <c r="S1016" s="7" t="s">
        <v>28</v>
      </c>
      <c r="T1016" s="6"/>
      <c r="U1016" s="8"/>
    </row>
    <row r="1017" spans="1:34" ht="13" customHeight="1">
      <c r="A1017" s="8" t="s">
        <v>3964</v>
      </c>
      <c r="B1017" s="16">
        <v>63</v>
      </c>
      <c r="C1017" s="8" t="s">
        <v>20</v>
      </c>
      <c r="D1017" s="8" t="s">
        <v>37</v>
      </c>
      <c r="F1017" s="17">
        <v>42064</v>
      </c>
      <c r="G1017" s="8" t="s">
        <v>3965</v>
      </c>
      <c r="H1017" s="8" t="s">
        <v>3966</v>
      </c>
      <c r="I1017" s="8" t="s">
        <v>873</v>
      </c>
      <c r="J1017" s="16" t="s">
        <v>3967</v>
      </c>
      <c r="K1017" s="2" t="s">
        <v>3968</v>
      </c>
      <c r="L1017" s="8" t="s">
        <v>3969</v>
      </c>
      <c r="M1017" s="8" t="s">
        <v>379</v>
      </c>
      <c r="N1017" s="2" t="s">
        <v>3970</v>
      </c>
      <c r="O1017" s="8" t="s">
        <v>400</v>
      </c>
      <c r="P1017" s="8" t="s">
        <v>401</v>
      </c>
      <c r="Q1017" s="12" t="s">
        <v>3971</v>
      </c>
      <c r="R1017" s="8" t="s">
        <v>29</v>
      </c>
      <c r="S1017" s="7" t="s">
        <v>18</v>
      </c>
      <c r="T1017" s="6"/>
      <c r="U1017" s="8"/>
    </row>
    <row r="1018" spans="1:34" ht="13" customHeight="1">
      <c r="A1018" s="8" t="s">
        <v>3981</v>
      </c>
      <c r="B1018" s="16">
        <v>28</v>
      </c>
      <c r="C1018" s="8" t="s">
        <v>20</v>
      </c>
      <c r="D1018" s="8" t="s">
        <v>85</v>
      </c>
      <c r="E1018" s="8" t="s">
        <v>3982</v>
      </c>
      <c r="F1018" s="17">
        <v>42063</v>
      </c>
      <c r="G1018" s="8" t="s">
        <v>3983</v>
      </c>
      <c r="H1018" s="8" t="s">
        <v>51</v>
      </c>
      <c r="I1018" s="8" t="s">
        <v>431</v>
      </c>
      <c r="J1018" s="16" t="s">
        <v>2864</v>
      </c>
      <c r="K1018" s="2" t="s">
        <v>2865</v>
      </c>
      <c r="L1018" s="8" t="s">
        <v>3984</v>
      </c>
      <c r="M1018" s="8" t="s">
        <v>27</v>
      </c>
      <c r="N1018" s="2" t="s">
        <v>3985</v>
      </c>
      <c r="O1018" s="8" t="s">
        <v>1013</v>
      </c>
      <c r="P1018" s="8" t="s">
        <v>401</v>
      </c>
      <c r="Q1018" s="12" t="s">
        <v>3986</v>
      </c>
      <c r="R1018" s="8" t="s">
        <v>100</v>
      </c>
      <c r="S1018" s="7" t="s">
        <v>28</v>
      </c>
      <c r="T1018" s="6"/>
      <c r="U1018" s="8"/>
    </row>
    <row r="1019" spans="1:34" ht="13" customHeight="1">
      <c r="A1019" s="8" t="s">
        <v>3987</v>
      </c>
      <c r="B1019" s="16">
        <v>40</v>
      </c>
      <c r="C1019" s="8" t="s">
        <v>20</v>
      </c>
      <c r="D1019" s="8" t="s">
        <v>85</v>
      </c>
      <c r="E1019" s="8" t="s">
        <v>3988</v>
      </c>
      <c r="F1019" s="17">
        <v>42063</v>
      </c>
      <c r="G1019" s="8" t="s">
        <v>3989</v>
      </c>
      <c r="H1019" s="8" t="s">
        <v>3990</v>
      </c>
      <c r="I1019" s="8" t="s">
        <v>366</v>
      </c>
      <c r="J1019" s="16" t="s">
        <v>3991</v>
      </c>
      <c r="K1019" s="2" t="s">
        <v>3992</v>
      </c>
      <c r="L1019" s="8" t="s">
        <v>3993</v>
      </c>
      <c r="M1019" s="8" t="s">
        <v>27</v>
      </c>
      <c r="N1019" s="2" t="s">
        <v>3994</v>
      </c>
      <c r="O1019" s="8" t="s">
        <v>550</v>
      </c>
      <c r="P1019" s="8" t="s">
        <v>401</v>
      </c>
      <c r="Q1019" s="12" t="s">
        <v>3995</v>
      </c>
      <c r="R1019" s="8" t="s">
        <v>100</v>
      </c>
      <c r="S1019" s="7" t="s">
        <v>28</v>
      </c>
      <c r="T1019" s="6"/>
      <c r="U1019" s="8"/>
    </row>
    <row r="1020" spans="1:34" ht="13" customHeight="1">
      <c r="A1020" s="8" t="s">
        <v>3996</v>
      </c>
      <c r="B1020" s="16">
        <v>34</v>
      </c>
      <c r="C1020" s="8" t="s">
        <v>20</v>
      </c>
      <c r="D1020" s="8" t="s">
        <v>85</v>
      </c>
      <c r="E1020" s="8" t="s">
        <v>3997</v>
      </c>
      <c r="F1020" s="17">
        <v>42063</v>
      </c>
      <c r="G1020" s="8" t="s">
        <v>3998</v>
      </c>
      <c r="H1020" s="8" t="s">
        <v>3999</v>
      </c>
      <c r="I1020" s="8" t="s">
        <v>431</v>
      </c>
      <c r="J1020" s="16" t="s">
        <v>4000</v>
      </c>
      <c r="K1020" s="2" t="s">
        <v>4001</v>
      </c>
      <c r="L1020" s="8" t="s">
        <v>4002</v>
      </c>
      <c r="M1020" s="8" t="s">
        <v>27</v>
      </c>
      <c r="N1020" s="2" t="s">
        <v>4003</v>
      </c>
      <c r="O1020" s="8" t="s">
        <v>400</v>
      </c>
      <c r="P1020" s="8" t="s">
        <v>401</v>
      </c>
      <c r="Q1020" s="12" t="s">
        <v>4004</v>
      </c>
      <c r="R1020" s="8" t="s">
        <v>100</v>
      </c>
      <c r="S1020" s="7" t="s">
        <v>18</v>
      </c>
      <c r="T1020" s="6"/>
      <c r="U1020" s="8"/>
    </row>
    <row r="1021" spans="1:34" ht="13" customHeight="1">
      <c r="A1021" s="8" t="s">
        <v>4005</v>
      </c>
      <c r="B1021" s="16">
        <v>28</v>
      </c>
      <c r="C1021" s="8" t="s">
        <v>114</v>
      </c>
      <c r="D1021" s="8" t="s">
        <v>48</v>
      </c>
      <c r="F1021" s="17">
        <v>42063</v>
      </c>
      <c r="G1021" s="8" t="s">
        <v>4006</v>
      </c>
      <c r="H1021" s="8" t="s">
        <v>561</v>
      </c>
      <c r="I1021" s="8" t="s">
        <v>123</v>
      </c>
      <c r="J1021" s="16" t="s">
        <v>4007</v>
      </c>
      <c r="K1021" s="2" t="s">
        <v>562</v>
      </c>
      <c r="L1021" s="8" t="s">
        <v>563</v>
      </c>
      <c r="M1021" s="8" t="s">
        <v>27</v>
      </c>
      <c r="N1021" s="2" t="s">
        <v>4008</v>
      </c>
      <c r="O1021" s="8" t="s">
        <v>1013</v>
      </c>
      <c r="P1021" s="8" t="s">
        <v>401</v>
      </c>
      <c r="Q1021" s="12" t="s">
        <v>4009</v>
      </c>
      <c r="R1021" s="8" t="s">
        <v>100</v>
      </c>
      <c r="S1021" s="7" t="s">
        <v>28</v>
      </c>
      <c r="T1021" s="6"/>
      <c r="U1021" s="8"/>
    </row>
    <row r="1022" spans="1:34" ht="13" customHeight="1">
      <c r="A1022" s="8" t="s">
        <v>4010</v>
      </c>
      <c r="B1022" s="16">
        <v>24</v>
      </c>
      <c r="C1022" s="8" t="s">
        <v>20</v>
      </c>
      <c r="D1022" s="8" t="s">
        <v>37</v>
      </c>
      <c r="E1022" s="8" t="s">
        <v>4011</v>
      </c>
      <c r="F1022" s="17">
        <v>42063</v>
      </c>
      <c r="G1022" s="8" t="s">
        <v>4012</v>
      </c>
      <c r="H1022" s="8" t="s">
        <v>4013</v>
      </c>
      <c r="I1022" s="8" t="s">
        <v>32</v>
      </c>
      <c r="J1022" s="16" t="s">
        <v>4014</v>
      </c>
      <c r="K1022" s="2" t="s">
        <v>252</v>
      </c>
      <c r="L1022" s="8" t="s">
        <v>34</v>
      </c>
      <c r="M1022" s="8" t="s">
        <v>27</v>
      </c>
      <c r="N1022" s="2" t="s">
        <v>4015</v>
      </c>
      <c r="O1022" s="8" t="s">
        <v>1013</v>
      </c>
      <c r="P1022" s="8" t="s">
        <v>401</v>
      </c>
      <c r="Q1022" s="12" t="s">
        <v>4016</v>
      </c>
      <c r="R1022" s="8" t="s">
        <v>100</v>
      </c>
      <c r="S1022" s="7" t="s">
        <v>28</v>
      </c>
      <c r="T1022" s="6"/>
      <c r="U1022" s="8"/>
      <c r="Y1022" s="8"/>
      <c r="Z1022" s="8"/>
      <c r="AA1022" s="8"/>
      <c r="AB1022" s="8"/>
      <c r="AC1022" s="8"/>
      <c r="AD1022" s="8"/>
      <c r="AE1022" s="8"/>
      <c r="AF1022" s="8"/>
      <c r="AG1022" s="8"/>
      <c r="AH1022" s="8"/>
    </row>
    <row r="1023" spans="1:34" ht="13" customHeight="1">
      <c r="A1023" s="8" t="s">
        <v>4017</v>
      </c>
      <c r="B1023" s="16">
        <v>37</v>
      </c>
      <c r="C1023" s="8" t="s">
        <v>114</v>
      </c>
      <c r="D1023" s="8" t="s">
        <v>37</v>
      </c>
      <c r="E1023" s="8" t="s">
        <v>4018</v>
      </c>
      <c r="F1023" s="17">
        <v>42063</v>
      </c>
      <c r="G1023" s="8" t="s">
        <v>4019</v>
      </c>
      <c r="H1023" s="8" t="s">
        <v>4020</v>
      </c>
      <c r="I1023" s="8" t="s">
        <v>123</v>
      </c>
      <c r="J1023" s="16" t="s">
        <v>4021</v>
      </c>
      <c r="K1023" s="2" t="s">
        <v>4022</v>
      </c>
      <c r="L1023" s="8" t="s">
        <v>4023</v>
      </c>
      <c r="M1023" s="8" t="s">
        <v>27</v>
      </c>
      <c r="N1023" s="2" t="s">
        <v>4024</v>
      </c>
      <c r="O1023" s="8" t="s">
        <v>1013</v>
      </c>
      <c r="P1023" s="8" t="s">
        <v>401</v>
      </c>
      <c r="Q1023" s="12" t="s">
        <v>4025</v>
      </c>
      <c r="R1023" s="8" t="s">
        <v>100</v>
      </c>
      <c r="S1023" s="7" t="s">
        <v>28</v>
      </c>
      <c r="T1023" s="6"/>
      <c r="U1023" s="8"/>
    </row>
    <row r="1024" spans="1:34" ht="13" customHeight="1">
      <c r="A1024" s="8" t="s">
        <v>4026</v>
      </c>
      <c r="B1024" s="16">
        <v>27</v>
      </c>
      <c r="C1024" s="8" t="s">
        <v>20</v>
      </c>
      <c r="D1024" s="8" t="s">
        <v>48</v>
      </c>
      <c r="E1024" s="8" t="s">
        <v>4027</v>
      </c>
      <c r="F1024" s="17">
        <v>42062</v>
      </c>
      <c r="G1024" s="8" t="s">
        <v>4028</v>
      </c>
      <c r="H1024" s="8" t="s">
        <v>3712</v>
      </c>
      <c r="I1024" s="8" t="s">
        <v>45</v>
      </c>
      <c r="J1024" s="16" t="s">
        <v>4029</v>
      </c>
      <c r="K1024" s="2" t="s">
        <v>1064</v>
      </c>
      <c r="L1024" s="8" t="s">
        <v>3714</v>
      </c>
      <c r="M1024" s="8" t="s">
        <v>27</v>
      </c>
      <c r="N1024" s="2" t="s">
        <v>4030</v>
      </c>
      <c r="O1024" s="8" t="s">
        <v>400</v>
      </c>
      <c r="P1024" s="8" t="s">
        <v>401</v>
      </c>
      <c r="Q1024" s="12" t="s">
        <v>4031</v>
      </c>
      <c r="R1024" s="8" t="s">
        <v>100</v>
      </c>
      <c r="S1024" s="7" t="s">
        <v>18</v>
      </c>
      <c r="T1024" s="6"/>
      <c r="U1024" s="8"/>
    </row>
    <row r="1025" spans="1:34" ht="13" customHeight="1">
      <c r="A1025" s="8" t="s">
        <v>20659</v>
      </c>
      <c r="B1025" s="16">
        <v>49</v>
      </c>
      <c r="C1025" s="8" t="s">
        <v>20</v>
      </c>
      <c r="D1025" s="8" t="s">
        <v>85</v>
      </c>
      <c r="F1025" s="17">
        <v>42061</v>
      </c>
      <c r="G1025" s="8" t="s">
        <v>4037</v>
      </c>
      <c r="H1025" s="8" t="s">
        <v>4038</v>
      </c>
      <c r="I1025" s="8" t="s">
        <v>671</v>
      </c>
      <c r="J1025" s="16" t="s">
        <v>4039</v>
      </c>
      <c r="K1025" s="2" t="s">
        <v>4040</v>
      </c>
      <c r="L1025" s="8" t="s">
        <v>4041</v>
      </c>
      <c r="M1025" s="8" t="s">
        <v>27</v>
      </c>
      <c r="N1025" s="2" t="s">
        <v>4042</v>
      </c>
      <c r="O1025" s="8" t="s">
        <v>401</v>
      </c>
      <c r="P1025" s="8" t="s">
        <v>401</v>
      </c>
      <c r="Q1025" s="12" t="s">
        <v>4043</v>
      </c>
      <c r="R1025" s="8" t="s">
        <v>29</v>
      </c>
      <c r="S1025" s="7" t="s">
        <v>28</v>
      </c>
      <c r="T1025" s="8"/>
      <c r="U1025" s="8"/>
    </row>
    <row r="1026" spans="1:34" ht="13" customHeight="1">
      <c r="A1026" s="8" t="s">
        <v>4032</v>
      </c>
      <c r="B1026" s="16">
        <v>21</v>
      </c>
      <c r="C1026" s="8" t="s">
        <v>20</v>
      </c>
      <c r="D1026" s="8" t="s">
        <v>48</v>
      </c>
      <c r="F1026" s="17">
        <v>42061</v>
      </c>
      <c r="G1026" s="8" t="s">
        <v>4033</v>
      </c>
      <c r="H1026" s="8" t="s">
        <v>948</v>
      </c>
      <c r="I1026" s="8" t="s">
        <v>45</v>
      </c>
      <c r="J1026" s="16" t="s">
        <v>4034</v>
      </c>
      <c r="K1026" s="2" t="s">
        <v>948</v>
      </c>
      <c r="L1026" s="8" t="s">
        <v>949</v>
      </c>
      <c r="M1026" s="8" t="s">
        <v>27</v>
      </c>
      <c r="N1026" s="2" t="s">
        <v>4035</v>
      </c>
      <c r="O1026" s="8" t="s">
        <v>400</v>
      </c>
      <c r="P1026" s="8" t="s">
        <v>401</v>
      </c>
      <c r="Q1026" s="12" t="s">
        <v>4036</v>
      </c>
      <c r="R1026" s="8" t="s">
        <v>100</v>
      </c>
      <c r="S1026" s="7" t="s">
        <v>28</v>
      </c>
      <c r="T1026" s="6"/>
      <c r="U1026" s="8"/>
    </row>
    <row r="1027" spans="1:34" ht="13" customHeight="1">
      <c r="A1027" s="8" t="s">
        <v>4051</v>
      </c>
      <c r="B1027" s="16">
        <v>34</v>
      </c>
      <c r="C1027" s="8" t="s">
        <v>114</v>
      </c>
      <c r="D1027" s="8" t="s">
        <v>37</v>
      </c>
      <c r="E1027" s="8" t="s">
        <v>4052</v>
      </c>
      <c r="F1027" s="17">
        <v>42061</v>
      </c>
      <c r="G1027" s="8" t="s">
        <v>4053</v>
      </c>
      <c r="H1027" s="8" t="s">
        <v>4054</v>
      </c>
      <c r="I1027" s="8" t="s">
        <v>173</v>
      </c>
      <c r="J1027" s="16" t="s">
        <v>4055</v>
      </c>
      <c r="K1027" s="2" t="s">
        <v>4056</v>
      </c>
      <c r="L1027" s="8" t="s">
        <v>4057</v>
      </c>
      <c r="M1027" s="8" t="s">
        <v>27</v>
      </c>
      <c r="N1027" s="2" t="s">
        <v>4058</v>
      </c>
      <c r="O1027" s="8" t="s">
        <v>1013</v>
      </c>
      <c r="P1027" s="8" t="s">
        <v>401</v>
      </c>
      <c r="Q1027" s="12" t="s">
        <v>4059</v>
      </c>
      <c r="R1027" s="8" t="s">
        <v>100</v>
      </c>
      <c r="S1027" s="7" t="s">
        <v>28</v>
      </c>
      <c r="T1027" s="6"/>
      <c r="U1027" s="8"/>
    </row>
    <row r="1028" spans="1:34" ht="13" customHeight="1">
      <c r="A1028" s="8" t="s">
        <v>4044</v>
      </c>
      <c r="B1028" s="16">
        <v>42</v>
      </c>
      <c r="C1028" s="8" t="s">
        <v>20</v>
      </c>
      <c r="D1028" s="8" t="s">
        <v>37</v>
      </c>
      <c r="F1028" s="17">
        <v>42061</v>
      </c>
      <c r="G1028" s="8" t="s">
        <v>4045</v>
      </c>
      <c r="H1028" s="8" t="s">
        <v>4046</v>
      </c>
      <c r="I1028" s="8" t="s">
        <v>62</v>
      </c>
      <c r="J1028" s="16" t="s">
        <v>4047</v>
      </c>
      <c r="K1028" s="2" t="s">
        <v>1867</v>
      </c>
      <c r="L1028" s="8" t="s">
        <v>4048</v>
      </c>
      <c r="M1028" s="8" t="s">
        <v>27</v>
      </c>
      <c r="N1028" s="2" t="s">
        <v>4049</v>
      </c>
      <c r="O1028" s="8" t="s">
        <v>400</v>
      </c>
      <c r="P1028" s="8" t="s">
        <v>401</v>
      </c>
      <c r="Q1028" s="12" t="s">
        <v>4050</v>
      </c>
      <c r="R1028" s="8" t="s">
        <v>100</v>
      </c>
      <c r="S1028" s="7" t="s">
        <v>28</v>
      </c>
      <c r="T1028" s="6"/>
      <c r="U1028" s="8"/>
    </row>
    <row r="1029" spans="1:34" ht="13" customHeight="1">
      <c r="A1029" s="8" t="s">
        <v>4060</v>
      </c>
      <c r="B1029" s="16">
        <v>37</v>
      </c>
      <c r="C1029" s="8" t="s">
        <v>20</v>
      </c>
      <c r="D1029" s="8" t="s">
        <v>85</v>
      </c>
      <c r="E1029" s="8" t="s">
        <v>4061</v>
      </c>
      <c r="F1029" s="17">
        <v>42060</v>
      </c>
      <c r="G1029" s="8" t="s">
        <v>4062</v>
      </c>
      <c r="H1029" s="8" t="s">
        <v>1097</v>
      </c>
      <c r="I1029" s="8" t="s">
        <v>395</v>
      </c>
      <c r="J1029" s="16" t="s">
        <v>4063</v>
      </c>
      <c r="K1029" s="2" t="s">
        <v>1098</v>
      </c>
      <c r="L1029" s="8" t="s">
        <v>1099</v>
      </c>
      <c r="M1029" s="8" t="s">
        <v>27</v>
      </c>
      <c r="N1029" s="2" t="s">
        <v>4064</v>
      </c>
      <c r="O1029" s="8" t="s">
        <v>1013</v>
      </c>
      <c r="P1029" s="8" t="s">
        <v>401</v>
      </c>
      <c r="Q1029" s="12" t="s">
        <v>4065</v>
      </c>
      <c r="R1029" s="8" t="s">
        <v>100</v>
      </c>
      <c r="S1029" s="7" t="s">
        <v>379</v>
      </c>
      <c r="T1029" s="6"/>
      <c r="U1029" s="8"/>
    </row>
    <row r="1030" spans="1:34" ht="13" customHeight="1">
      <c r="A1030" s="8" t="s">
        <v>4074</v>
      </c>
      <c r="B1030" s="16">
        <v>43</v>
      </c>
      <c r="C1030" s="8" t="s">
        <v>20</v>
      </c>
      <c r="D1030" s="8" t="s">
        <v>37</v>
      </c>
      <c r="E1030" s="8" t="s">
        <v>4075</v>
      </c>
      <c r="F1030" s="17">
        <v>42060</v>
      </c>
      <c r="G1030" s="8" t="s">
        <v>4076</v>
      </c>
      <c r="H1030" s="8" t="s">
        <v>657</v>
      </c>
      <c r="I1030" s="8" t="s">
        <v>269</v>
      </c>
      <c r="J1030" s="16" t="s">
        <v>4077</v>
      </c>
      <c r="K1030" s="2" t="s">
        <v>570</v>
      </c>
      <c r="L1030" s="8" t="s">
        <v>571</v>
      </c>
      <c r="M1030" s="8" t="s">
        <v>27</v>
      </c>
      <c r="N1030" s="2" t="s">
        <v>4078</v>
      </c>
      <c r="O1030" s="8" t="s">
        <v>1013</v>
      </c>
      <c r="P1030" s="8" t="s">
        <v>401</v>
      </c>
      <c r="Q1030" s="12" t="s">
        <v>4079</v>
      </c>
      <c r="R1030" s="8" t="s">
        <v>29</v>
      </c>
      <c r="S1030" s="7" t="s">
        <v>28</v>
      </c>
      <c r="T1030" s="6"/>
      <c r="U1030" s="8"/>
    </row>
    <row r="1031" spans="1:34" ht="13" customHeight="1">
      <c r="A1031" s="8" t="s">
        <v>4080</v>
      </c>
      <c r="B1031" s="16">
        <v>31</v>
      </c>
      <c r="C1031" s="8" t="s">
        <v>20</v>
      </c>
      <c r="D1031" s="8" t="s">
        <v>37</v>
      </c>
      <c r="E1031" s="8" t="s">
        <v>4081</v>
      </c>
      <c r="F1031" s="17">
        <v>42060</v>
      </c>
      <c r="H1031" s="8" t="s">
        <v>4082</v>
      </c>
      <c r="I1031" s="8" t="s">
        <v>217</v>
      </c>
      <c r="J1031" s="16">
        <v>47802</v>
      </c>
      <c r="K1031" s="2" t="s">
        <v>4083</v>
      </c>
      <c r="L1031" s="8" t="s">
        <v>5454</v>
      </c>
      <c r="M1031" s="8" t="s">
        <v>27</v>
      </c>
      <c r="N1031" s="2" t="s">
        <v>4084</v>
      </c>
      <c r="P1031" s="8" t="s">
        <v>401</v>
      </c>
      <c r="Q1031" s="12" t="str">
        <f>HYPERLINK("http://www.tristatehomepage.com/story/d/story/isp-investigating-officer-involved-shooting-in-ter/40703/pV4yrq5qR0S3uTbJYNfJsQ","http://www.tristatehomepage.com/story/d/story/isp-investigating-officer-involved-shooting-in-ter/40703/pV4yrq5qR0S3uTbJYNfJsQ")</f>
        <v>http://www.tristatehomepage.com/story/d/story/isp-investigating-officer-involved-shooting-in-ter/40703/pV4yrq5qR0S3uTbJYNfJsQ</v>
      </c>
      <c r="S1031" s="7" t="s">
        <v>18</v>
      </c>
      <c r="T1031" s="6"/>
      <c r="U1031" s="8"/>
    </row>
    <row r="1032" spans="1:34" ht="13" customHeight="1">
      <c r="A1032" s="8" t="s">
        <v>4066</v>
      </c>
      <c r="B1032" s="16">
        <v>54</v>
      </c>
      <c r="C1032" s="8" t="s">
        <v>20</v>
      </c>
      <c r="D1032" s="8" t="s">
        <v>37</v>
      </c>
      <c r="F1032" s="17">
        <v>42060</v>
      </c>
      <c r="G1032" s="8" t="s">
        <v>4067</v>
      </c>
      <c r="H1032" s="8" t="s">
        <v>4068</v>
      </c>
      <c r="I1032" s="8" t="s">
        <v>404</v>
      </c>
      <c r="J1032" s="16" t="s">
        <v>4069</v>
      </c>
      <c r="K1032" s="2" t="s">
        <v>1291</v>
      </c>
      <c r="L1032" s="8" t="s">
        <v>4070</v>
      </c>
      <c r="M1032" s="8" t="s">
        <v>4071</v>
      </c>
      <c r="N1032" s="2" t="s">
        <v>4072</v>
      </c>
      <c r="O1032" s="8" t="s">
        <v>1013</v>
      </c>
      <c r="P1032" s="8" t="s">
        <v>401</v>
      </c>
      <c r="Q1032" s="12" t="s">
        <v>4073</v>
      </c>
      <c r="R1032" s="8" t="s">
        <v>100</v>
      </c>
      <c r="S1032" s="7" t="s">
        <v>18</v>
      </c>
      <c r="T1032" s="6"/>
      <c r="U1032" s="8"/>
    </row>
    <row r="1033" spans="1:34" ht="13" customHeight="1">
      <c r="A1033" s="8" t="s">
        <v>4085</v>
      </c>
      <c r="B1033" s="16">
        <v>30</v>
      </c>
      <c r="C1033" s="8" t="s">
        <v>20</v>
      </c>
      <c r="D1033" s="8" t="s">
        <v>48</v>
      </c>
      <c r="E1033" s="8" t="s">
        <v>4086</v>
      </c>
      <c r="F1033" s="17">
        <v>42059</v>
      </c>
      <c r="G1033" s="8" t="s">
        <v>4087</v>
      </c>
      <c r="H1033" s="8" t="s">
        <v>437</v>
      </c>
      <c r="I1033" s="8" t="s">
        <v>438</v>
      </c>
      <c r="J1033" s="16" t="s">
        <v>4088</v>
      </c>
      <c r="K1033" s="2" t="s">
        <v>4089</v>
      </c>
      <c r="L1033" s="8" t="s">
        <v>4090</v>
      </c>
      <c r="M1033" s="8" t="s">
        <v>27</v>
      </c>
      <c r="N1033" s="2" t="s">
        <v>4091</v>
      </c>
      <c r="O1033" s="8" t="s">
        <v>400</v>
      </c>
      <c r="P1033" s="8" t="s">
        <v>401</v>
      </c>
      <c r="Q1033" s="12" t="s">
        <v>4092</v>
      </c>
      <c r="R1033" s="8" t="s">
        <v>555</v>
      </c>
      <c r="S1033" s="7" t="s">
        <v>28</v>
      </c>
      <c r="T1033" s="6"/>
      <c r="U1033" s="8"/>
      <c r="Y1033" s="8"/>
      <c r="Z1033" s="8"/>
      <c r="AA1033" s="8"/>
      <c r="AB1033" s="8"/>
      <c r="AC1033" s="8"/>
      <c r="AD1033" s="8"/>
      <c r="AE1033" s="8"/>
      <c r="AF1033" s="8"/>
      <c r="AG1033" s="8"/>
      <c r="AH1033" s="8"/>
    </row>
    <row r="1034" spans="1:34" ht="13" customHeight="1">
      <c r="A1034" s="8" t="s">
        <v>4093</v>
      </c>
      <c r="B1034" s="16">
        <v>18</v>
      </c>
      <c r="C1034" s="8" t="s">
        <v>20</v>
      </c>
      <c r="D1034" s="8" t="s">
        <v>85</v>
      </c>
      <c r="F1034" s="17">
        <v>42058</v>
      </c>
      <c r="G1034" s="8" t="s">
        <v>4094</v>
      </c>
      <c r="H1034" s="8" t="s">
        <v>4095</v>
      </c>
      <c r="I1034" s="8" t="s">
        <v>94</v>
      </c>
      <c r="J1034" s="16" t="s">
        <v>4096</v>
      </c>
      <c r="K1034" s="2" t="s">
        <v>4097</v>
      </c>
      <c r="L1034" s="8" t="s">
        <v>4098</v>
      </c>
      <c r="M1034" s="8" t="s">
        <v>27</v>
      </c>
      <c r="N1034" s="2" t="s">
        <v>4099</v>
      </c>
      <c r="O1034" s="8" t="s">
        <v>400</v>
      </c>
      <c r="P1034" s="8" t="s">
        <v>401</v>
      </c>
      <c r="Q1034" s="12" t="s">
        <v>4100</v>
      </c>
      <c r="R1034" s="8" t="s">
        <v>100</v>
      </c>
      <c r="S1034" s="7" t="s">
        <v>28</v>
      </c>
      <c r="T1034" s="6"/>
      <c r="U1034" s="8"/>
    </row>
    <row r="1035" spans="1:34" ht="13" customHeight="1">
      <c r="A1035" s="8" t="s">
        <v>4101</v>
      </c>
      <c r="B1035" s="16">
        <v>47</v>
      </c>
      <c r="C1035" s="8" t="s">
        <v>20</v>
      </c>
      <c r="D1035" s="8" t="s">
        <v>37</v>
      </c>
      <c r="F1035" s="17">
        <v>42058</v>
      </c>
      <c r="G1035" s="8" t="s">
        <v>4102</v>
      </c>
      <c r="H1035" s="8" t="s">
        <v>4103</v>
      </c>
      <c r="I1035" s="8" t="s">
        <v>25</v>
      </c>
      <c r="J1035" s="16" t="s">
        <v>4104</v>
      </c>
      <c r="K1035" s="2" t="s">
        <v>4105</v>
      </c>
      <c r="L1035" s="8" t="s">
        <v>4106</v>
      </c>
      <c r="M1035" s="8" t="s">
        <v>27</v>
      </c>
      <c r="N1035" s="2" t="s">
        <v>4107</v>
      </c>
      <c r="O1035" s="8" t="s">
        <v>1013</v>
      </c>
      <c r="P1035" s="8" t="s">
        <v>401</v>
      </c>
      <c r="Q1035" s="12" t="s">
        <v>4108</v>
      </c>
      <c r="R1035" s="8" t="s">
        <v>29</v>
      </c>
      <c r="S1035" s="7" t="s">
        <v>28</v>
      </c>
      <c r="T1035" s="6"/>
      <c r="U1035" s="8"/>
    </row>
    <row r="1036" spans="1:34" ht="13" customHeight="1">
      <c r="A1036" s="8" t="s">
        <v>4118</v>
      </c>
      <c r="B1036" s="16">
        <v>37</v>
      </c>
      <c r="C1036" s="8" t="s">
        <v>20</v>
      </c>
      <c r="D1036" s="8" t="s">
        <v>37</v>
      </c>
      <c r="E1036" s="8" t="s">
        <v>4119</v>
      </c>
      <c r="F1036" s="17">
        <v>42058</v>
      </c>
      <c r="G1036" s="8" t="s">
        <v>4120</v>
      </c>
      <c r="H1036" s="8" t="s">
        <v>4121</v>
      </c>
      <c r="I1036" s="8" t="s">
        <v>173</v>
      </c>
      <c r="J1036" s="16" t="s">
        <v>4122</v>
      </c>
      <c r="K1036" s="2" t="s">
        <v>3324</v>
      </c>
      <c r="L1036" s="8" t="s">
        <v>4123</v>
      </c>
      <c r="M1036" s="8" t="s">
        <v>27</v>
      </c>
      <c r="N1036" s="2" t="s">
        <v>4124</v>
      </c>
      <c r="O1036" s="8" t="s">
        <v>1013</v>
      </c>
      <c r="P1036" s="8" t="s">
        <v>401</v>
      </c>
      <c r="Q1036" s="12" t="s">
        <v>4125</v>
      </c>
      <c r="R1036" s="8" t="s">
        <v>100</v>
      </c>
      <c r="S1036" s="7" t="s">
        <v>28</v>
      </c>
      <c r="T1036" s="6"/>
      <c r="U1036" s="8"/>
    </row>
    <row r="1037" spans="1:34" ht="13" customHeight="1">
      <c r="A1037" s="8" t="s">
        <v>4109</v>
      </c>
      <c r="B1037" s="16">
        <v>42</v>
      </c>
      <c r="C1037" s="8" t="s">
        <v>20</v>
      </c>
      <c r="D1037" s="8" t="s">
        <v>37</v>
      </c>
      <c r="E1037" s="8" t="s">
        <v>4110</v>
      </c>
      <c r="F1037" s="17">
        <v>42058</v>
      </c>
      <c r="G1037" s="8" t="s">
        <v>4111</v>
      </c>
      <c r="H1037" s="8" t="s">
        <v>4112</v>
      </c>
      <c r="I1037" s="8" t="s">
        <v>404</v>
      </c>
      <c r="J1037" s="16" t="s">
        <v>4113</v>
      </c>
      <c r="K1037" s="2" t="s">
        <v>4114</v>
      </c>
      <c r="L1037" s="8" t="s">
        <v>4115</v>
      </c>
      <c r="M1037" s="8" t="s">
        <v>27</v>
      </c>
      <c r="N1037" s="2" t="s">
        <v>4116</v>
      </c>
      <c r="O1037" s="8" t="s">
        <v>400</v>
      </c>
      <c r="P1037" s="8" t="s">
        <v>401</v>
      </c>
      <c r="Q1037" s="12" t="s">
        <v>4117</v>
      </c>
      <c r="R1037" s="8" t="s">
        <v>100</v>
      </c>
      <c r="S1037" s="7" t="s">
        <v>28</v>
      </c>
      <c r="T1037" s="6"/>
      <c r="U1037" s="8"/>
    </row>
    <row r="1038" spans="1:34" ht="13" customHeight="1">
      <c r="A1038" s="8" t="s">
        <v>4126</v>
      </c>
      <c r="B1038" s="16">
        <v>39</v>
      </c>
      <c r="C1038" s="8" t="s">
        <v>20</v>
      </c>
      <c r="D1038" s="8" t="s">
        <v>37</v>
      </c>
      <c r="E1038" s="8" t="s">
        <v>4127</v>
      </c>
      <c r="F1038" s="17">
        <v>42058</v>
      </c>
      <c r="G1038" s="8" t="s">
        <v>4128</v>
      </c>
      <c r="H1038" s="8" t="s">
        <v>1631</v>
      </c>
      <c r="I1038" s="8" t="s">
        <v>463</v>
      </c>
      <c r="J1038" s="16" t="s">
        <v>4129</v>
      </c>
      <c r="K1038" s="2" t="s">
        <v>941</v>
      </c>
      <c r="L1038" s="8" t="s">
        <v>2258</v>
      </c>
      <c r="M1038" s="8" t="s">
        <v>27</v>
      </c>
      <c r="N1038" s="2" t="s">
        <v>4130</v>
      </c>
      <c r="O1038" s="8" t="s">
        <v>1013</v>
      </c>
      <c r="P1038" s="8" t="s">
        <v>401</v>
      </c>
      <c r="Q1038" s="12" t="s">
        <v>4131</v>
      </c>
      <c r="R1038" s="8" t="s">
        <v>100</v>
      </c>
      <c r="S1038" s="7" t="s">
        <v>18</v>
      </c>
      <c r="T1038" s="6"/>
      <c r="U1038" s="8"/>
    </row>
    <row r="1039" spans="1:34" ht="13" customHeight="1">
      <c r="A1039" s="8" t="s">
        <v>4132</v>
      </c>
      <c r="B1039" s="16">
        <v>39</v>
      </c>
      <c r="C1039" s="8" t="s">
        <v>20</v>
      </c>
      <c r="D1039" s="8" t="s">
        <v>85</v>
      </c>
      <c r="E1039" s="8" t="s">
        <v>4133</v>
      </c>
      <c r="F1039" s="17">
        <v>42057</v>
      </c>
      <c r="G1039" s="8" t="s">
        <v>4134</v>
      </c>
      <c r="H1039" s="8" t="s">
        <v>4135</v>
      </c>
      <c r="I1039" s="8" t="s">
        <v>62</v>
      </c>
      <c r="J1039" s="16" t="s">
        <v>4136</v>
      </c>
      <c r="K1039" s="2" t="s">
        <v>1127</v>
      </c>
      <c r="L1039" s="8" t="s">
        <v>4137</v>
      </c>
      <c r="M1039" s="8" t="s">
        <v>391</v>
      </c>
      <c r="N1039" s="2" t="s">
        <v>4138</v>
      </c>
      <c r="O1039" s="8" t="s">
        <v>1013</v>
      </c>
      <c r="P1039" s="8" t="s">
        <v>401</v>
      </c>
      <c r="Q1039" s="12" t="s">
        <v>4139</v>
      </c>
      <c r="R1039" s="8" t="s">
        <v>100</v>
      </c>
      <c r="S1039" s="7" t="s">
        <v>18</v>
      </c>
      <c r="T1039" s="6"/>
      <c r="U1039" s="8"/>
    </row>
    <row r="1040" spans="1:34" ht="13" customHeight="1">
      <c r="A1040" s="8" t="s">
        <v>4140</v>
      </c>
      <c r="B1040" s="16">
        <v>50</v>
      </c>
      <c r="C1040" s="8" t="s">
        <v>20</v>
      </c>
      <c r="D1040" s="8" t="s">
        <v>37</v>
      </c>
      <c r="F1040" s="17">
        <v>42057</v>
      </c>
      <c r="G1040" s="8" t="s">
        <v>4141</v>
      </c>
      <c r="H1040" s="8" t="s">
        <v>4142</v>
      </c>
      <c r="I1040" s="8" t="s">
        <v>62</v>
      </c>
      <c r="J1040" s="16" t="s">
        <v>4143</v>
      </c>
      <c r="K1040" s="2" t="s">
        <v>1772</v>
      </c>
      <c r="L1040" s="8" t="s">
        <v>4144</v>
      </c>
      <c r="M1040" s="8" t="s">
        <v>27</v>
      </c>
      <c r="N1040" s="2" t="s">
        <v>4145</v>
      </c>
      <c r="O1040" s="8" t="s">
        <v>1013</v>
      </c>
      <c r="P1040" s="8" t="s">
        <v>401</v>
      </c>
      <c r="Q1040" s="12" t="s">
        <v>4146</v>
      </c>
      <c r="R1040" s="8" t="s">
        <v>100</v>
      </c>
      <c r="S1040" s="7" t="s">
        <v>28</v>
      </c>
      <c r="T1040" s="6"/>
      <c r="U1040" s="8"/>
    </row>
    <row r="1041" spans="1:21" ht="13" customHeight="1">
      <c r="A1041" s="8" t="s">
        <v>4147</v>
      </c>
      <c r="B1041" s="16">
        <v>40</v>
      </c>
      <c r="C1041" s="8" t="s">
        <v>20</v>
      </c>
      <c r="D1041" s="8" t="s">
        <v>37</v>
      </c>
      <c r="E1041" s="8" t="s">
        <v>4148</v>
      </c>
      <c r="F1041" s="17">
        <v>42057</v>
      </c>
      <c r="G1041" s="8" t="s">
        <v>4149</v>
      </c>
      <c r="H1041" s="8" t="s">
        <v>4150</v>
      </c>
      <c r="I1041" s="8" t="s">
        <v>173</v>
      </c>
      <c r="J1041" s="16" t="s">
        <v>4151</v>
      </c>
      <c r="K1041" s="2" t="s">
        <v>4152</v>
      </c>
      <c r="L1041" s="8" t="s">
        <v>4153</v>
      </c>
      <c r="M1041" s="8" t="s">
        <v>27</v>
      </c>
      <c r="N1041" s="2" t="s">
        <v>4154</v>
      </c>
      <c r="P1041" s="8" t="s">
        <v>401</v>
      </c>
      <c r="Q1041" s="12" t="s">
        <v>4155</v>
      </c>
      <c r="R1041" s="8" t="s">
        <v>29</v>
      </c>
      <c r="S1041" s="7" t="s">
        <v>28</v>
      </c>
      <c r="T1041" s="6"/>
      <c r="U1041" s="8"/>
    </row>
    <row r="1042" spans="1:21" ht="13" customHeight="1">
      <c r="A1042" s="8" t="s">
        <v>4156</v>
      </c>
      <c r="B1042" s="16">
        <v>41</v>
      </c>
      <c r="C1042" s="8" t="s">
        <v>20</v>
      </c>
      <c r="D1042" s="8" t="s">
        <v>37</v>
      </c>
      <c r="E1042" s="8" t="s">
        <v>4157</v>
      </c>
      <c r="F1042" s="17">
        <v>42056</v>
      </c>
      <c r="G1042" s="8" t="s">
        <v>4158</v>
      </c>
      <c r="H1042" s="8" t="s">
        <v>4159</v>
      </c>
      <c r="I1042" s="8" t="s">
        <v>195</v>
      </c>
      <c r="J1042" s="16" t="s">
        <v>4160</v>
      </c>
      <c r="K1042" s="2" t="s">
        <v>2324</v>
      </c>
      <c r="L1042" s="8" t="s">
        <v>3098</v>
      </c>
      <c r="M1042" s="8" t="s">
        <v>27</v>
      </c>
      <c r="N1042" s="2" t="s">
        <v>4161</v>
      </c>
      <c r="O1042" s="8" t="s">
        <v>1013</v>
      </c>
      <c r="P1042" s="8" t="s">
        <v>401</v>
      </c>
      <c r="Q1042" s="12" t="s">
        <v>4162</v>
      </c>
      <c r="R1042" s="8" t="s">
        <v>29</v>
      </c>
      <c r="S1042" s="7" t="s">
        <v>28</v>
      </c>
      <c r="T1042" s="6"/>
      <c r="U1042" s="8"/>
    </row>
    <row r="1043" spans="1:21" ht="13" customHeight="1">
      <c r="A1043" s="8" t="s">
        <v>4163</v>
      </c>
      <c r="B1043" s="16">
        <v>51</v>
      </c>
      <c r="C1043" s="8" t="s">
        <v>20</v>
      </c>
      <c r="D1043" s="8" t="s">
        <v>37</v>
      </c>
      <c r="E1043" s="8" t="s">
        <v>4164</v>
      </c>
      <c r="F1043" s="17">
        <v>42056</v>
      </c>
      <c r="G1043" s="8" t="s">
        <v>4165</v>
      </c>
      <c r="H1043" s="8" t="s">
        <v>216</v>
      </c>
      <c r="I1043" s="8" t="s">
        <v>217</v>
      </c>
      <c r="J1043" s="16" t="s">
        <v>4166</v>
      </c>
      <c r="K1043" s="2" t="s">
        <v>420</v>
      </c>
      <c r="L1043" s="8" t="s">
        <v>218</v>
      </c>
      <c r="M1043" s="8" t="s">
        <v>27</v>
      </c>
      <c r="N1043" s="2" t="s">
        <v>4167</v>
      </c>
      <c r="O1043" s="8" t="s">
        <v>1013</v>
      </c>
      <c r="P1043" s="8" t="s">
        <v>401</v>
      </c>
      <c r="Q1043" s="12" t="str">
        <f>HYPERLINK("http://www.theindychannel.com/news/local-news/suspect-fatally-shot-by-impd-officer-on-east-side","http://www.theindychannel.com/news/local-news/suspect-fatally-shot-by-impd-officer-on-east-side")</f>
        <v>http://www.theindychannel.com/news/local-news/suspect-fatally-shot-by-impd-officer-on-east-side</v>
      </c>
      <c r="R1043" s="8" t="s">
        <v>100</v>
      </c>
      <c r="S1043" s="7" t="s">
        <v>28</v>
      </c>
      <c r="T1043" s="6"/>
      <c r="U1043" s="8"/>
    </row>
    <row r="1044" spans="1:21" ht="13" customHeight="1">
      <c r="A1044" s="8" t="s">
        <v>4168</v>
      </c>
      <c r="B1044" s="16">
        <v>38</v>
      </c>
      <c r="C1044" s="8" t="s">
        <v>20</v>
      </c>
      <c r="D1044" s="8" t="s">
        <v>85</v>
      </c>
      <c r="E1044" s="8" t="s">
        <v>4169</v>
      </c>
      <c r="F1044" s="17">
        <v>42055</v>
      </c>
      <c r="G1044" s="8" t="s">
        <v>4170</v>
      </c>
      <c r="H1044" s="8" t="s">
        <v>4171</v>
      </c>
      <c r="I1044" s="8" t="s">
        <v>94</v>
      </c>
      <c r="J1044" s="16" t="s">
        <v>4172</v>
      </c>
      <c r="K1044" s="2" t="s">
        <v>1781</v>
      </c>
      <c r="L1044" s="8" t="s">
        <v>4173</v>
      </c>
      <c r="M1044" s="8" t="s">
        <v>27</v>
      </c>
      <c r="N1044" s="2" t="s">
        <v>4174</v>
      </c>
      <c r="O1044" s="8" t="s">
        <v>1013</v>
      </c>
      <c r="P1044" s="8" t="s">
        <v>401</v>
      </c>
      <c r="Q1044" s="12" t="s">
        <v>4175</v>
      </c>
      <c r="R1044" s="8" t="s">
        <v>100</v>
      </c>
      <c r="S1044" s="7" t="s">
        <v>28</v>
      </c>
      <c r="T1044" s="6"/>
      <c r="U1044" s="8"/>
    </row>
    <row r="1045" spans="1:21" ht="13" customHeight="1">
      <c r="A1045" s="8" t="s">
        <v>4176</v>
      </c>
      <c r="B1045" s="16">
        <v>41</v>
      </c>
      <c r="C1045" s="8" t="s">
        <v>20</v>
      </c>
      <c r="D1045" s="8" t="s">
        <v>85</v>
      </c>
      <c r="E1045" s="8" t="s">
        <v>4177</v>
      </c>
      <c r="F1045" s="17">
        <v>42055</v>
      </c>
      <c r="G1045" s="8" t="s">
        <v>4178</v>
      </c>
      <c r="H1045" s="8" t="s">
        <v>2497</v>
      </c>
      <c r="I1045" s="8" t="s">
        <v>395</v>
      </c>
      <c r="J1045" s="16" t="s">
        <v>4179</v>
      </c>
      <c r="K1045" s="2" t="s">
        <v>4180</v>
      </c>
      <c r="L1045" s="8" t="s">
        <v>4181</v>
      </c>
      <c r="M1045" s="8" t="s">
        <v>391</v>
      </c>
      <c r="N1045" s="2" t="s">
        <v>4182</v>
      </c>
      <c r="O1045" s="8" t="s">
        <v>1013</v>
      </c>
      <c r="P1045" s="8" t="s">
        <v>401</v>
      </c>
      <c r="Q1045" s="12" t="s">
        <v>4183</v>
      </c>
      <c r="R1045" s="8" t="s">
        <v>100</v>
      </c>
      <c r="S1045" s="7" t="s">
        <v>18</v>
      </c>
      <c r="T1045" s="6"/>
      <c r="U1045" s="8"/>
    </row>
    <row r="1046" spans="1:21" ht="13" customHeight="1">
      <c r="A1046" s="8" t="s">
        <v>4184</v>
      </c>
      <c r="B1046" s="16" t="s">
        <v>29</v>
      </c>
      <c r="C1046" s="8" t="s">
        <v>20</v>
      </c>
      <c r="D1046" s="8" t="s">
        <v>48</v>
      </c>
      <c r="F1046" s="17">
        <v>42055</v>
      </c>
      <c r="G1046" s="8" t="s">
        <v>21503</v>
      </c>
      <c r="H1046" s="8" t="s">
        <v>726</v>
      </c>
      <c r="I1046" s="8" t="s">
        <v>73</v>
      </c>
      <c r="K1046" s="2" t="s">
        <v>558</v>
      </c>
      <c r="L1046" s="8" t="s">
        <v>5671</v>
      </c>
      <c r="M1046" s="8" t="s">
        <v>27</v>
      </c>
      <c r="N1046" s="2" t="s">
        <v>21504</v>
      </c>
      <c r="O1046" s="8" t="s">
        <v>4714</v>
      </c>
      <c r="P1046" s="8" t="s">
        <v>401</v>
      </c>
      <c r="Q1046" s="12" t="s">
        <v>4185</v>
      </c>
      <c r="R1046" s="8" t="s">
        <v>100</v>
      </c>
      <c r="S1046" s="7" t="s">
        <v>28</v>
      </c>
      <c r="T1046" s="6"/>
      <c r="U1046" s="8"/>
    </row>
    <row r="1047" spans="1:21" ht="13" customHeight="1">
      <c r="A1047" s="8" t="s">
        <v>4186</v>
      </c>
      <c r="B1047" s="16">
        <v>31</v>
      </c>
      <c r="C1047" s="8" t="s">
        <v>20</v>
      </c>
      <c r="D1047" s="8" t="s">
        <v>48</v>
      </c>
      <c r="E1047" s="8" t="s">
        <v>4187</v>
      </c>
      <c r="F1047" s="17">
        <v>42055</v>
      </c>
      <c r="G1047" s="8" t="s">
        <v>4188</v>
      </c>
      <c r="H1047" s="8" t="s">
        <v>4189</v>
      </c>
      <c r="I1047" s="8" t="s">
        <v>73</v>
      </c>
      <c r="J1047" s="16" t="s">
        <v>4190</v>
      </c>
      <c r="K1047" s="2" t="s">
        <v>74</v>
      </c>
      <c r="L1047" s="8" t="s">
        <v>4191</v>
      </c>
      <c r="M1047" s="8" t="s">
        <v>27</v>
      </c>
      <c r="N1047" s="2" t="s">
        <v>21533</v>
      </c>
      <c r="O1047" s="8" t="s">
        <v>400</v>
      </c>
      <c r="P1047" s="8" t="s">
        <v>401</v>
      </c>
      <c r="Q1047" s="12" t="s">
        <v>4192</v>
      </c>
      <c r="R1047" s="8" t="s">
        <v>29</v>
      </c>
      <c r="S1047" s="7" t="s">
        <v>18</v>
      </c>
      <c r="T1047" s="6"/>
      <c r="U1047" s="8"/>
    </row>
    <row r="1048" spans="1:21" ht="13" customHeight="1">
      <c r="A1048" s="8" t="s">
        <v>4193</v>
      </c>
      <c r="B1048" s="16">
        <v>77</v>
      </c>
      <c r="C1048" s="8" t="s">
        <v>20</v>
      </c>
      <c r="D1048" s="8" t="s">
        <v>37</v>
      </c>
      <c r="F1048" s="17">
        <v>42055</v>
      </c>
      <c r="G1048" s="8" t="s">
        <v>4194</v>
      </c>
      <c r="H1048" s="8" t="s">
        <v>4171</v>
      </c>
      <c r="I1048" s="8" t="s">
        <v>94</v>
      </c>
      <c r="J1048" s="16" t="s">
        <v>4195</v>
      </c>
      <c r="K1048" s="2" t="s">
        <v>1781</v>
      </c>
      <c r="L1048" s="8" t="s">
        <v>4196</v>
      </c>
      <c r="M1048" s="8" t="s">
        <v>27</v>
      </c>
      <c r="N1048" s="2" t="s">
        <v>4197</v>
      </c>
      <c r="O1048" s="8" t="s">
        <v>400</v>
      </c>
      <c r="P1048" s="8" t="s">
        <v>401</v>
      </c>
      <c r="Q1048" s="12" t="s">
        <v>4198</v>
      </c>
      <c r="R1048" s="8" t="s">
        <v>555</v>
      </c>
      <c r="S1048" s="7" t="s">
        <v>28</v>
      </c>
      <c r="T1048" s="6"/>
      <c r="U1048" s="8"/>
    </row>
    <row r="1049" spans="1:21" ht="13" customHeight="1">
      <c r="A1049" s="8" t="s">
        <v>4199</v>
      </c>
      <c r="B1049" s="16">
        <v>35</v>
      </c>
      <c r="C1049" s="8" t="s">
        <v>20</v>
      </c>
      <c r="D1049" s="8" t="s">
        <v>37</v>
      </c>
      <c r="E1049" s="8" t="s">
        <v>4200</v>
      </c>
      <c r="F1049" s="17">
        <v>42055</v>
      </c>
      <c r="G1049" s="8" t="s">
        <v>4201</v>
      </c>
      <c r="H1049" s="8" t="s">
        <v>302</v>
      </c>
      <c r="I1049" s="8" t="s">
        <v>45</v>
      </c>
      <c r="J1049" s="16" t="s">
        <v>4202</v>
      </c>
      <c r="K1049" s="2" t="s">
        <v>1334</v>
      </c>
      <c r="L1049" s="8" t="s">
        <v>4203</v>
      </c>
      <c r="M1049" s="8" t="s">
        <v>391</v>
      </c>
      <c r="N1049" s="2" t="s">
        <v>4204</v>
      </c>
      <c r="O1049" s="8" t="s">
        <v>1013</v>
      </c>
      <c r="P1049" s="8" t="s">
        <v>401</v>
      </c>
      <c r="Q1049" s="12" t="s">
        <v>4205</v>
      </c>
      <c r="S1049" s="7" t="s">
        <v>18</v>
      </c>
      <c r="T1049" s="6"/>
      <c r="U1049" s="8"/>
    </row>
    <row r="1050" spans="1:21" ht="13" customHeight="1">
      <c r="A1050" s="8" t="s">
        <v>4206</v>
      </c>
      <c r="B1050" s="16">
        <v>31</v>
      </c>
      <c r="C1050" s="8" t="s">
        <v>20</v>
      </c>
      <c r="D1050" s="8" t="s">
        <v>37</v>
      </c>
      <c r="E1050" s="8" t="s">
        <v>4207</v>
      </c>
      <c r="F1050" s="17">
        <v>42054</v>
      </c>
      <c r="G1050" s="8" t="s">
        <v>4208</v>
      </c>
      <c r="H1050" s="8" t="s">
        <v>4209</v>
      </c>
      <c r="I1050" s="8" t="s">
        <v>431</v>
      </c>
      <c r="J1050" s="16" t="s">
        <v>4210</v>
      </c>
      <c r="K1050" s="2" t="s">
        <v>4211</v>
      </c>
      <c r="L1050" s="8" t="s">
        <v>4212</v>
      </c>
      <c r="M1050" s="8" t="s">
        <v>27</v>
      </c>
      <c r="N1050" s="2" t="s">
        <v>4213</v>
      </c>
      <c r="O1050" s="8" t="s">
        <v>400</v>
      </c>
      <c r="P1050" s="8" t="s">
        <v>401</v>
      </c>
      <c r="Q1050" s="12" t="s">
        <v>4214</v>
      </c>
      <c r="R1050" s="8" t="s">
        <v>100</v>
      </c>
      <c r="S1050" s="7" t="s">
        <v>18</v>
      </c>
      <c r="T1050" s="6"/>
      <c r="U1050" s="8"/>
    </row>
    <row r="1051" spans="1:21" ht="13" customHeight="1">
      <c r="A1051" s="8" t="s">
        <v>4215</v>
      </c>
      <c r="B1051" s="16">
        <v>20</v>
      </c>
      <c r="C1051" s="8" t="s">
        <v>114</v>
      </c>
      <c r="D1051" s="8" t="s">
        <v>85</v>
      </c>
      <c r="E1051" s="8" t="s">
        <v>4216</v>
      </c>
      <c r="F1051" s="17">
        <v>42053</v>
      </c>
      <c r="G1051" s="8" t="s">
        <v>4217</v>
      </c>
      <c r="H1051" s="8" t="s">
        <v>4218</v>
      </c>
      <c r="I1051" s="8" t="s">
        <v>366</v>
      </c>
      <c r="J1051" s="16" t="s">
        <v>4219</v>
      </c>
      <c r="K1051" s="2" t="s">
        <v>4220</v>
      </c>
      <c r="L1051" s="8" t="s">
        <v>4221</v>
      </c>
      <c r="M1051" s="8" t="s">
        <v>27</v>
      </c>
      <c r="N1051" s="2" t="s">
        <v>4222</v>
      </c>
      <c r="O1051" s="8" t="s">
        <v>550</v>
      </c>
      <c r="P1051" s="8" t="s">
        <v>401</v>
      </c>
      <c r="Q1051" s="12" t="s">
        <v>4223</v>
      </c>
      <c r="R1051" s="8" t="s">
        <v>29</v>
      </c>
      <c r="S1051" s="7" t="s">
        <v>28</v>
      </c>
      <c r="T1051" s="6"/>
      <c r="U1051" s="8"/>
    </row>
    <row r="1052" spans="1:21" ht="13" customHeight="1">
      <c r="A1052" s="8" t="s">
        <v>4224</v>
      </c>
      <c r="B1052" s="16">
        <v>50</v>
      </c>
      <c r="C1052" s="8" t="s">
        <v>20</v>
      </c>
      <c r="D1052" s="8" t="s">
        <v>48</v>
      </c>
      <c r="E1052" s="8" t="s">
        <v>4225</v>
      </c>
      <c r="F1052" s="17">
        <v>42052</v>
      </c>
      <c r="G1052" s="8" t="s">
        <v>4226</v>
      </c>
      <c r="H1052" s="8" t="s">
        <v>4227</v>
      </c>
      <c r="I1052" s="8" t="s">
        <v>73</v>
      </c>
      <c r="J1052" s="16" t="s">
        <v>4228</v>
      </c>
      <c r="K1052" s="2" t="s">
        <v>4229</v>
      </c>
      <c r="L1052" s="8" t="s">
        <v>4230</v>
      </c>
      <c r="M1052" s="8" t="s">
        <v>27</v>
      </c>
      <c r="N1052" s="2" t="s">
        <v>4231</v>
      </c>
      <c r="O1052" s="8" t="s">
        <v>1013</v>
      </c>
      <c r="P1052" s="8" t="s">
        <v>401</v>
      </c>
      <c r="Q1052" s="12" t="s">
        <v>4232</v>
      </c>
      <c r="R1052" s="8" t="s">
        <v>100</v>
      </c>
      <c r="S1052" s="7" t="s">
        <v>28</v>
      </c>
      <c r="T1052" s="6"/>
      <c r="U1052" s="8"/>
    </row>
    <row r="1053" spans="1:21" ht="13" customHeight="1">
      <c r="A1053" s="8" t="s">
        <v>4233</v>
      </c>
      <c r="B1053" s="16">
        <v>30</v>
      </c>
      <c r="C1053" s="8" t="s">
        <v>20</v>
      </c>
      <c r="D1053" s="8" t="s">
        <v>37</v>
      </c>
      <c r="F1053" s="17">
        <v>42052</v>
      </c>
      <c r="G1053" s="8" t="s">
        <v>4234</v>
      </c>
      <c r="H1053" s="8" t="s">
        <v>4235</v>
      </c>
      <c r="I1053" s="8" t="s">
        <v>46</v>
      </c>
      <c r="J1053" s="16" t="s">
        <v>4236</v>
      </c>
      <c r="K1053" s="2" t="s">
        <v>42</v>
      </c>
      <c r="L1053" s="8" t="s">
        <v>4237</v>
      </c>
      <c r="M1053" s="8" t="s">
        <v>27</v>
      </c>
      <c r="N1053" s="2" t="s">
        <v>4238</v>
      </c>
      <c r="O1053" s="8" t="s">
        <v>401</v>
      </c>
      <c r="P1053" s="8" t="s">
        <v>401</v>
      </c>
      <c r="Q1053" s="12" t="s">
        <v>4239</v>
      </c>
      <c r="R1053" s="8" t="s">
        <v>100</v>
      </c>
      <c r="S1053" s="7" t="s">
        <v>28</v>
      </c>
      <c r="T1053" s="8"/>
      <c r="U1053" s="8"/>
    </row>
    <row r="1054" spans="1:21" ht="13" customHeight="1">
      <c r="A1054" s="8" t="s">
        <v>4240</v>
      </c>
      <c r="B1054" s="16">
        <v>32</v>
      </c>
      <c r="C1054" s="8" t="s">
        <v>20</v>
      </c>
      <c r="D1054" s="8" t="s">
        <v>37</v>
      </c>
      <c r="E1054" s="8" t="s">
        <v>4241</v>
      </c>
      <c r="F1054" s="17">
        <v>42052</v>
      </c>
      <c r="G1054" s="8" t="s">
        <v>4242</v>
      </c>
      <c r="H1054" s="8" t="s">
        <v>4243</v>
      </c>
      <c r="I1054" s="8" t="s">
        <v>57</v>
      </c>
      <c r="J1054" s="16" t="s">
        <v>4244</v>
      </c>
      <c r="K1054" s="2" t="s">
        <v>3977</v>
      </c>
      <c r="L1054" s="8" t="s">
        <v>4245</v>
      </c>
      <c r="M1054" s="8" t="s">
        <v>27</v>
      </c>
      <c r="N1054" s="2" t="s">
        <v>4246</v>
      </c>
      <c r="O1054" s="8" t="s">
        <v>400</v>
      </c>
      <c r="P1054" s="8" t="s">
        <v>401</v>
      </c>
      <c r="Q1054" s="12" t="s">
        <v>4247</v>
      </c>
      <c r="R1054" s="8" t="s">
        <v>100</v>
      </c>
      <c r="S1054" s="7" t="s">
        <v>28</v>
      </c>
      <c r="T1054" s="6"/>
      <c r="U1054" s="8"/>
    </row>
    <row r="1055" spans="1:21" ht="13" customHeight="1">
      <c r="A1055" s="8" t="s">
        <v>4248</v>
      </c>
      <c r="B1055" s="16">
        <v>43</v>
      </c>
      <c r="C1055" s="8" t="s">
        <v>114</v>
      </c>
      <c r="D1055" s="8" t="s">
        <v>37</v>
      </c>
      <c r="E1055" s="8" t="s">
        <v>4249</v>
      </c>
      <c r="F1055" s="17">
        <v>42052</v>
      </c>
      <c r="G1055" s="8" t="s">
        <v>4250</v>
      </c>
      <c r="H1055" s="8" t="s">
        <v>837</v>
      </c>
      <c r="I1055" s="8" t="s">
        <v>366</v>
      </c>
      <c r="J1055" s="16" t="s">
        <v>4251</v>
      </c>
      <c r="K1055" s="2" t="s">
        <v>838</v>
      </c>
      <c r="L1055" s="8" t="s">
        <v>4252</v>
      </c>
      <c r="M1055" s="8" t="s">
        <v>27</v>
      </c>
      <c r="N1055" s="2" t="s">
        <v>4253</v>
      </c>
      <c r="O1055" s="8" t="s">
        <v>400</v>
      </c>
      <c r="P1055" s="8" t="s">
        <v>401</v>
      </c>
      <c r="Q1055" s="12" t="s">
        <v>4254</v>
      </c>
      <c r="R1055" s="8" t="s">
        <v>29</v>
      </c>
      <c r="S1055" s="7" t="s">
        <v>28</v>
      </c>
      <c r="T1055" s="6"/>
      <c r="U1055" s="8"/>
    </row>
    <row r="1056" spans="1:21" ht="13" customHeight="1">
      <c r="A1056" s="8" t="s">
        <v>4255</v>
      </c>
      <c r="B1056" s="16">
        <v>56</v>
      </c>
      <c r="C1056" s="8" t="s">
        <v>20</v>
      </c>
      <c r="D1056" s="8" t="s">
        <v>37</v>
      </c>
      <c r="F1056" s="17">
        <v>42051</v>
      </c>
      <c r="G1056" s="8" t="s">
        <v>4256</v>
      </c>
      <c r="H1056" s="8" t="s">
        <v>4257</v>
      </c>
      <c r="I1056" s="8" t="s">
        <v>123</v>
      </c>
      <c r="J1056" s="16" t="s">
        <v>4258</v>
      </c>
      <c r="K1056" s="2" t="s">
        <v>562</v>
      </c>
      <c r="L1056" s="8" t="s">
        <v>4259</v>
      </c>
      <c r="M1056" s="8" t="s">
        <v>27</v>
      </c>
      <c r="N1056" s="2" t="s">
        <v>4260</v>
      </c>
      <c r="O1056" s="8" t="s">
        <v>1013</v>
      </c>
      <c r="P1056" s="8" t="s">
        <v>401</v>
      </c>
      <c r="Q1056" s="12" t="s">
        <v>4261</v>
      </c>
      <c r="R1056" s="8" t="s">
        <v>100</v>
      </c>
      <c r="S1056" s="7" t="s">
        <v>28</v>
      </c>
      <c r="T1056" s="6"/>
      <c r="U1056" s="8"/>
    </row>
    <row r="1057" spans="1:21" ht="13" customHeight="1">
      <c r="A1057" s="8" t="s">
        <v>4262</v>
      </c>
      <c r="B1057" s="16">
        <v>26</v>
      </c>
      <c r="C1057" s="8" t="s">
        <v>20</v>
      </c>
      <c r="D1057" s="8" t="s">
        <v>37</v>
      </c>
      <c r="E1057" s="8" t="s">
        <v>4263</v>
      </c>
      <c r="F1057" s="17">
        <v>42051</v>
      </c>
      <c r="G1057" s="8" t="s">
        <v>4264</v>
      </c>
      <c r="H1057" s="8" t="s">
        <v>4265</v>
      </c>
      <c r="I1057" s="8" t="s">
        <v>793</v>
      </c>
      <c r="J1057" s="16" t="s">
        <v>4266</v>
      </c>
      <c r="K1057" s="2" t="s">
        <v>4267</v>
      </c>
      <c r="L1057" s="8" t="s">
        <v>4268</v>
      </c>
      <c r="M1057" s="8" t="s">
        <v>27</v>
      </c>
      <c r="N1057" s="2" t="s">
        <v>4269</v>
      </c>
      <c r="O1057" s="8" t="s">
        <v>1013</v>
      </c>
      <c r="P1057" s="8" t="s">
        <v>401</v>
      </c>
      <c r="Q1057" s="12" t="s">
        <v>4270</v>
      </c>
      <c r="R1057" s="8" t="s">
        <v>100</v>
      </c>
      <c r="S1057" s="7" t="s">
        <v>28</v>
      </c>
      <c r="T1057" s="6"/>
      <c r="U1057" s="8"/>
    </row>
    <row r="1058" spans="1:21" ht="13" customHeight="1">
      <c r="A1058" s="8" t="s">
        <v>4271</v>
      </c>
      <c r="B1058" s="16">
        <v>25</v>
      </c>
      <c r="C1058" s="8" t="s">
        <v>20</v>
      </c>
      <c r="D1058" s="8" t="s">
        <v>85</v>
      </c>
      <c r="E1058" s="8" t="s">
        <v>4272</v>
      </c>
      <c r="F1058" s="17">
        <v>42050</v>
      </c>
      <c r="G1058" s="8" t="s">
        <v>4273</v>
      </c>
      <c r="H1058" s="8" t="s">
        <v>4274</v>
      </c>
      <c r="I1058" s="8" t="s">
        <v>62</v>
      </c>
      <c r="J1058" s="16" t="s">
        <v>4275</v>
      </c>
      <c r="K1058" s="2" t="s">
        <v>161</v>
      </c>
      <c r="L1058" s="8" t="s">
        <v>4276</v>
      </c>
      <c r="M1058" s="8" t="s">
        <v>27</v>
      </c>
      <c r="N1058" s="2" t="s">
        <v>4277</v>
      </c>
      <c r="O1058" s="8" t="s">
        <v>1013</v>
      </c>
      <c r="P1058" s="8" t="s">
        <v>401</v>
      </c>
      <c r="Q1058" s="12" t="s">
        <v>4278</v>
      </c>
      <c r="R1058" s="8" t="s">
        <v>555</v>
      </c>
      <c r="S1058" s="7" t="s">
        <v>28</v>
      </c>
      <c r="T1058" s="6"/>
      <c r="U1058" s="8"/>
    </row>
    <row r="1059" spans="1:21" ht="13" customHeight="1">
      <c r="A1059" s="8" t="s">
        <v>4279</v>
      </c>
      <c r="B1059" s="16">
        <v>34</v>
      </c>
      <c r="C1059" s="8" t="s">
        <v>20</v>
      </c>
      <c r="D1059" s="8" t="s">
        <v>37</v>
      </c>
      <c r="E1059" s="8" t="s">
        <v>4280</v>
      </c>
      <c r="F1059" s="17">
        <v>42050</v>
      </c>
      <c r="G1059" s="8" t="s">
        <v>4281</v>
      </c>
      <c r="H1059" s="8" t="s">
        <v>4282</v>
      </c>
      <c r="I1059" s="8" t="s">
        <v>117</v>
      </c>
      <c r="J1059" s="16" t="s">
        <v>4283</v>
      </c>
      <c r="K1059" s="2" t="s">
        <v>4284</v>
      </c>
      <c r="L1059" s="8" t="s">
        <v>4285</v>
      </c>
      <c r="M1059" s="8" t="s">
        <v>27</v>
      </c>
      <c r="N1059" s="2" t="s">
        <v>4286</v>
      </c>
      <c r="O1059" s="8" t="s">
        <v>1013</v>
      </c>
      <c r="P1059" s="8" t="s">
        <v>401</v>
      </c>
      <c r="Q1059" s="12" t="s">
        <v>4287</v>
      </c>
      <c r="R1059" s="8" t="s">
        <v>100</v>
      </c>
      <c r="S1059" s="7" t="s">
        <v>28</v>
      </c>
      <c r="T1059" s="6"/>
      <c r="U1059" s="8"/>
    </row>
    <row r="1060" spans="1:21" ht="13" customHeight="1">
      <c r="A1060" s="8" t="s">
        <v>4288</v>
      </c>
      <c r="B1060" s="16">
        <v>34</v>
      </c>
      <c r="C1060" s="8" t="s">
        <v>20</v>
      </c>
      <c r="D1060" s="8" t="s">
        <v>37</v>
      </c>
      <c r="E1060" s="8" t="s">
        <v>4289</v>
      </c>
      <c r="F1060" s="17">
        <v>42050</v>
      </c>
      <c r="G1060" s="8" t="s">
        <v>4290</v>
      </c>
      <c r="H1060" s="8" t="s">
        <v>4291</v>
      </c>
      <c r="I1060" s="8" t="s">
        <v>671</v>
      </c>
      <c r="J1060" s="16" t="s">
        <v>4292</v>
      </c>
      <c r="K1060" s="2" t="s">
        <v>4293</v>
      </c>
      <c r="L1060" s="8" t="s">
        <v>4294</v>
      </c>
      <c r="M1060" s="8" t="s">
        <v>27</v>
      </c>
      <c r="N1060" s="2" t="s">
        <v>4295</v>
      </c>
      <c r="O1060" s="8" t="s">
        <v>1013</v>
      </c>
      <c r="P1060" s="8" t="s">
        <v>401</v>
      </c>
      <c r="Q1060" s="12" t="s">
        <v>4296</v>
      </c>
      <c r="R1060" s="8" t="s">
        <v>100</v>
      </c>
      <c r="S1060" s="7" t="s">
        <v>28</v>
      </c>
      <c r="T1060" s="6"/>
      <c r="U1060" s="8"/>
    </row>
    <row r="1061" spans="1:21" ht="13" customHeight="1">
      <c r="A1061" s="8" t="s">
        <v>4297</v>
      </c>
      <c r="B1061" s="16">
        <v>24</v>
      </c>
      <c r="C1061" s="8" t="s">
        <v>20</v>
      </c>
      <c r="D1061" s="8" t="s">
        <v>37</v>
      </c>
      <c r="E1061" s="8" t="s">
        <v>4298</v>
      </c>
      <c r="F1061" s="17">
        <v>42050</v>
      </c>
      <c r="G1061" s="8" t="s">
        <v>4299</v>
      </c>
      <c r="H1061" s="8" t="s">
        <v>4300</v>
      </c>
      <c r="I1061" s="8" t="s">
        <v>240</v>
      </c>
      <c r="J1061" s="16" t="s">
        <v>4301</v>
      </c>
      <c r="K1061" s="2" t="s">
        <v>590</v>
      </c>
      <c r="L1061" s="8" t="s">
        <v>4302</v>
      </c>
      <c r="M1061" s="8" t="s">
        <v>27</v>
      </c>
      <c r="N1061" s="2" t="s">
        <v>4303</v>
      </c>
      <c r="O1061" s="8" t="s">
        <v>1013</v>
      </c>
      <c r="P1061" s="8" t="s">
        <v>401</v>
      </c>
      <c r="Q1061" s="12" t="s">
        <v>4304</v>
      </c>
      <c r="R1061" s="8" t="s">
        <v>100</v>
      </c>
      <c r="S1061" s="7" t="s">
        <v>18</v>
      </c>
      <c r="T1061" s="6"/>
      <c r="U1061" s="8"/>
    </row>
    <row r="1062" spans="1:21" ht="13" customHeight="1">
      <c r="A1062" s="8" t="s">
        <v>4313</v>
      </c>
      <c r="B1062" s="16">
        <v>16</v>
      </c>
      <c r="C1062" s="8" t="s">
        <v>20</v>
      </c>
      <c r="D1062" s="8" t="s">
        <v>37</v>
      </c>
      <c r="E1062" s="8" t="s">
        <v>4314</v>
      </c>
      <c r="F1062" s="17">
        <v>42049</v>
      </c>
      <c r="G1062" s="8" t="s">
        <v>4315</v>
      </c>
      <c r="H1062" s="8" t="s">
        <v>528</v>
      </c>
      <c r="I1062" s="8" t="s">
        <v>52</v>
      </c>
      <c r="J1062" s="16" t="s">
        <v>4316</v>
      </c>
      <c r="K1062" s="2" t="s">
        <v>1596</v>
      </c>
      <c r="L1062" s="8" t="s">
        <v>231</v>
      </c>
      <c r="M1062" s="8" t="s">
        <v>27</v>
      </c>
      <c r="N1062" s="2" t="s">
        <v>4317</v>
      </c>
      <c r="O1062" s="8" t="s">
        <v>1013</v>
      </c>
      <c r="P1062" s="8" t="s">
        <v>401</v>
      </c>
      <c r="Q1062" s="12" t="s">
        <v>4318</v>
      </c>
      <c r="R1062" s="8" t="s">
        <v>100</v>
      </c>
      <c r="S1062" s="7" t="s">
        <v>28</v>
      </c>
      <c r="T1062" s="6"/>
      <c r="U1062" s="8"/>
    </row>
    <row r="1063" spans="1:21" ht="13" customHeight="1">
      <c r="A1063" s="8" t="s">
        <v>4305</v>
      </c>
      <c r="B1063" s="16">
        <v>51</v>
      </c>
      <c r="C1063" s="8" t="s">
        <v>20</v>
      </c>
      <c r="D1063" s="8" t="s">
        <v>37</v>
      </c>
      <c r="E1063" s="8" t="s">
        <v>20665</v>
      </c>
      <c r="F1063" s="17">
        <v>42049</v>
      </c>
      <c r="G1063" s="8" t="s">
        <v>4306</v>
      </c>
      <c r="H1063" s="8" t="s">
        <v>4307</v>
      </c>
      <c r="I1063" s="8" t="s">
        <v>73</v>
      </c>
      <c r="J1063" s="16" t="s">
        <v>4308</v>
      </c>
      <c r="K1063" s="2" t="s">
        <v>4309</v>
      </c>
      <c r="L1063" s="8" t="s">
        <v>4310</v>
      </c>
      <c r="M1063" s="8" t="s">
        <v>27</v>
      </c>
      <c r="N1063" s="2" t="s">
        <v>4311</v>
      </c>
      <c r="O1063" s="8" t="s">
        <v>550</v>
      </c>
      <c r="P1063" s="8" t="s">
        <v>401</v>
      </c>
      <c r="Q1063" s="12" t="s">
        <v>4312</v>
      </c>
      <c r="R1063" s="8" t="s">
        <v>100</v>
      </c>
      <c r="S1063" s="7" t="s">
        <v>28</v>
      </c>
      <c r="T1063" s="6"/>
      <c r="U1063" s="8"/>
    </row>
    <row r="1064" spans="1:21" ht="13" customHeight="1">
      <c r="A1064" s="8" t="s">
        <v>4319</v>
      </c>
      <c r="B1064" s="16">
        <v>21</v>
      </c>
      <c r="C1064" s="8" t="s">
        <v>20</v>
      </c>
      <c r="D1064" s="8" t="s">
        <v>48</v>
      </c>
      <c r="F1064" s="17">
        <v>42048</v>
      </c>
      <c r="G1064" s="8" t="s">
        <v>4320</v>
      </c>
      <c r="H1064" s="8" t="s">
        <v>430</v>
      </c>
      <c r="I1064" s="8" t="s">
        <v>363</v>
      </c>
      <c r="J1064" s="16" t="s">
        <v>4321</v>
      </c>
      <c r="K1064" s="2" t="s">
        <v>600</v>
      </c>
      <c r="L1064" s="8" t="s">
        <v>2126</v>
      </c>
      <c r="M1064" s="8" t="s">
        <v>27</v>
      </c>
      <c r="N1064" s="2" t="s">
        <v>4322</v>
      </c>
      <c r="O1064" s="8" t="s">
        <v>1013</v>
      </c>
      <c r="P1064" s="8" t="s">
        <v>401</v>
      </c>
      <c r="Q1064" s="12" t="s">
        <v>4323</v>
      </c>
      <c r="R1064" s="8" t="s">
        <v>29</v>
      </c>
      <c r="S1064" s="7" t="s">
        <v>28</v>
      </c>
      <c r="T1064" s="6"/>
      <c r="U1064" s="8"/>
    </row>
    <row r="1065" spans="1:21" ht="13" customHeight="1">
      <c r="A1065" s="8" t="s">
        <v>4324</v>
      </c>
      <c r="B1065" s="16">
        <v>37</v>
      </c>
      <c r="C1065" s="8" t="s">
        <v>20</v>
      </c>
      <c r="D1065" s="8" t="s">
        <v>48</v>
      </c>
      <c r="E1065" s="8" t="s">
        <v>4325</v>
      </c>
      <c r="F1065" s="17">
        <v>42048</v>
      </c>
      <c r="G1065" s="8" t="s">
        <v>4326</v>
      </c>
      <c r="H1065" s="8" t="s">
        <v>4327</v>
      </c>
      <c r="I1065" s="8" t="s">
        <v>123</v>
      </c>
      <c r="J1065" s="16" t="s">
        <v>4328</v>
      </c>
      <c r="K1065" s="2" t="s">
        <v>2400</v>
      </c>
      <c r="L1065" s="8" t="s">
        <v>2401</v>
      </c>
      <c r="M1065" s="8" t="s">
        <v>27</v>
      </c>
      <c r="N1065" s="2" t="s">
        <v>4329</v>
      </c>
      <c r="O1065" s="8" t="s">
        <v>1013</v>
      </c>
      <c r="P1065" s="8" t="s">
        <v>401</v>
      </c>
      <c r="Q1065" s="12" t="s">
        <v>4330</v>
      </c>
      <c r="R1065" s="8" t="s">
        <v>555</v>
      </c>
      <c r="S1065" s="7" t="s">
        <v>28</v>
      </c>
      <c r="T1065" s="6"/>
      <c r="U1065" s="8"/>
    </row>
    <row r="1066" spans="1:21" ht="13" customHeight="1">
      <c r="A1066" s="8" t="s">
        <v>4331</v>
      </c>
      <c r="B1066" s="16">
        <v>27</v>
      </c>
      <c r="C1066" s="8" t="s">
        <v>20</v>
      </c>
      <c r="D1066" s="8" t="s">
        <v>37</v>
      </c>
      <c r="F1066" s="17">
        <v>42048</v>
      </c>
      <c r="G1066" s="8" t="s">
        <v>4332</v>
      </c>
      <c r="H1066" s="8" t="s">
        <v>4333</v>
      </c>
      <c r="I1066" s="8" t="s">
        <v>319</v>
      </c>
      <c r="J1066" s="16" t="s">
        <v>4334</v>
      </c>
      <c r="K1066" s="2" t="s">
        <v>2086</v>
      </c>
      <c r="L1066" s="8" t="s">
        <v>4335</v>
      </c>
      <c r="M1066" s="8" t="s">
        <v>27</v>
      </c>
      <c r="N1066" s="2" t="s">
        <v>4336</v>
      </c>
      <c r="O1066" s="8" t="s">
        <v>1013</v>
      </c>
      <c r="P1066" s="8" t="s">
        <v>401</v>
      </c>
      <c r="Q1066" s="12" t="s">
        <v>4337</v>
      </c>
      <c r="R1066" s="8" t="s">
        <v>100</v>
      </c>
      <c r="S1066" s="7" t="s">
        <v>28</v>
      </c>
      <c r="T1066" s="6"/>
      <c r="U1066" s="8"/>
    </row>
    <row r="1067" spans="1:21" ht="13" customHeight="1">
      <c r="A1067" s="8" t="s">
        <v>4338</v>
      </c>
      <c r="B1067" s="16">
        <v>35</v>
      </c>
      <c r="C1067" s="8" t="s">
        <v>20</v>
      </c>
      <c r="D1067" s="8" t="s">
        <v>37</v>
      </c>
      <c r="E1067" s="8" t="s">
        <v>4339</v>
      </c>
      <c r="F1067" s="17">
        <v>42048</v>
      </c>
      <c r="G1067" s="8" t="s">
        <v>4340</v>
      </c>
      <c r="H1067" s="8" t="s">
        <v>4341</v>
      </c>
      <c r="I1067" s="8" t="s">
        <v>404</v>
      </c>
      <c r="J1067" s="16">
        <v>19606</v>
      </c>
      <c r="K1067" s="2" t="s">
        <v>4342</v>
      </c>
      <c r="L1067" s="8" t="s">
        <v>9400</v>
      </c>
      <c r="M1067" s="8" t="s">
        <v>27</v>
      </c>
      <c r="N1067" s="2" t="s">
        <v>4343</v>
      </c>
      <c r="O1067" s="8" t="s">
        <v>400</v>
      </c>
      <c r="P1067" s="8" t="s">
        <v>401</v>
      </c>
      <c r="Q1067" s="12" t="str">
        <f>HYPERLINK("http://touch.mcall.com/#section/-1/article/p2p-82809119/","http://touch.mcall.com/#section/-1/article/p2p-82809119/")</f>
        <v>http://touch.mcall.com/#section/-1/article/p2p-82809119/</v>
      </c>
      <c r="R1067" s="8" t="s">
        <v>100</v>
      </c>
      <c r="S1067" s="7" t="s">
        <v>35</v>
      </c>
      <c r="T1067" s="6"/>
      <c r="U1067" s="8"/>
    </row>
    <row r="1068" spans="1:21" ht="13" customHeight="1">
      <c r="A1068" s="8" t="s">
        <v>4344</v>
      </c>
      <c r="B1068" s="16">
        <v>23</v>
      </c>
      <c r="C1068" s="8" t="s">
        <v>20</v>
      </c>
      <c r="D1068" s="8" t="s">
        <v>37</v>
      </c>
      <c r="E1068" s="8" t="s">
        <v>4345</v>
      </c>
      <c r="F1068" s="17">
        <v>42048</v>
      </c>
      <c r="G1068" s="8" t="s">
        <v>4346</v>
      </c>
      <c r="H1068" s="8" t="s">
        <v>309</v>
      </c>
      <c r="I1068" s="8" t="s">
        <v>45</v>
      </c>
      <c r="J1068" s="16" t="s">
        <v>4347</v>
      </c>
      <c r="K1068" s="2" t="s">
        <v>309</v>
      </c>
      <c r="L1068" s="8" t="s">
        <v>4348</v>
      </c>
      <c r="M1068" s="8" t="s">
        <v>27</v>
      </c>
      <c r="N1068" s="2" t="s">
        <v>4349</v>
      </c>
      <c r="O1068" s="8" t="s">
        <v>1013</v>
      </c>
      <c r="P1068" s="8" t="s">
        <v>401</v>
      </c>
      <c r="Q1068" s="12" t="s">
        <v>4350</v>
      </c>
      <c r="R1068" s="8" t="s">
        <v>100</v>
      </c>
      <c r="S1068" s="7" t="s">
        <v>379</v>
      </c>
      <c r="T1068" s="6"/>
      <c r="U1068" s="8"/>
    </row>
    <row r="1069" spans="1:21" ht="13" customHeight="1">
      <c r="A1069" s="8" t="s">
        <v>4351</v>
      </c>
      <c r="B1069" s="16">
        <v>23</v>
      </c>
      <c r="C1069" s="8" t="s">
        <v>20</v>
      </c>
      <c r="D1069" s="8" t="s">
        <v>85</v>
      </c>
      <c r="E1069" s="8" t="s">
        <v>4352</v>
      </c>
      <c r="F1069" s="17">
        <v>42046</v>
      </c>
      <c r="G1069" s="8" t="s">
        <v>4353</v>
      </c>
      <c r="H1069" s="8" t="s">
        <v>608</v>
      </c>
      <c r="I1069" s="8" t="s">
        <v>45</v>
      </c>
      <c r="J1069" s="16" t="s">
        <v>4354</v>
      </c>
      <c r="K1069" s="2" t="s">
        <v>609</v>
      </c>
      <c r="L1069" s="8" t="s">
        <v>730</v>
      </c>
      <c r="M1069" s="8" t="s">
        <v>27</v>
      </c>
      <c r="N1069" s="2" t="s">
        <v>4355</v>
      </c>
      <c r="O1069" s="8" t="s">
        <v>1013</v>
      </c>
      <c r="P1069" s="8" t="s">
        <v>401</v>
      </c>
      <c r="Q1069" s="12" t="s">
        <v>4356</v>
      </c>
      <c r="R1069" s="8" t="s">
        <v>100</v>
      </c>
      <c r="S1069" s="7" t="s">
        <v>28</v>
      </c>
      <c r="T1069" s="6"/>
      <c r="U1069" s="8"/>
    </row>
    <row r="1070" spans="1:21" ht="13" customHeight="1">
      <c r="A1070" s="8" t="s">
        <v>4364</v>
      </c>
      <c r="B1070" s="16">
        <v>37</v>
      </c>
      <c r="C1070" s="8" t="s">
        <v>20</v>
      </c>
      <c r="D1070" s="8" t="s">
        <v>37</v>
      </c>
      <c r="E1070" s="8" t="s">
        <v>4365</v>
      </c>
      <c r="F1070" s="17">
        <v>42046</v>
      </c>
      <c r="G1070" s="8" t="s">
        <v>4366</v>
      </c>
      <c r="H1070" s="8" t="s">
        <v>4367</v>
      </c>
      <c r="I1070" s="8" t="s">
        <v>62</v>
      </c>
      <c r="J1070" s="16" t="s">
        <v>4368</v>
      </c>
      <c r="K1070" s="2" t="s">
        <v>4369</v>
      </c>
      <c r="L1070" s="8" t="s">
        <v>4370</v>
      </c>
      <c r="M1070" s="8" t="s">
        <v>27</v>
      </c>
      <c r="N1070" s="2" t="s">
        <v>4371</v>
      </c>
      <c r="O1070" s="8" t="s">
        <v>400</v>
      </c>
      <c r="P1070" s="8" t="s">
        <v>401</v>
      </c>
      <c r="Q1070" s="12" t="str">
        <f>HYPERLINK("http://www.starfl.com/news/local-news/officer-involved-shooting-under-investigation-1.440104","http://www.starfl.com/news/local-news/officer-involved-shooting-under-investigation-1.440104")</f>
        <v>http://www.starfl.com/news/local-news/officer-involved-shooting-under-investigation-1.440104</v>
      </c>
      <c r="R1070" s="8" t="s">
        <v>29</v>
      </c>
      <c r="S1070" s="7" t="s">
        <v>18</v>
      </c>
      <c r="T1070" s="6"/>
      <c r="U1070" s="8"/>
    </row>
    <row r="1071" spans="1:21" ht="13" customHeight="1">
      <c r="A1071" s="8" t="s">
        <v>4357</v>
      </c>
      <c r="B1071" s="16">
        <v>46</v>
      </c>
      <c r="C1071" s="8" t="s">
        <v>20</v>
      </c>
      <c r="D1071" s="8" t="s">
        <v>37</v>
      </c>
      <c r="F1071" s="17">
        <v>42046</v>
      </c>
      <c r="G1071" s="8" t="s">
        <v>4358</v>
      </c>
      <c r="H1071" s="8" t="s">
        <v>4359</v>
      </c>
      <c r="I1071" s="8" t="s">
        <v>94</v>
      </c>
      <c r="J1071" s="16">
        <v>36853</v>
      </c>
      <c r="K1071" s="2" t="s">
        <v>4360</v>
      </c>
      <c r="L1071" s="8" t="s">
        <v>4361</v>
      </c>
      <c r="M1071" s="8" t="s">
        <v>27</v>
      </c>
      <c r="N1071" s="2" t="s">
        <v>4362</v>
      </c>
      <c r="O1071" s="8" t="s">
        <v>400</v>
      </c>
      <c r="P1071" s="8" t="s">
        <v>401</v>
      </c>
      <c r="Q1071" s="12" t="s">
        <v>4363</v>
      </c>
      <c r="R1071" s="8" t="s">
        <v>555</v>
      </c>
      <c r="S1071" s="7" t="s">
        <v>18</v>
      </c>
      <c r="T1071" s="6"/>
      <c r="U1071" s="8"/>
    </row>
    <row r="1072" spans="1:21" ht="13" customHeight="1">
      <c r="A1072" s="8" t="s">
        <v>4372</v>
      </c>
      <c r="B1072" s="16">
        <v>48</v>
      </c>
      <c r="C1072" s="8" t="s">
        <v>20</v>
      </c>
      <c r="D1072" s="8" t="s">
        <v>85</v>
      </c>
      <c r="E1072" s="8" t="s">
        <v>4373</v>
      </c>
      <c r="F1072" s="17">
        <v>42045</v>
      </c>
      <c r="G1072" s="8" t="s">
        <v>4374</v>
      </c>
      <c r="H1072" s="8" t="s">
        <v>1195</v>
      </c>
      <c r="I1072" s="8" t="s">
        <v>319</v>
      </c>
      <c r="J1072" s="16" t="s">
        <v>4375</v>
      </c>
      <c r="K1072" s="2" t="s">
        <v>1196</v>
      </c>
      <c r="L1072" s="8" t="s">
        <v>1197</v>
      </c>
      <c r="M1072" s="8" t="s">
        <v>27</v>
      </c>
      <c r="N1072" s="2" t="s">
        <v>4376</v>
      </c>
      <c r="O1072" s="8" t="s">
        <v>1013</v>
      </c>
      <c r="P1072" s="8" t="s">
        <v>401</v>
      </c>
      <c r="Q1072" s="12" t="s">
        <v>4377</v>
      </c>
      <c r="R1072" s="8" t="s">
        <v>29</v>
      </c>
      <c r="S1072" s="7" t="s">
        <v>28</v>
      </c>
      <c r="T1072" s="6"/>
      <c r="U1072" s="8"/>
    </row>
    <row r="1073" spans="1:34" ht="13" customHeight="1">
      <c r="A1073" s="8" t="s">
        <v>4378</v>
      </c>
      <c r="B1073" s="16">
        <v>35</v>
      </c>
      <c r="C1073" s="8" t="s">
        <v>20</v>
      </c>
      <c r="D1073" s="8" t="s">
        <v>48</v>
      </c>
      <c r="E1073" s="8" t="s">
        <v>4379</v>
      </c>
      <c r="F1073" s="17">
        <v>42045</v>
      </c>
      <c r="G1073" s="8" t="s">
        <v>4380</v>
      </c>
      <c r="H1073" s="8" t="s">
        <v>4381</v>
      </c>
      <c r="I1073" s="8" t="s">
        <v>303</v>
      </c>
      <c r="J1073" s="16" t="s">
        <v>4382</v>
      </c>
      <c r="K1073" s="2" t="s">
        <v>1291</v>
      </c>
      <c r="L1073" s="8" t="s">
        <v>4383</v>
      </c>
      <c r="M1073" s="8" t="s">
        <v>27</v>
      </c>
      <c r="N1073" s="2" t="s">
        <v>4384</v>
      </c>
      <c r="O1073" s="8" t="s">
        <v>400</v>
      </c>
      <c r="P1073" s="8" t="s">
        <v>401</v>
      </c>
      <c r="Q1073" s="12" t="s">
        <v>4385</v>
      </c>
      <c r="R1073" s="8" t="s">
        <v>555</v>
      </c>
      <c r="S1073" s="7" t="s">
        <v>18</v>
      </c>
      <c r="T1073" s="6"/>
      <c r="U1073" s="8"/>
    </row>
    <row r="1074" spans="1:34" ht="13" customHeight="1">
      <c r="A1074" s="8" t="s">
        <v>4386</v>
      </c>
      <c r="B1074" s="16">
        <v>45</v>
      </c>
      <c r="C1074" s="8" t="s">
        <v>20</v>
      </c>
      <c r="D1074" s="8" t="s">
        <v>37</v>
      </c>
      <c r="E1074" s="8" t="s">
        <v>4387</v>
      </c>
      <c r="F1074" s="17">
        <v>42045</v>
      </c>
      <c r="G1074" s="8" t="s">
        <v>4388</v>
      </c>
      <c r="H1074" s="8" t="s">
        <v>4389</v>
      </c>
      <c r="I1074" s="8" t="s">
        <v>209</v>
      </c>
      <c r="J1074" s="16" t="s">
        <v>4390</v>
      </c>
      <c r="K1074" s="2" t="s">
        <v>4391</v>
      </c>
      <c r="L1074" s="8" t="s">
        <v>4392</v>
      </c>
      <c r="M1074" s="8" t="s">
        <v>27</v>
      </c>
      <c r="N1074" s="2" t="s">
        <v>4393</v>
      </c>
      <c r="O1074" s="8" t="s">
        <v>400</v>
      </c>
      <c r="P1074" s="8" t="s">
        <v>401</v>
      </c>
      <c r="Q1074" s="12" t="s">
        <v>4394</v>
      </c>
      <c r="R1074" s="8" t="s">
        <v>29</v>
      </c>
      <c r="S1074" s="7" t="s">
        <v>28</v>
      </c>
      <c r="T1074" s="6"/>
      <c r="U1074" s="8"/>
    </row>
    <row r="1075" spans="1:34" ht="13" customHeight="1">
      <c r="A1075" s="8" t="s">
        <v>4395</v>
      </c>
      <c r="B1075" s="16">
        <v>61</v>
      </c>
      <c r="C1075" s="8" t="s">
        <v>20</v>
      </c>
      <c r="D1075" s="8" t="s">
        <v>37</v>
      </c>
      <c r="E1075" s="8" t="s">
        <v>4396</v>
      </c>
      <c r="F1075" s="17">
        <v>42045</v>
      </c>
      <c r="G1075" s="8" t="s">
        <v>4397</v>
      </c>
      <c r="H1075" s="8" t="s">
        <v>4398</v>
      </c>
      <c r="I1075" s="8" t="s">
        <v>4399</v>
      </c>
      <c r="J1075" s="16" t="s">
        <v>4400</v>
      </c>
      <c r="K1075" s="2" t="s">
        <v>4401</v>
      </c>
      <c r="L1075" s="8" t="s">
        <v>4402</v>
      </c>
      <c r="M1075" s="8" t="s">
        <v>27</v>
      </c>
      <c r="N1075" s="2" t="s">
        <v>4403</v>
      </c>
      <c r="O1075" s="8" t="s">
        <v>1013</v>
      </c>
      <c r="P1075" s="8" t="s">
        <v>401</v>
      </c>
      <c r="Q1075" s="12" t="s">
        <v>4404</v>
      </c>
      <c r="R1075" s="8" t="s">
        <v>555</v>
      </c>
      <c r="S1075" s="7" t="s">
        <v>28</v>
      </c>
      <c r="T1075" s="6"/>
      <c r="U1075" s="8"/>
    </row>
    <row r="1076" spans="1:34" ht="13" customHeight="1">
      <c r="A1076" s="8" t="s">
        <v>4405</v>
      </c>
      <c r="B1076" s="16">
        <v>45</v>
      </c>
      <c r="C1076" s="8" t="s">
        <v>20</v>
      </c>
      <c r="D1076" s="8" t="s">
        <v>85</v>
      </c>
      <c r="E1076" s="8" t="s">
        <v>4406</v>
      </c>
      <c r="F1076" s="17">
        <v>42044</v>
      </c>
      <c r="G1076" s="8" t="s">
        <v>4407</v>
      </c>
      <c r="H1076" s="8" t="s">
        <v>285</v>
      </c>
      <c r="I1076" s="8" t="s">
        <v>73</v>
      </c>
      <c r="J1076" s="16" t="s">
        <v>4408</v>
      </c>
      <c r="K1076" s="2" t="s">
        <v>285</v>
      </c>
      <c r="L1076" s="8" t="s">
        <v>286</v>
      </c>
      <c r="M1076" s="8" t="s">
        <v>27</v>
      </c>
      <c r="N1076" s="2" t="s">
        <v>21626</v>
      </c>
      <c r="O1076" s="8" t="s">
        <v>1013</v>
      </c>
      <c r="P1076" s="8" t="s">
        <v>401</v>
      </c>
      <c r="Q1076" s="12" t="str">
        <f>HYPERLINK("http://crimeblog.dallasnews.com/2015/02/live-video-dallas-police-on-the-scene-of-officer-involved-shooting-at-bonnie-view-and-i-20.html/","http://crimeblog.dallasnews.com/2015/02/live-video-dallas-police-on-the-scene-of-officer-involved-shooting-at-bonnie-view-and-i-20.html/")</f>
        <v>http://crimeblog.dallasnews.com/2015/02/live-video-dallas-police-on-the-scene-of-officer-involved-shooting-at-bonnie-view-and-i-20.html/</v>
      </c>
      <c r="R1076" s="8" t="s">
        <v>100</v>
      </c>
      <c r="S1076" s="7" t="s">
        <v>379</v>
      </c>
      <c r="T1076" s="6"/>
      <c r="U1076" s="8"/>
    </row>
    <row r="1077" spans="1:34" ht="13" customHeight="1">
      <c r="A1077" s="8" t="s">
        <v>4409</v>
      </c>
      <c r="B1077" s="16">
        <v>27</v>
      </c>
      <c r="C1077" s="8" t="s">
        <v>20</v>
      </c>
      <c r="D1077" s="8" t="s">
        <v>30</v>
      </c>
      <c r="F1077" s="17">
        <v>42044</v>
      </c>
      <c r="G1077" s="8" t="s">
        <v>4410</v>
      </c>
      <c r="H1077" s="8" t="s">
        <v>1821</v>
      </c>
      <c r="I1077" s="8" t="s">
        <v>62</v>
      </c>
      <c r="J1077" s="16" t="s">
        <v>4411</v>
      </c>
      <c r="K1077" s="2" t="s">
        <v>1127</v>
      </c>
      <c r="L1077" s="8" t="s">
        <v>4412</v>
      </c>
      <c r="M1077" s="8" t="s">
        <v>9536</v>
      </c>
      <c r="N1077" s="2" t="s">
        <v>4413</v>
      </c>
      <c r="O1077" s="8" t="s">
        <v>1013</v>
      </c>
      <c r="P1077" s="8" t="s">
        <v>401</v>
      </c>
      <c r="Q1077" s="12" t="s">
        <v>4414</v>
      </c>
      <c r="R1077" s="8" t="s">
        <v>100</v>
      </c>
      <c r="S1077" s="7" t="s">
        <v>18</v>
      </c>
      <c r="T1077" s="6"/>
      <c r="U1077" s="8"/>
    </row>
    <row r="1078" spans="1:34" ht="13" customHeight="1">
      <c r="A1078" s="8" t="s">
        <v>4421</v>
      </c>
      <c r="B1078" s="16">
        <v>41</v>
      </c>
      <c r="C1078" s="8" t="s">
        <v>20</v>
      </c>
      <c r="D1078" s="8" t="s">
        <v>30</v>
      </c>
      <c r="E1078" s="8" t="s">
        <v>4422</v>
      </c>
      <c r="F1078" s="17">
        <v>42044</v>
      </c>
      <c r="G1078" s="8" t="s">
        <v>4423</v>
      </c>
      <c r="H1078" s="8" t="s">
        <v>4424</v>
      </c>
      <c r="I1078" s="8" t="s">
        <v>73</v>
      </c>
      <c r="J1078" s="16" t="s">
        <v>4425</v>
      </c>
      <c r="K1078" s="2" t="s">
        <v>4426</v>
      </c>
      <c r="L1078" s="8" t="s">
        <v>4427</v>
      </c>
      <c r="M1078" s="8" t="s">
        <v>27</v>
      </c>
      <c r="N1078" s="2" t="s">
        <v>4428</v>
      </c>
      <c r="O1078" s="8" t="s">
        <v>400</v>
      </c>
      <c r="P1078" s="8" t="s">
        <v>401</v>
      </c>
      <c r="Q1078" s="12" t="str">
        <f>HYPERLINK("http://www.cbsnews.com/news/texas-officer-responding-to-home-fatally-shoots-off-duty-deputy/","http://www.cbsnews.com/news/texas-officer-responding-to-home-fatally-shoots-off-duty-deputy/")</f>
        <v>http://www.cbsnews.com/news/texas-officer-responding-to-home-fatally-shoots-off-duty-deputy/</v>
      </c>
      <c r="R1078" s="8" t="s">
        <v>29</v>
      </c>
      <c r="S1078" s="7" t="s">
        <v>28</v>
      </c>
      <c r="T1078" s="6"/>
      <c r="U1078" s="8"/>
    </row>
    <row r="1079" spans="1:34" ht="13" customHeight="1">
      <c r="A1079" s="8" t="s">
        <v>4429</v>
      </c>
      <c r="B1079" s="16">
        <v>57</v>
      </c>
      <c r="C1079" s="8" t="s">
        <v>20</v>
      </c>
      <c r="D1079" s="8" t="s">
        <v>37</v>
      </c>
      <c r="E1079" s="8" t="s">
        <v>4430</v>
      </c>
      <c r="F1079" s="17">
        <v>42044</v>
      </c>
      <c r="G1079" s="8" t="s">
        <v>4431</v>
      </c>
      <c r="H1079" s="8" t="s">
        <v>4432</v>
      </c>
      <c r="I1079" s="8" t="s">
        <v>423</v>
      </c>
      <c r="J1079" s="16" t="s">
        <v>4433</v>
      </c>
      <c r="K1079" s="2" t="s">
        <v>4434</v>
      </c>
      <c r="L1079" s="8" t="s">
        <v>4435</v>
      </c>
      <c r="M1079" s="8" t="s">
        <v>27</v>
      </c>
      <c r="N1079" s="2" t="s">
        <v>4436</v>
      </c>
      <c r="O1079" s="8" t="s">
        <v>1013</v>
      </c>
      <c r="P1079" s="8" t="s">
        <v>401</v>
      </c>
      <c r="Q1079" s="12" t="s">
        <v>4430</v>
      </c>
      <c r="R1079" s="8" t="s">
        <v>967</v>
      </c>
      <c r="S1079" s="7" t="s">
        <v>28</v>
      </c>
      <c r="T1079" s="6"/>
      <c r="U1079" s="8"/>
    </row>
    <row r="1080" spans="1:34" ht="13" customHeight="1">
      <c r="A1080" s="8" t="s">
        <v>4415</v>
      </c>
      <c r="B1080" s="16">
        <v>64</v>
      </c>
      <c r="C1080" s="8" t="s">
        <v>20</v>
      </c>
      <c r="D1080" s="8" t="s">
        <v>37</v>
      </c>
      <c r="F1080" s="17">
        <v>42044</v>
      </c>
      <c r="G1080" s="8" t="s">
        <v>4416</v>
      </c>
      <c r="H1080" s="8" t="s">
        <v>4417</v>
      </c>
      <c r="I1080" s="8" t="s">
        <v>45</v>
      </c>
      <c r="J1080" s="16" t="s">
        <v>4418</v>
      </c>
      <c r="K1080" s="2" t="s">
        <v>98</v>
      </c>
      <c r="L1080" s="8" t="s">
        <v>99</v>
      </c>
      <c r="M1080" s="8" t="s">
        <v>379</v>
      </c>
      <c r="N1080" s="2" t="s">
        <v>4419</v>
      </c>
      <c r="O1080" s="8" t="s">
        <v>1013</v>
      </c>
      <c r="P1080" s="8" t="s">
        <v>401</v>
      </c>
      <c r="Q1080" s="12" t="s">
        <v>4420</v>
      </c>
      <c r="R1080" s="8" t="s">
        <v>100</v>
      </c>
      <c r="S1080" s="7" t="s">
        <v>18</v>
      </c>
      <c r="T1080" s="6"/>
      <c r="U1080" s="8"/>
    </row>
    <row r="1081" spans="1:34" ht="13" customHeight="1">
      <c r="A1081" s="8" t="s">
        <v>4451</v>
      </c>
      <c r="B1081" s="16">
        <v>46</v>
      </c>
      <c r="C1081" s="8" t="s">
        <v>20</v>
      </c>
      <c r="D1081" s="8" t="s">
        <v>85</v>
      </c>
      <c r="E1081" s="8" t="str">
        <f>HYPERLINK("http://www.trbimg.com/img-54da5444/turbine/os-joseph-paffen-20150210/243/243x137","http://www.trbimg.com/img-54da5444/turbine/os-joseph-paffen-20150210/243/243x137")</f>
        <v>http://www.trbimg.com/img-54da5444/turbine/os-joseph-paffen-20150210/243/243x137</v>
      </c>
      <c r="F1081" s="17">
        <v>42043</v>
      </c>
      <c r="G1081" s="8" t="s">
        <v>4452</v>
      </c>
      <c r="H1081" s="8" t="s">
        <v>1063</v>
      </c>
      <c r="I1081" s="8" t="s">
        <v>62</v>
      </c>
      <c r="J1081" s="16">
        <v>32812</v>
      </c>
      <c r="K1081" s="2" t="s">
        <v>1064</v>
      </c>
      <c r="L1081" s="8" t="s">
        <v>4453</v>
      </c>
      <c r="M1081" s="8" t="s">
        <v>27</v>
      </c>
      <c r="N1081" s="2" t="s">
        <v>4454</v>
      </c>
      <c r="O1081" s="8" t="s">
        <v>400</v>
      </c>
      <c r="P1081" s="8" t="s">
        <v>401</v>
      </c>
      <c r="Q1081" s="12" t="str">
        <f>HYPERLINK("http://www.orlandosentinel.com/news/breaking-news/os-sovereign-citizen-deputy-shooting-20150210-story.html","http://www.orlandosentinel.com/news/breaking-news/os-sovereign-citizen-deputy-shooting-20150210-story.html")</f>
        <v>http://www.orlandosentinel.com/news/breaking-news/os-sovereign-citizen-deputy-shooting-20150210-story.html</v>
      </c>
      <c r="R1081" s="8" t="s">
        <v>29</v>
      </c>
      <c r="S1081" s="7" t="s">
        <v>28</v>
      </c>
      <c r="T1081" s="6"/>
      <c r="U1081" s="8"/>
    </row>
    <row r="1082" spans="1:34" ht="13" customHeight="1">
      <c r="A1082" s="8" t="s">
        <v>4437</v>
      </c>
      <c r="B1082" s="16">
        <v>37</v>
      </c>
      <c r="C1082" s="8" t="s">
        <v>114</v>
      </c>
      <c r="D1082" s="8" t="s">
        <v>85</v>
      </c>
      <c r="E1082" s="8" t="s">
        <v>4438</v>
      </c>
      <c r="F1082" s="17">
        <v>42043</v>
      </c>
      <c r="G1082" s="8" t="s">
        <v>4439</v>
      </c>
      <c r="H1082" s="8" t="s">
        <v>4440</v>
      </c>
      <c r="I1082" s="8" t="s">
        <v>244</v>
      </c>
      <c r="J1082" s="16">
        <v>22030</v>
      </c>
      <c r="K1082" s="2" t="s">
        <v>4440</v>
      </c>
      <c r="L1082" s="8" t="s">
        <v>4441</v>
      </c>
      <c r="M1082" s="8" t="s">
        <v>391</v>
      </c>
      <c r="N1082" s="2" t="s">
        <v>4442</v>
      </c>
      <c r="P1082" s="8" t="s">
        <v>401</v>
      </c>
      <c r="Q1082" s="12" t="str">
        <f>HYPERLINK("http://www.washingtonpost.com/local/crime/woman-dies-after-a-stun-gun-was-used-on-her-in-the-fairfax-county-jail/2015/02/08/14a7f498-4987-4e47-be50-5d31b39825ef_story.html","http://www.washingtonpost.com/local/crime/woman-dies-after-a-stun-gun-was-used-on-her-in-the-fairfax-county-jail/2015/02/08/14a7f498-4987-4e47-be50-5d31b39825ef_story.html")</f>
        <v>http://www.washingtonpost.com/local/crime/woman-dies-after-a-stun-gun-was-used-on-her-in-the-fairfax-county-jail/2015/02/08/14a7f498-4987-4e47-be50-5d31b39825ef_story.html</v>
      </c>
      <c r="S1082" s="7" t="s">
        <v>18</v>
      </c>
      <c r="T1082" s="6"/>
      <c r="U1082" s="8"/>
    </row>
    <row r="1083" spans="1:34" ht="13" customHeight="1">
      <c r="A1083" s="8" t="s">
        <v>4443</v>
      </c>
      <c r="B1083" s="16">
        <v>33</v>
      </c>
      <c r="C1083" s="8" t="s">
        <v>20</v>
      </c>
      <c r="D1083" s="8" t="s">
        <v>48</v>
      </c>
      <c r="E1083" s="8" t="s">
        <v>4444</v>
      </c>
      <c r="F1083" s="17">
        <v>42043</v>
      </c>
      <c r="G1083" s="8" t="s">
        <v>4445</v>
      </c>
      <c r="H1083" s="8" t="s">
        <v>4446</v>
      </c>
      <c r="I1083" s="8" t="s">
        <v>330</v>
      </c>
      <c r="J1083" s="16" t="s">
        <v>4447</v>
      </c>
      <c r="K1083" s="2" t="s">
        <v>4446</v>
      </c>
      <c r="L1083" s="8" t="s">
        <v>4448</v>
      </c>
      <c r="M1083" s="8" t="s">
        <v>27</v>
      </c>
      <c r="N1083" s="2" t="s">
        <v>4449</v>
      </c>
      <c r="O1083" s="8" t="s">
        <v>1013</v>
      </c>
      <c r="P1083" s="8" t="s">
        <v>401</v>
      </c>
      <c r="Q1083" s="12" t="s">
        <v>4450</v>
      </c>
      <c r="R1083" s="8" t="s">
        <v>100</v>
      </c>
      <c r="S1083" s="7" t="s">
        <v>28</v>
      </c>
      <c r="T1083" s="6"/>
      <c r="U1083" s="8"/>
      <c r="Y1083" s="8"/>
      <c r="Z1083" s="8"/>
      <c r="AA1083" s="8"/>
      <c r="AB1083" s="8"/>
      <c r="AC1083" s="8"/>
      <c r="AD1083" s="8"/>
      <c r="AE1083" s="8"/>
      <c r="AF1083" s="8"/>
      <c r="AG1083" s="8"/>
      <c r="AH1083" s="8"/>
    </row>
    <row r="1084" spans="1:34" ht="13" customHeight="1">
      <c r="A1084" s="8" t="s">
        <v>4455</v>
      </c>
      <c r="B1084" s="16">
        <v>27</v>
      </c>
      <c r="C1084" s="8" t="s">
        <v>20</v>
      </c>
      <c r="D1084" s="8" t="s">
        <v>37</v>
      </c>
      <c r="E1084" s="8" t="s">
        <v>4456</v>
      </c>
      <c r="F1084" s="17">
        <v>42043</v>
      </c>
      <c r="G1084" s="8" t="s">
        <v>4457</v>
      </c>
      <c r="H1084" s="8" t="s">
        <v>1316</v>
      </c>
      <c r="I1084" s="8" t="s">
        <v>73</v>
      </c>
      <c r="J1084" s="16" t="s">
        <v>4458</v>
      </c>
      <c r="K1084" s="2" t="s">
        <v>1317</v>
      </c>
      <c r="L1084" s="8" t="s">
        <v>1318</v>
      </c>
      <c r="M1084" s="8" t="s">
        <v>27</v>
      </c>
      <c r="N1084" s="2" t="s">
        <v>4459</v>
      </c>
      <c r="O1084" s="8" t="s">
        <v>400</v>
      </c>
      <c r="P1084" s="8" t="s">
        <v>401</v>
      </c>
      <c r="Q1084" s="12" t="s">
        <v>4460</v>
      </c>
      <c r="R1084" s="8" t="s">
        <v>29</v>
      </c>
      <c r="S1084" s="7" t="s">
        <v>28</v>
      </c>
      <c r="T1084" s="6"/>
      <c r="U1084" s="8"/>
      <c r="Y1084" s="8"/>
      <c r="Z1084" s="8"/>
      <c r="AA1084" s="8"/>
      <c r="AB1084" s="8"/>
      <c r="AC1084" s="8"/>
      <c r="AD1084" s="8"/>
      <c r="AE1084" s="8"/>
      <c r="AF1084" s="8"/>
      <c r="AG1084" s="8"/>
      <c r="AH1084" s="8"/>
    </row>
    <row r="1085" spans="1:34" ht="13" customHeight="1">
      <c r="A1085" s="8" t="s">
        <v>4461</v>
      </c>
      <c r="B1085" s="16">
        <v>74</v>
      </c>
      <c r="C1085" s="8" t="s">
        <v>20</v>
      </c>
      <c r="D1085" s="8" t="s">
        <v>85</v>
      </c>
      <c r="F1085" s="17">
        <v>42042</v>
      </c>
      <c r="G1085" s="8" t="s">
        <v>4462</v>
      </c>
      <c r="H1085" s="8" t="s">
        <v>837</v>
      </c>
      <c r="I1085" s="8" t="s">
        <v>366</v>
      </c>
      <c r="J1085" s="16">
        <v>28052</v>
      </c>
      <c r="K1085" s="2" t="s">
        <v>4463</v>
      </c>
      <c r="L1085" s="8" t="s">
        <v>4252</v>
      </c>
      <c r="M1085" s="8" t="s">
        <v>27</v>
      </c>
      <c r="N1085" s="2" t="s">
        <v>4464</v>
      </c>
      <c r="O1085" s="8" t="s">
        <v>400</v>
      </c>
      <c r="P1085" s="8" t="s">
        <v>401</v>
      </c>
      <c r="Q1085" s="12" t="str">
        <f>HYPERLINK("http://www.wcnc.com/story/news/crime/2015/02/08/gastoina-police-officer-involved-in-deadly-shooting/23075073/","http://www.wcnc.com/story/news/crime/2015/02/08/gastoina-police-officer-involved-in-deadly-shooting/23075073/")</f>
        <v>http://www.wcnc.com/story/news/crime/2015/02/08/gastoina-police-officer-involved-in-deadly-shooting/23075073/</v>
      </c>
      <c r="R1085" s="8" t="s">
        <v>100</v>
      </c>
      <c r="S1085" s="7" t="s">
        <v>28</v>
      </c>
      <c r="T1085" s="6"/>
      <c r="U1085" s="8"/>
    </row>
    <row r="1086" spans="1:34" ht="13" customHeight="1">
      <c r="A1086" s="8" t="s">
        <v>4465</v>
      </c>
      <c r="B1086" s="16">
        <v>31</v>
      </c>
      <c r="C1086" s="8" t="s">
        <v>20</v>
      </c>
      <c r="D1086" s="8" t="s">
        <v>37</v>
      </c>
      <c r="E1086" s="8" t="s">
        <v>4466</v>
      </c>
      <c r="F1086" s="17">
        <v>42042</v>
      </c>
      <c r="G1086" s="8" t="s">
        <v>4467</v>
      </c>
      <c r="H1086" s="8" t="s">
        <v>4468</v>
      </c>
      <c r="I1086" s="8" t="s">
        <v>57</v>
      </c>
      <c r="J1086" s="16">
        <v>49548</v>
      </c>
      <c r="K1086" s="2" t="s">
        <v>2544</v>
      </c>
      <c r="L1086" s="8" t="s">
        <v>4469</v>
      </c>
      <c r="M1086" s="8" t="s">
        <v>27</v>
      </c>
      <c r="N1086" s="2" t="s">
        <v>4470</v>
      </c>
      <c r="P1086" s="8" t="s">
        <v>401</v>
      </c>
      <c r="Q1086" s="12" t="str">
        <f>HYPERLINK("http://woodtv.com/2015/02/07/suspect-in-officer-shooting-to-be-taken-off-life-support/","http://woodtv.com/2015/02/07/suspect-in-officer-shooting-to-be-taken-off-life-support/")</f>
        <v>http://woodtv.com/2015/02/07/suspect-in-officer-shooting-to-be-taken-off-life-support/</v>
      </c>
      <c r="S1086" s="7" t="s">
        <v>28</v>
      </c>
      <c r="T1086" s="6"/>
      <c r="U1086" s="8"/>
      <c r="V1086" s="8"/>
      <c r="W1086" s="8"/>
      <c r="X1086" s="8"/>
    </row>
    <row r="1087" spans="1:34" ht="13" customHeight="1">
      <c r="A1087" s="8" t="s">
        <v>4471</v>
      </c>
      <c r="B1087" s="16">
        <v>26</v>
      </c>
      <c r="C1087" s="8" t="s">
        <v>20</v>
      </c>
      <c r="D1087" s="8" t="s">
        <v>85</v>
      </c>
      <c r="E1087" s="8" t="s">
        <v>4472</v>
      </c>
      <c r="F1087" s="17">
        <v>42041</v>
      </c>
      <c r="G1087" s="8" t="s">
        <v>4473</v>
      </c>
      <c r="H1087" s="8" t="s">
        <v>1097</v>
      </c>
      <c r="I1087" s="8" t="s">
        <v>395</v>
      </c>
      <c r="J1087" s="16" t="s">
        <v>4474</v>
      </c>
      <c r="K1087" s="2" t="s">
        <v>1098</v>
      </c>
      <c r="L1087" s="8" t="s">
        <v>1099</v>
      </c>
      <c r="M1087" s="8" t="s">
        <v>27</v>
      </c>
      <c r="N1087" s="2" t="s">
        <v>4475</v>
      </c>
      <c r="O1087" s="8" t="s">
        <v>1013</v>
      </c>
      <c r="P1087" s="8" t="s">
        <v>401</v>
      </c>
      <c r="Q1087" s="12" t="s">
        <v>4476</v>
      </c>
      <c r="R1087" s="8" t="s">
        <v>100</v>
      </c>
      <c r="S1087" s="7" t="s">
        <v>28</v>
      </c>
      <c r="T1087" s="6"/>
      <c r="U1087" s="8"/>
    </row>
    <row r="1088" spans="1:34" ht="13" customHeight="1">
      <c r="A1088" s="8" t="s">
        <v>4477</v>
      </c>
      <c r="B1088" s="16">
        <v>36</v>
      </c>
      <c r="C1088" s="8" t="s">
        <v>20</v>
      </c>
      <c r="D1088" s="8" t="s">
        <v>37</v>
      </c>
      <c r="F1088" s="17">
        <v>42040</v>
      </c>
      <c r="G1088" s="8" t="s">
        <v>4478</v>
      </c>
      <c r="H1088" s="8" t="s">
        <v>4479</v>
      </c>
      <c r="I1088" s="8" t="s">
        <v>45</v>
      </c>
      <c r="J1088" s="16" t="s">
        <v>4480</v>
      </c>
      <c r="K1088" s="2" t="s">
        <v>786</v>
      </c>
      <c r="L1088" s="8" t="s">
        <v>787</v>
      </c>
      <c r="M1088" s="8" t="s">
        <v>27</v>
      </c>
      <c r="N1088" s="2" t="s">
        <v>4482</v>
      </c>
      <c r="O1088" s="8" t="s">
        <v>1013</v>
      </c>
      <c r="P1088" s="8" t="s">
        <v>401</v>
      </c>
      <c r="Q1088" s="12" t="s">
        <v>4483</v>
      </c>
      <c r="R1088" s="8" t="s">
        <v>100</v>
      </c>
      <c r="S1088" s="7" t="s">
        <v>28</v>
      </c>
      <c r="T1088" s="6"/>
      <c r="U1088" s="8"/>
    </row>
    <row r="1089" spans="1:21" ht="13" customHeight="1">
      <c r="A1089" s="8" t="s">
        <v>4484</v>
      </c>
      <c r="B1089" s="16">
        <v>36</v>
      </c>
      <c r="C1089" s="8" t="s">
        <v>20</v>
      </c>
      <c r="D1089" s="8" t="s">
        <v>85</v>
      </c>
      <c r="E1089" s="8" t="s">
        <v>4485</v>
      </c>
      <c r="F1089" s="17">
        <v>42039</v>
      </c>
      <c r="G1089" s="8" t="s">
        <v>4486</v>
      </c>
      <c r="H1089" s="8" t="s">
        <v>1195</v>
      </c>
      <c r="I1089" s="8" t="s">
        <v>319</v>
      </c>
      <c r="J1089" s="16" t="s">
        <v>4487</v>
      </c>
      <c r="K1089" s="2" t="s">
        <v>1196</v>
      </c>
      <c r="L1089" s="8" t="s">
        <v>5671</v>
      </c>
      <c r="M1089" s="8" t="s">
        <v>27</v>
      </c>
      <c r="N1089" s="2" t="s">
        <v>4488</v>
      </c>
      <c r="O1089" s="8" t="s">
        <v>1013</v>
      </c>
      <c r="P1089" s="8" t="s">
        <v>401</v>
      </c>
      <c r="Q1089" s="12" t="s">
        <v>4489</v>
      </c>
      <c r="R1089" s="8" t="s">
        <v>100</v>
      </c>
      <c r="S1089" s="7" t="s">
        <v>28</v>
      </c>
      <c r="T1089" s="6"/>
      <c r="U1089" s="8"/>
    </row>
    <row r="1090" spans="1:21" ht="13" customHeight="1">
      <c r="A1090" s="8" t="s">
        <v>4490</v>
      </c>
      <c r="B1090" s="16">
        <v>51</v>
      </c>
      <c r="C1090" s="8" t="s">
        <v>20</v>
      </c>
      <c r="D1090" s="8" t="s">
        <v>85</v>
      </c>
      <c r="E1090" s="8" t="s">
        <v>4491</v>
      </c>
      <c r="F1090" s="17">
        <v>42039</v>
      </c>
      <c r="G1090" s="8" t="s">
        <v>4492</v>
      </c>
      <c r="H1090" s="8" t="s">
        <v>4493</v>
      </c>
      <c r="I1090" s="8" t="s">
        <v>73</v>
      </c>
      <c r="J1090" s="16" t="s">
        <v>4494</v>
      </c>
      <c r="K1090" s="2" t="s">
        <v>803</v>
      </c>
      <c r="L1090" s="8" t="s">
        <v>804</v>
      </c>
      <c r="M1090" s="8" t="s">
        <v>27</v>
      </c>
      <c r="N1090" s="2" t="s">
        <v>4495</v>
      </c>
      <c r="O1090" s="8" t="s">
        <v>1013</v>
      </c>
      <c r="P1090" s="8" t="s">
        <v>401</v>
      </c>
      <c r="Q1090" s="12" t="str">
        <f>HYPERLINK("http://www.wacotrib.com/news/traffic/officers-shoot-kill-suspected-waco-area-robber-after-high-speed/article_0ad98762-1641-5888-80b2-3797f0b5c9f6.html","http://www.wacotrib.com/news/traffic/officers-shoot-kill-suspected-waco-area-robber-after-high-speed/article_0ad98762-1641-5888-80b2-3797f0b5c9f6.html")</f>
        <v>http://www.wacotrib.com/news/traffic/officers-shoot-kill-suspected-waco-area-robber-after-high-speed/article_0ad98762-1641-5888-80b2-3797f0b5c9f6.html</v>
      </c>
      <c r="R1090" s="8" t="s">
        <v>100</v>
      </c>
      <c r="S1090" s="7" t="s">
        <v>28</v>
      </c>
      <c r="T1090" s="6"/>
      <c r="U1090" s="8"/>
    </row>
    <row r="1091" spans="1:21" ht="13" customHeight="1">
      <c r="A1091" s="8" t="s">
        <v>4513</v>
      </c>
      <c r="B1091" s="16">
        <v>28</v>
      </c>
      <c r="C1091" s="8" t="s">
        <v>20</v>
      </c>
      <c r="D1091" s="8" t="s">
        <v>85</v>
      </c>
      <c r="E1091" s="8" t="s">
        <v>20660</v>
      </c>
      <c r="F1091" s="17">
        <v>42039</v>
      </c>
      <c r="G1091" s="8" t="s">
        <v>4514</v>
      </c>
      <c r="H1091" s="8" t="s">
        <v>3518</v>
      </c>
      <c r="I1091" s="8" t="s">
        <v>62</v>
      </c>
      <c r="J1091" s="16" t="s">
        <v>3519</v>
      </c>
      <c r="K1091" s="2" t="s">
        <v>3520</v>
      </c>
      <c r="L1091" s="8" t="s">
        <v>3521</v>
      </c>
      <c r="M1091" s="8" t="s">
        <v>27</v>
      </c>
      <c r="N1091" s="2" t="s">
        <v>4515</v>
      </c>
      <c r="O1091" s="8" t="s">
        <v>550</v>
      </c>
      <c r="P1091" s="8" t="s">
        <v>401</v>
      </c>
      <c r="Q1091" s="12" t="s">
        <v>4516</v>
      </c>
      <c r="R1091" s="8" t="s">
        <v>100</v>
      </c>
      <c r="S1091" s="7" t="s">
        <v>18</v>
      </c>
      <c r="T1091" s="6"/>
      <c r="U1091" s="8"/>
    </row>
    <row r="1092" spans="1:21" ht="13" customHeight="1">
      <c r="A1092" s="8" t="s">
        <v>4505</v>
      </c>
      <c r="B1092" s="16">
        <v>28</v>
      </c>
      <c r="C1092" s="8" t="s">
        <v>20</v>
      </c>
      <c r="D1092" s="8" t="s">
        <v>48</v>
      </c>
      <c r="E1092" s="8" t="s">
        <v>4506</v>
      </c>
      <c r="F1092" s="17">
        <v>42039</v>
      </c>
      <c r="G1092" s="8" t="s">
        <v>4497</v>
      </c>
      <c r="H1092" s="8" t="s">
        <v>3930</v>
      </c>
      <c r="I1092" s="8" t="s">
        <v>123</v>
      </c>
      <c r="J1092" s="16" t="s">
        <v>4507</v>
      </c>
      <c r="K1092" s="2" t="s">
        <v>635</v>
      </c>
      <c r="L1092" s="8" t="s">
        <v>19728</v>
      </c>
      <c r="M1092" s="8" t="s">
        <v>27</v>
      </c>
      <c r="N1092" s="2" t="s">
        <v>4508</v>
      </c>
      <c r="O1092" s="8" t="s">
        <v>1013</v>
      </c>
      <c r="P1092" s="8" t="s">
        <v>401</v>
      </c>
      <c r="Q1092" s="12" t="s">
        <v>4499</v>
      </c>
      <c r="R1092" s="8" t="s">
        <v>100</v>
      </c>
      <c r="S1092" s="7" t="s">
        <v>28</v>
      </c>
      <c r="T1092" s="6"/>
      <c r="U1092" s="8"/>
    </row>
    <row r="1093" spans="1:21" ht="13" customHeight="1">
      <c r="A1093" s="8" t="s">
        <v>4500</v>
      </c>
      <c r="B1093" s="16">
        <v>37</v>
      </c>
      <c r="C1093" s="8" t="s">
        <v>20</v>
      </c>
      <c r="D1093" s="8" t="s">
        <v>48</v>
      </c>
      <c r="F1093" s="17">
        <v>42039</v>
      </c>
      <c r="G1093" s="8" t="s">
        <v>4501</v>
      </c>
      <c r="H1093" s="8" t="s">
        <v>1063</v>
      </c>
      <c r="I1093" s="8" t="s">
        <v>62</v>
      </c>
      <c r="J1093" s="16" t="s">
        <v>4502</v>
      </c>
      <c r="K1093" s="2" t="s">
        <v>1064</v>
      </c>
      <c r="L1093" s="8" t="s">
        <v>1065</v>
      </c>
      <c r="M1093" s="8" t="s">
        <v>27</v>
      </c>
      <c r="N1093" s="2" t="s">
        <v>4503</v>
      </c>
      <c r="O1093" s="8" t="s">
        <v>1013</v>
      </c>
      <c r="P1093" s="8" t="s">
        <v>401</v>
      </c>
      <c r="Q1093" s="12" t="s">
        <v>4504</v>
      </c>
      <c r="R1093" s="8" t="s">
        <v>100</v>
      </c>
      <c r="S1093" s="7" t="s">
        <v>28</v>
      </c>
      <c r="T1093" s="6"/>
      <c r="U1093" s="8"/>
    </row>
    <row r="1094" spans="1:21" ht="13" customHeight="1">
      <c r="A1094" s="8" t="str">
        <f>HYPERLINK("http://www.killedbypolice.net/victims/150102.jpg","Joaquin Hernandez")</f>
        <v>Joaquin Hernandez</v>
      </c>
      <c r="B1094" s="16">
        <v>28</v>
      </c>
      <c r="C1094" s="8" t="s">
        <v>20</v>
      </c>
      <c r="D1094" s="8" t="s">
        <v>48</v>
      </c>
      <c r="E1094" s="8" t="s">
        <v>4496</v>
      </c>
      <c r="F1094" s="17">
        <v>42039</v>
      </c>
      <c r="G1094" s="8" t="s">
        <v>4497</v>
      </c>
      <c r="H1094" s="8" t="s">
        <v>3930</v>
      </c>
      <c r="I1094" s="8" t="s">
        <v>123</v>
      </c>
      <c r="J1094" s="16">
        <v>85042</v>
      </c>
      <c r="K1094" s="2" t="s">
        <v>635</v>
      </c>
      <c r="L1094" s="8" t="s">
        <v>1433</v>
      </c>
      <c r="M1094" s="8" t="s">
        <v>27</v>
      </c>
      <c r="N1094" s="2" t="s">
        <v>4498</v>
      </c>
      <c r="P1094" s="8" t="s">
        <v>401</v>
      </c>
      <c r="Q1094" s="12" t="s">
        <v>4499</v>
      </c>
      <c r="S1094" s="7" t="s">
        <v>18</v>
      </c>
      <c r="T1094" s="6"/>
      <c r="U1094" s="8"/>
    </row>
    <row r="1095" spans="1:21" ht="13" customHeight="1">
      <c r="A1095" s="8" t="s">
        <v>4509</v>
      </c>
      <c r="B1095" s="16">
        <v>60</v>
      </c>
      <c r="C1095" s="8" t="s">
        <v>20</v>
      </c>
      <c r="D1095" s="8" t="s">
        <v>30</v>
      </c>
      <c r="F1095" s="17">
        <v>42039</v>
      </c>
      <c r="G1095" s="8" t="s">
        <v>4510</v>
      </c>
      <c r="H1095" s="8" t="s">
        <v>87</v>
      </c>
      <c r="I1095" s="8" t="s">
        <v>44</v>
      </c>
      <c r="J1095" s="16" t="s">
        <v>1681</v>
      </c>
      <c r="K1095" s="2" t="s">
        <v>88</v>
      </c>
      <c r="L1095" s="8" t="s">
        <v>89</v>
      </c>
      <c r="M1095" s="8" t="s">
        <v>379</v>
      </c>
      <c r="N1095" s="2" t="s">
        <v>4511</v>
      </c>
      <c r="O1095" s="8" t="s">
        <v>1013</v>
      </c>
      <c r="P1095" s="8" t="s">
        <v>401</v>
      </c>
      <c r="Q1095" s="12" t="s">
        <v>4512</v>
      </c>
      <c r="R1095" s="8" t="s">
        <v>100</v>
      </c>
      <c r="S1095" s="7" t="s">
        <v>18</v>
      </c>
      <c r="T1095" s="6"/>
      <c r="U1095" s="8"/>
    </row>
    <row r="1096" spans="1:21" ht="13" customHeight="1">
      <c r="A1096" s="8" t="s">
        <v>4517</v>
      </c>
      <c r="B1096" s="16">
        <v>59</v>
      </c>
      <c r="C1096" s="8" t="s">
        <v>20</v>
      </c>
      <c r="D1096" s="8" t="s">
        <v>37</v>
      </c>
      <c r="E1096" s="8" t="s">
        <v>4518</v>
      </c>
      <c r="F1096" s="17">
        <v>42039</v>
      </c>
      <c r="G1096" s="8" t="s">
        <v>4519</v>
      </c>
      <c r="H1096" s="8" t="s">
        <v>4520</v>
      </c>
      <c r="I1096" s="8" t="s">
        <v>45</v>
      </c>
      <c r="J1096" s="16" t="s">
        <v>4521</v>
      </c>
      <c r="K1096" s="2" t="s">
        <v>309</v>
      </c>
      <c r="L1096" s="8" t="s">
        <v>4522</v>
      </c>
      <c r="M1096" s="8" t="s">
        <v>4523</v>
      </c>
      <c r="N1096" s="2" t="s">
        <v>4524</v>
      </c>
      <c r="O1096" s="8" t="s">
        <v>1013</v>
      </c>
      <c r="P1096" s="8" t="s">
        <v>401</v>
      </c>
      <c r="Q1096" s="12" t="str">
        <f>HYPERLINK("http://losangeles.cbslocal.com/2015/02/04/police-fatally-shoot-bank-robbery-suspect-in-chino-following-high-speed-chase/","http://losangeles.cbslocal.com/2015/02/04/police-fatally-shoot-bank-robbery-suspect-in-chino-following-high-speed-chase/")</f>
        <v>http://losangeles.cbslocal.com/2015/02/04/police-fatally-shoot-bank-robbery-suspect-in-chino-following-high-speed-chase/</v>
      </c>
      <c r="R1096" s="8" t="s">
        <v>100</v>
      </c>
      <c r="S1096" s="7" t="s">
        <v>379</v>
      </c>
      <c r="T1096" s="6"/>
      <c r="U1096" s="8"/>
    </row>
    <row r="1097" spans="1:21" ht="13" customHeight="1">
      <c r="A1097" s="8" t="s">
        <v>4541</v>
      </c>
      <c r="B1097" s="16">
        <v>23</v>
      </c>
      <c r="C1097" s="8" t="s">
        <v>20</v>
      </c>
      <c r="D1097" s="8" t="s">
        <v>85</v>
      </c>
      <c r="E1097" s="8" t="s">
        <v>4542</v>
      </c>
      <c r="F1097" s="17">
        <v>42038</v>
      </c>
      <c r="G1097" s="8" t="s">
        <v>4543</v>
      </c>
      <c r="H1097" s="8" t="s">
        <v>712</v>
      </c>
      <c r="I1097" s="8" t="s">
        <v>431</v>
      </c>
      <c r="J1097" s="16" t="s">
        <v>4544</v>
      </c>
      <c r="K1097" s="2" t="s">
        <v>712</v>
      </c>
      <c r="L1097" s="8" t="s">
        <v>4545</v>
      </c>
      <c r="M1097" s="8" t="s">
        <v>27</v>
      </c>
      <c r="N1097" s="2" t="s">
        <v>4546</v>
      </c>
      <c r="O1097" s="8" t="s">
        <v>1013</v>
      </c>
      <c r="P1097" s="8" t="s">
        <v>401</v>
      </c>
      <c r="Q1097" s="12" t="s">
        <v>4542</v>
      </c>
      <c r="R1097" s="8" t="s">
        <v>100</v>
      </c>
      <c r="S1097" s="7" t="s">
        <v>28</v>
      </c>
      <c r="T1097" s="6"/>
      <c r="U1097" s="8"/>
    </row>
    <row r="1098" spans="1:21" ht="13" customHeight="1">
      <c r="A1098" s="8" t="s">
        <v>4525</v>
      </c>
      <c r="B1098" s="16">
        <v>29</v>
      </c>
      <c r="C1098" s="8" t="s">
        <v>20</v>
      </c>
      <c r="D1098" s="8" t="s">
        <v>85</v>
      </c>
      <c r="E1098" s="8" t="s">
        <v>4526</v>
      </c>
      <c r="F1098" s="17">
        <v>42038</v>
      </c>
      <c r="G1098" s="8" t="s">
        <v>4527</v>
      </c>
      <c r="H1098" s="8" t="s">
        <v>881</v>
      </c>
      <c r="I1098" s="8" t="s">
        <v>45</v>
      </c>
      <c r="J1098" s="16" t="s">
        <v>4528</v>
      </c>
      <c r="K1098" s="2" t="s">
        <v>4529</v>
      </c>
      <c r="L1098" s="8" t="s">
        <v>4530</v>
      </c>
      <c r="M1098" s="8" t="s">
        <v>27</v>
      </c>
      <c r="N1098" s="2" t="s">
        <v>4531</v>
      </c>
      <c r="O1098" s="8" t="s">
        <v>1013</v>
      </c>
      <c r="P1098" s="8" t="s">
        <v>401</v>
      </c>
      <c r="Q1098" s="12" t="s">
        <v>4532</v>
      </c>
      <c r="R1098" s="8" t="s">
        <v>29</v>
      </c>
      <c r="S1098" s="7" t="s">
        <v>28</v>
      </c>
      <c r="T1098" s="6"/>
      <c r="U1098" s="8"/>
    </row>
    <row r="1099" spans="1:21" ht="13" customHeight="1">
      <c r="A1099" s="8" t="s">
        <v>4533</v>
      </c>
      <c r="B1099" s="16">
        <v>38</v>
      </c>
      <c r="C1099" s="8" t="s">
        <v>114</v>
      </c>
      <c r="D1099" s="8" t="s">
        <v>85</v>
      </c>
      <c r="E1099" s="8" t="s">
        <v>4534</v>
      </c>
      <c r="F1099" s="17">
        <v>42038</v>
      </c>
      <c r="G1099" s="8" t="s">
        <v>4535</v>
      </c>
      <c r="H1099" s="8" t="s">
        <v>4536</v>
      </c>
      <c r="I1099" s="8" t="s">
        <v>45</v>
      </c>
      <c r="J1099" s="16" t="s">
        <v>4537</v>
      </c>
      <c r="K1099" s="2" t="s">
        <v>604</v>
      </c>
      <c r="L1099" s="8" t="s">
        <v>4538</v>
      </c>
      <c r="M1099" s="8" t="s">
        <v>27</v>
      </c>
      <c r="N1099" s="2" t="s">
        <v>4539</v>
      </c>
      <c r="O1099" s="8" t="s">
        <v>1013</v>
      </c>
      <c r="P1099" s="8" t="s">
        <v>401</v>
      </c>
      <c r="Q1099" s="12" t="s">
        <v>4540</v>
      </c>
      <c r="R1099" s="8" t="s">
        <v>100</v>
      </c>
      <c r="S1099" s="7" t="s">
        <v>28</v>
      </c>
      <c r="T1099" s="6"/>
      <c r="U1099" s="8"/>
    </row>
    <row r="1100" spans="1:21" ht="13" customHeight="1">
      <c r="A1100" s="8" t="s">
        <v>4547</v>
      </c>
      <c r="B1100" s="16">
        <v>35</v>
      </c>
      <c r="C1100" s="8" t="s">
        <v>20</v>
      </c>
      <c r="D1100" s="8" t="s">
        <v>48</v>
      </c>
      <c r="F1100" s="17">
        <v>42038</v>
      </c>
      <c r="G1100" s="8" t="s">
        <v>4548</v>
      </c>
      <c r="H1100" s="8" t="s">
        <v>4549</v>
      </c>
      <c r="I1100" s="8" t="s">
        <v>73</v>
      </c>
      <c r="J1100" s="16" t="s">
        <v>4550</v>
      </c>
      <c r="K1100" s="2" t="s">
        <v>685</v>
      </c>
      <c r="L1100" s="8" t="s">
        <v>4551</v>
      </c>
      <c r="M1100" s="8" t="s">
        <v>391</v>
      </c>
      <c r="N1100" s="2" t="s">
        <v>4552</v>
      </c>
      <c r="O1100" s="8" t="s">
        <v>1013</v>
      </c>
      <c r="P1100" s="8" t="s">
        <v>401</v>
      </c>
      <c r="Q1100" s="12" t="s">
        <v>4553</v>
      </c>
      <c r="R1100" s="8" t="s">
        <v>555</v>
      </c>
      <c r="S1100" s="7" t="s">
        <v>18</v>
      </c>
      <c r="T1100" s="6"/>
      <c r="U1100" s="8"/>
    </row>
    <row r="1101" spans="1:21" ht="13" customHeight="1">
      <c r="A1101" s="8" t="s">
        <v>4554</v>
      </c>
      <c r="B1101" s="16">
        <v>45</v>
      </c>
      <c r="C1101" s="8" t="s">
        <v>20</v>
      </c>
      <c r="D1101" s="8" t="s">
        <v>37</v>
      </c>
      <c r="F1101" s="17">
        <v>42038</v>
      </c>
      <c r="G1101" s="8" t="s">
        <v>4555</v>
      </c>
      <c r="H1101" s="8" t="s">
        <v>941</v>
      </c>
      <c r="I1101" s="8" t="s">
        <v>173</v>
      </c>
      <c r="J1101" s="16" t="s">
        <v>4556</v>
      </c>
      <c r="K1101" s="2" t="s">
        <v>4557</v>
      </c>
      <c r="L1101" s="8" t="s">
        <v>4558</v>
      </c>
      <c r="M1101" s="8" t="s">
        <v>27</v>
      </c>
      <c r="N1101" s="2" t="s">
        <v>4559</v>
      </c>
      <c r="O1101" s="8" t="s">
        <v>1013</v>
      </c>
      <c r="P1101" s="8" t="s">
        <v>401</v>
      </c>
      <c r="Q1101" s="12" t="s">
        <v>4560</v>
      </c>
      <c r="R1101" s="8" t="s">
        <v>29</v>
      </c>
      <c r="S1101" s="7" t="s">
        <v>28</v>
      </c>
      <c r="T1101" s="6"/>
      <c r="U1101" s="8"/>
    </row>
    <row r="1102" spans="1:21" ht="13" customHeight="1">
      <c r="A1102" s="8" t="s">
        <v>4561</v>
      </c>
      <c r="B1102" s="16">
        <v>59</v>
      </c>
      <c r="C1102" s="8" t="s">
        <v>20</v>
      </c>
      <c r="D1102" s="8" t="s">
        <v>37</v>
      </c>
      <c r="E1102" s="8" t="s">
        <v>4562</v>
      </c>
      <c r="F1102" s="17">
        <v>42037</v>
      </c>
      <c r="G1102" s="8" t="s">
        <v>4563</v>
      </c>
      <c r="H1102" s="8" t="s">
        <v>4564</v>
      </c>
      <c r="I1102" s="8" t="s">
        <v>404</v>
      </c>
      <c r="J1102" s="16" t="s">
        <v>4565</v>
      </c>
      <c r="K1102" s="2" t="s">
        <v>4566</v>
      </c>
      <c r="L1102" s="8" t="s">
        <v>4567</v>
      </c>
      <c r="M1102" s="8" t="s">
        <v>27</v>
      </c>
      <c r="N1102" s="2" t="s">
        <v>4568</v>
      </c>
      <c r="O1102" s="8" t="s">
        <v>1790</v>
      </c>
      <c r="P1102" s="8" t="s">
        <v>20868</v>
      </c>
      <c r="Q1102" s="12" t="s">
        <v>4569</v>
      </c>
      <c r="R1102" s="8" t="s">
        <v>967</v>
      </c>
      <c r="S1102" s="7" t="s">
        <v>18</v>
      </c>
      <c r="T1102" s="6"/>
      <c r="U1102" s="8"/>
    </row>
    <row r="1103" spans="1:21" ht="13" customHeight="1">
      <c r="A1103" s="8" t="s">
        <v>4570</v>
      </c>
      <c r="B1103" s="16">
        <v>17</v>
      </c>
      <c r="C1103" s="8" t="s">
        <v>20</v>
      </c>
      <c r="D1103" s="8" t="s">
        <v>37</v>
      </c>
      <c r="E1103" s="8" t="s">
        <v>4571</v>
      </c>
      <c r="F1103" s="17">
        <v>42037</v>
      </c>
      <c r="G1103" s="8" t="s">
        <v>4572</v>
      </c>
      <c r="H1103" s="8" t="s">
        <v>4573</v>
      </c>
      <c r="I1103" s="8" t="s">
        <v>57</v>
      </c>
      <c r="J1103" s="16" t="s">
        <v>4574</v>
      </c>
      <c r="K1103" s="2" t="s">
        <v>2823</v>
      </c>
      <c r="L1103" s="8" t="s">
        <v>4575</v>
      </c>
      <c r="M1103" s="8" t="s">
        <v>27</v>
      </c>
      <c r="N1103" s="2" t="s">
        <v>4576</v>
      </c>
      <c r="O1103" s="8" t="s">
        <v>550</v>
      </c>
      <c r="P1103" s="8" t="s">
        <v>401</v>
      </c>
      <c r="Q1103" s="12" t="s">
        <v>4577</v>
      </c>
      <c r="R1103" s="8" t="s">
        <v>100</v>
      </c>
      <c r="S1103" s="7" t="s">
        <v>28</v>
      </c>
      <c r="T1103" s="6"/>
      <c r="U1103" s="8"/>
    </row>
    <row r="1104" spans="1:21" ht="13" customHeight="1">
      <c r="A1104" s="8" t="s">
        <v>4578</v>
      </c>
      <c r="B1104" s="16">
        <v>42</v>
      </c>
      <c r="C1104" s="8" t="s">
        <v>20</v>
      </c>
      <c r="D1104" s="8" t="s">
        <v>37</v>
      </c>
      <c r="E1104" s="8" t="s">
        <v>4579</v>
      </c>
      <c r="F1104" s="17">
        <v>42037</v>
      </c>
      <c r="G1104" s="8" t="s">
        <v>4580</v>
      </c>
      <c r="H1104" s="8" t="s">
        <v>4581</v>
      </c>
      <c r="I1104" s="8" t="s">
        <v>45</v>
      </c>
      <c r="J1104" s="16" t="s">
        <v>4582</v>
      </c>
      <c r="K1104" s="2" t="s">
        <v>309</v>
      </c>
      <c r="L1104" s="8" t="s">
        <v>4583</v>
      </c>
      <c r="M1104" s="8" t="s">
        <v>27</v>
      </c>
      <c r="N1104" s="2" t="s">
        <v>4584</v>
      </c>
      <c r="O1104" s="8" t="s">
        <v>1013</v>
      </c>
      <c r="P1104" s="8" t="s">
        <v>401</v>
      </c>
      <c r="Q1104" s="12" t="s">
        <v>4585</v>
      </c>
      <c r="R1104" s="8" t="s">
        <v>29</v>
      </c>
      <c r="S1104" s="7" t="s">
        <v>28</v>
      </c>
      <c r="T1104" s="6"/>
      <c r="U1104" s="8"/>
    </row>
    <row r="1105" spans="1:49" ht="13" customHeight="1">
      <c r="A1105" s="8" t="s">
        <v>4586</v>
      </c>
      <c r="B1105" s="16">
        <v>31</v>
      </c>
      <c r="C1105" s="8" t="s">
        <v>20</v>
      </c>
      <c r="D1105" s="8" t="s">
        <v>48</v>
      </c>
      <c r="F1105" s="17">
        <v>42036</v>
      </c>
      <c r="G1105" s="8" t="s">
        <v>4587</v>
      </c>
      <c r="H1105" s="8" t="s">
        <v>4588</v>
      </c>
      <c r="I1105" s="8" t="s">
        <v>73</v>
      </c>
      <c r="J1105" s="16" t="s">
        <v>4589</v>
      </c>
      <c r="K1105" s="2" t="s">
        <v>558</v>
      </c>
      <c r="L1105" s="8" t="s">
        <v>727</v>
      </c>
      <c r="M1105" s="8" t="s">
        <v>27</v>
      </c>
      <c r="N1105" s="2" t="s">
        <v>4590</v>
      </c>
      <c r="O1105" s="8" t="s">
        <v>1013</v>
      </c>
      <c r="P1105" s="8" t="s">
        <v>401</v>
      </c>
      <c r="Q1105" s="12" t="s">
        <v>4591</v>
      </c>
      <c r="R1105" s="8" t="s">
        <v>100</v>
      </c>
      <c r="S1105" s="7" t="s">
        <v>28</v>
      </c>
      <c r="T1105" s="6"/>
      <c r="U1105" s="8"/>
    </row>
    <row r="1106" spans="1:49" ht="13" customHeight="1">
      <c r="A1106" s="8" t="s">
        <v>4592</v>
      </c>
      <c r="B1106" s="16">
        <v>56</v>
      </c>
      <c r="C1106" s="8" t="s">
        <v>20</v>
      </c>
      <c r="D1106" s="8" t="s">
        <v>85</v>
      </c>
      <c r="E1106" s="8" t="s">
        <v>4593</v>
      </c>
      <c r="F1106" s="17">
        <v>42035</v>
      </c>
      <c r="G1106" s="8" t="s">
        <v>4594</v>
      </c>
      <c r="H1106" s="8" t="s">
        <v>4595</v>
      </c>
      <c r="I1106" s="8" t="s">
        <v>52</v>
      </c>
      <c r="J1106" s="16" t="s">
        <v>4596</v>
      </c>
      <c r="K1106" s="2" t="s">
        <v>1596</v>
      </c>
      <c r="L1106" s="8" t="s">
        <v>231</v>
      </c>
      <c r="M1106" s="8" t="s">
        <v>27</v>
      </c>
      <c r="N1106" s="2" t="s">
        <v>4597</v>
      </c>
      <c r="O1106" s="8" t="s">
        <v>1013</v>
      </c>
      <c r="P1106" s="8" t="s">
        <v>401</v>
      </c>
      <c r="Q1106" s="12" t="s">
        <v>4598</v>
      </c>
      <c r="R1106" s="8" t="s">
        <v>100</v>
      </c>
      <c r="S1106" s="7" t="s">
        <v>28</v>
      </c>
      <c r="T1106" s="6"/>
      <c r="U1106" s="8"/>
    </row>
    <row r="1107" spans="1:49" ht="13" customHeight="1">
      <c r="A1107" s="8" t="s">
        <v>4599</v>
      </c>
      <c r="B1107" s="16">
        <v>48</v>
      </c>
      <c r="C1107" s="8" t="s">
        <v>20</v>
      </c>
      <c r="D1107" s="8" t="s">
        <v>37</v>
      </c>
      <c r="E1107" s="8" t="s">
        <v>4600</v>
      </c>
      <c r="F1107" s="17">
        <v>42034</v>
      </c>
      <c r="G1107" s="8" t="s">
        <v>4601</v>
      </c>
      <c r="H1107" s="8" t="s">
        <v>4602</v>
      </c>
      <c r="I1107" s="8" t="s">
        <v>857</v>
      </c>
      <c r="J1107" s="16" t="s">
        <v>4603</v>
      </c>
      <c r="K1107" s="2" t="s">
        <v>4604</v>
      </c>
      <c r="L1107" s="8" t="s">
        <v>4605</v>
      </c>
      <c r="M1107" s="8" t="s">
        <v>27</v>
      </c>
      <c r="N1107" s="2" t="s">
        <v>4606</v>
      </c>
      <c r="O1107" s="8" t="s">
        <v>1013</v>
      </c>
      <c r="P1107" s="8" t="s">
        <v>401</v>
      </c>
      <c r="Q1107" s="12" t="s">
        <v>4607</v>
      </c>
      <c r="R1107" s="8" t="s">
        <v>100</v>
      </c>
      <c r="S1107" s="7" t="s">
        <v>28</v>
      </c>
      <c r="T1107" s="6"/>
      <c r="U1107" s="8"/>
    </row>
    <row r="1108" spans="1:49" ht="13" customHeight="1">
      <c r="A1108" s="8" t="s">
        <v>20832</v>
      </c>
      <c r="B1108" s="16">
        <v>21</v>
      </c>
      <c r="C1108" s="8" t="s">
        <v>114</v>
      </c>
      <c r="D1108" s="8" t="s">
        <v>37</v>
      </c>
      <c r="E1108" s="8" t="s">
        <v>20834</v>
      </c>
      <c r="F1108" s="17">
        <v>42033</v>
      </c>
      <c r="G1108" s="8" t="s">
        <v>20835</v>
      </c>
      <c r="H1108" s="8" t="s">
        <v>10718</v>
      </c>
      <c r="I1108" s="8" t="s">
        <v>73</v>
      </c>
      <c r="J1108" s="16">
        <v>77304</v>
      </c>
      <c r="K1108" s="2" t="s">
        <v>1059</v>
      </c>
      <c r="L1108" s="2" t="s">
        <v>20836</v>
      </c>
      <c r="M1108" s="2" t="s">
        <v>379</v>
      </c>
      <c r="N1108" s="2" t="s">
        <v>20833</v>
      </c>
      <c r="O1108" s="2" t="s">
        <v>1161</v>
      </c>
      <c r="P1108" s="2" t="s">
        <v>1162</v>
      </c>
      <c r="Q1108" s="12" t="s">
        <v>20837</v>
      </c>
      <c r="R1108" s="2" t="s">
        <v>967</v>
      </c>
      <c r="S1108" s="7" t="s">
        <v>18</v>
      </c>
      <c r="T1108" s="6"/>
      <c r="U1108" s="8"/>
    </row>
    <row r="1109" spans="1:49" ht="13" customHeight="1">
      <c r="A1109" s="8" t="s">
        <v>4615</v>
      </c>
      <c r="B1109" s="16">
        <v>40</v>
      </c>
      <c r="C1109" s="8" t="s">
        <v>20</v>
      </c>
      <c r="D1109" s="8" t="s">
        <v>37</v>
      </c>
      <c r="E1109" s="8" t="s">
        <v>4616</v>
      </c>
      <c r="F1109" s="17">
        <v>42033</v>
      </c>
      <c r="G1109" s="8" t="s">
        <v>4617</v>
      </c>
      <c r="H1109" s="8" t="s">
        <v>929</v>
      </c>
      <c r="I1109" s="8" t="s">
        <v>73</v>
      </c>
      <c r="J1109" s="16" t="s">
        <v>4618</v>
      </c>
      <c r="K1109" s="2" t="s">
        <v>74</v>
      </c>
      <c r="L1109" s="8" t="s">
        <v>930</v>
      </c>
      <c r="M1109" s="8" t="s">
        <v>27</v>
      </c>
      <c r="N1109" s="2" t="s">
        <v>4619</v>
      </c>
      <c r="O1109" s="8" t="s">
        <v>1013</v>
      </c>
      <c r="P1109" s="8" t="s">
        <v>401</v>
      </c>
      <c r="Q1109" s="12" t="s">
        <v>4620</v>
      </c>
      <c r="R1109" s="8" t="s">
        <v>555</v>
      </c>
      <c r="S1109" s="7" t="s">
        <v>28</v>
      </c>
      <c r="T1109" s="6"/>
      <c r="U1109" s="8"/>
    </row>
    <row r="1110" spans="1:49" ht="13" customHeight="1">
      <c r="A1110" s="8" t="s">
        <v>4608</v>
      </c>
      <c r="B1110" s="16">
        <v>42</v>
      </c>
      <c r="C1110" s="8" t="s">
        <v>20</v>
      </c>
      <c r="D1110" s="8" t="s">
        <v>37</v>
      </c>
      <c r="E1110" s="8" t="s">
        <v>4609</v>
      </c>
      <c r="F1110" s="17">
        <v>42033</v>
      </c>
      <c r="G1110" s="8" t="s">
        <v>4610</v>
      </c>
      <c r="H1110" s="8" t="s">
        <v>4611</v>
      </c>
      <c r="I1110" s="8" t="s">
        <v>395</v>
      </c>
      <c r="J1110" s="16" t="s">
        <v>4612</v>
      </c>
      <c r="K1110" s="2" t="s">
        <v>566</v>
      </c>
      <c r="L1110" s="8" t="s">
        <v>4613</v>
      </c>
      <c r="M1110" s="8" t="s">
        <v>27</v>
      </c>
      <c r="N1110" s="2" t="s">
        <v>4614</v>
      </c>
      <c r="O1110" s="8" t="s">
        <v>550</v>
      </c>
      <c r="P1110" s="8" t="s">
        <v>401</v>
      </c>
      <c r="Q1110" s="12" t="str">
        <f>HYPERLINK("http://newsok.com/new-details-released-in-stillwater-homicide-officer-shooting/article/5389230","http://newsok.com/new-details-released-in-stillwater-homicide-officer-shooting/article/5389230")</f>
        <v>http://newsok.com/new-details-released-in-stillwater-homicide-officer-shooting/article/5389230</v>
      </c>
      <c r="R1110" s="8" t="s">
        <v>100</v>
      </c>
      <c r="S1110" s="7" t="s">
        <v>18</v>
      </c>
      <c r="T1110" s="6"/>
      <c r="U1110" s="8"/>
    </row>
    <row r="1111" spans="1:49" ht="13" customHeight="1">
      <c r="A1111" s="8" t="s">
        <v>4621</v>
      </c>
      <c r="B1111" s="16">
        <v>33</v>
      </c>
      <c r="C1111" s="8" t="s">
        <v>20</v>
      </c>
      <c r="D1111" s="8" t="s">
        <v>139</v>
      </c>
      <c r="E1111" s="8" t="s">
        <v>4622</v>
      </c>
      <c r="F1111" s="17">
        <v>42032</v>
      </c>
      <c r="G1111" s="8" t="s">
        <v>4623</v>
      </c>
      <c r="H1111" s="8" t="s">
        <v>4446</v>
      </c>
      <c r="I1111" s="8" t="s">
        <v>330</v>
      </c>
      <c r="J1111" s="16">
        <v>99501</v>
      </c>
      <c r="K1111" s="2" t="s">
        <v>4446</v>
      </c>
      <c r="L1111" s="8" t="s">
        <v>4624</v>
      </c>
      <c r="M1111" s="8" t="s">
        <v>2297</v>
      </c>
      <c r="N1111" s="2" t="s">
        <v>4625</v>
      </c>
      <c r="P1111" s="8" t="s">
        <v>401</v>
      </c>
      <c r="Q1111" s="12" t="str">
        <f>HYPERLINK("http://alaska-native-news.com/inmate-dies-intake-anchorage-correctional-complex-15705","http://alaska-native-news.com/inmate-dies-intake-anchorage-correctional-complex-15705")</f>
        <v>http://alaska-native-news.com/inmate-dies-intake-anchorage-correctional-complex-15705</v>
      </c>
      <c r="S1111" s="7" t="s">
        <v>18</v>
      </c>
      <c r="T1111" s="6"/>
      <c r="U1111" s="8"/>
      <c r="Y1111" s="8"/>
      <c r="Z1111" s="8"/>
      <c r="AA1111" s="8"/>
      <c r="AB1111" s="8"/>
      <c r="AC1111" s="8"/>
      <c r="AD1111" s="8"/>
      <c r="AE1111" s="8"/>
      <c r="AF1111" s="8"/>
      <c r="AG1111" s="8"/>
      <c r="AH1111" s="8"/>
    </row>
    <row r="1112" spans="1:49" ht="13" customHeight="1">
      <c r="A1112" s="8" t="s">
        <v>21563</v>
      </c>
      <c r="B1112" s="16">
        <v>26</v>
      </c>
      <c r="C1112" s="8" t="s">
        <v>20</v>
      </c>
      <c r="D1112" s="8" t="s">
        <v>37</v>
      </c>
      <c r="F1112" s="17">
        <v>42032</v>
      </c>
      <c r="G1112" s="8" t="s">
        <v>4626</v>
      </c>
      <c r="H1112" s="8" t="s">
        <v>4627</v>
      </c>
      <c r="I1112" s="8" t="s">
        <v>73</v>
      </c>
      <c r="J1112" s="16">
        <v>77471</v>
      </c>
      <c r="K1112" s="2" t="s">
        <v>1390</v>
      </c>
      <c r="L1112" s="8" t="s">
        <v>4628</v>
      </c>
      <c r="M1112" s="8" t="s">
        <v>27</v>
      </c>
      <c r="N1112" s="2" t="s">
        <v>21564</v>
      </c>
      <c r="O1112" s="8" t="s">
        <v>401</v>
      </c>
      <c r="P1112" s="8" t="s">
        <v>401</v>
      </c>
      <c r="Q1112" s="12" t="s">
        <v>4629</v>
      </c>
      <c r="S1112" s="7" t="s">
        <v>28</v>
      </c>
      <c r="T1112" s="8"/>
      <c r="U1112" s="8"/>
      <c r="AU1112" s="8"/>
      <c r="AV1112" s="8"/>
      <c r="AW1112" s="8"/>
    </row>
    <row r="1113" spans="1:49" ht="13" customHeight="1">
      <c r="A1113" s="8" t="s">
        <v>4630</v>
      </c>
      <c r="B1113" s="16">
        <v>44</v>
      </c>
      <c r="C1113" s="8" t="s">
        <v>20</v>
      </c>
      <c r="D1113" s="8" t="s">
        <v>37</v>
      </c>
      <c r="F1113" s="17">
        <v>42032</v>
      </c>
      <c r="H1113" s="8" t="s">
        <v>4631</v>
      </c>
      <c r="I1113" s="8" t="s">
        <v>73</v>
      </c>
      <c r="J1113" s="16">
        <v>76270</v>
      </c>
      <c r="K1113" s="2" t="s">
        <v>4426</v>
      </c>
      <c r="L1113" s="8" t="s">
        <v>281</v>
      </c>
      <c r="M1113" s="8" t="s">
        <v>27</v>
      </c>
      <c r="N1113" s="2" t="s">
        <v>4632</v>
      </c>
      <c r="P1113" s="8" t="s">
        <v>401</v>
      </c>
      <c r="Q1113" s="12" t="s">
        <v>4633</v>
      </c>
      <c r="S1113" s="7" t="s">
        <v>28</v>
      </c>
      <c r="T1113" s="6"/>
      <c r="U1113" s="8"/>
      <c r="AU1113" s="8"/>
      <c r="AV1113" s="8"/>
      <c r="AW1113" s="8"/>
    </row>
    <row r="1114" spans="1:49" ht="13" customHeight="1">
      <c r="A1114" s="8" t="s">
        <v>4634</v>
      </c>
      <c r="B1114" s="16">
        <v>33</v>
      </c>
      <c r="C1114" s="8" t="s">
        <v>20</v>
      </c>
      <c r="D1114" s="8" t="s">
        <v>85</v>
      </c>
      <c r="E1114" s="8" t="s">
        <v>4635</v>
      </c>
      <c r="F1114" s="17">
        <v>42031</v>
      </c>
      <c r="G1114" s="8" t="s">
        <v>4636</v>
      </c>
      <c r="H1114" s="8" t="s">
        <v>1290</v>
      </c>
      <c r="I1114" s="8" t="s">
        <v>69</v>
      </c>
      <c r="J1114" s="16" t="s">
        <v>4637</v>
      </c>
      <c r="K1114" s="2" t="s">
        <v>1291</v>
      </c>
      <c r="L1114" s="8" t="s">
        <v>4638</v>
      </c>
      <c r="M1114" s="8" t="s">
        <v>27</v>
      </c>
      <c r="N1114" s="2" t="s">
        <v>4639</v>
      </c>
      <c r="O1114" s="8" t="s">
        <v>400</v>
      </c>
      <c r="P1114" s="8" t="s">
        <v>401</v>
      </c>
      <c r="Q1114" s="12" t="s">
        <v>4640</v>
      </c>
      <c r="R1114" s="8" t="s">
        <v>100</v>
      </c>
      <c r="S1114" s="7" t="s">
        <v>28</v>
      </c>
      <c r="T1114" s="6"/>
      <c r="U1114" s="8"/>
      <c r="AU1114" s="8"/>
      <c r="AV1114" s="8"/>
      <c r="AW1114" s="8"/>
    </row>
    <row r="1115" spans="1:49" ht="13" customHeight="1">
      <c r="A1115" s="8" t="s">
        <v>4641</v>
      </c>
      <c r="B1115" s="16">
        <v>26</v>
      </c>
      <c r="C1115" s="8" t="s">
        <v>20</v>
      </c>
      <c r="D1115" s="8" t="s">
        <v>48</v>
      </c>
      <c r="E1115" s="8" t="s">
        <v>4642</v>
      </c>
      <c r="F1115" s="17">
        <v>42031</v>
      </c>
      <c r="G1115" s="8" t="s">
        <v>4643</v>
      </c>
      <c r="H1115" s="8" t="s">
        <v>634</v>
      </c>
      <c r="I1115" s="8" t="s">
        <v>123</v>
      </c>
      <c r="J1115" s="16" t="s">
        <v>4644</v>
      </c>
      <c r="K1115" s="2" t="s">
        <v>635</v>
      </c>
      <c r="L1115" s="8" t="s">
        <v>636</v>
      </c>
      <c r="M1115" s="8" t="s">
        <v>27</v>
      </c>
      <c r="N1115" s="2" t="s">
        <v>4645</v>
      </c>
      <c r="O1115" s="8" t="s">
        <v>400</v>
      </c>
      <c r="P1115" s="8" t="s">
        <v>401</v>
      </c>
      <c r="Q1115" s="12" t="s">
        <v>4646</v>
      </c>
      <c r="R1115" s="8" t="s">
        <v>100</v>
      </c>
      <c r="S1115" s="7" t="s">
        <v>379</v>
      </c>
      <c r="T1115" s="6"/>
      <c r="U1115" s="8"/>
      <c r="AU1115" s="8"/>
      <c r="AV1115" s="8"/>
      <c r="AW1115" s="8"/>
    </row>
    <row r="1116" spans="1:49" s="8" customFormat="1" ht="13" customHeight="1">
      <c r="A1116" s="8" t="s">
        <v>4647</v>
      </c>
      <c r="B1116" s="16">
        <v>35</v>
      </c>
      <c r="C1116" s="8" t="s">
        <v>20</v>
      </c>
      <c r="D1116" s="8" t="s">
        <v>945</v>
      </c>
      <c r="F1116" s="17">
        <v>42031</v>
      </c>
      <c r="G1116" s="8" t="s">
        <v>4648</v>
      </c>
      <c r="H1116" s="8" t="s">
        <v>1763</v>
      </c>
      <c r="I1116" s="8" t="s">
        <v>45</v>
      </c>
      <c r="J1116" s="16" t="s">
        <v>4649</v>
      </c>
      <c r="K1116" s="2" t="s">
        <v>1765</v>
      </c>
      <c r="L1116" s="8" t="s">
        <v>1766</v>
      </c>
      <c r="M1116" s="8" t="s">
        <v>27</v>
      </c>
      <c r="N1116" s="2" t="s">
        <v>4650</v>
      </c>
      <c r="O1116" s="8" t="s">
        <v>1013</v>
      </c>
      <c r="P1116" s="8" t="s">
        <v>401</v>
      </c>
      <c r="Q1116" s="12" t="s">
        <v>4651</v>
      </c>
      <c r="R1116" s="8" t="s">
        <v>2209</v>
      </c>
      <c r="S1116" s="7" t="s">
        <v>28</v>
      </c>
      <c r="T1116" s="6"/>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row>
    <row r="1117" spans="1:49" s="8" customFormat="1" ht="13" customHeight="1">
      <c r="A1117" s="8" t="s">
        <v>4652</v>
      </c>
      <c r="B1117" s="16">
        <v>39</v>
      </c>
      <c r="C1117" s="8" t="s">
        <v>114</v>
      </c>
      <c r="D1117" s="8" t="s">
        <v>37</v>
      </c>
      <c r="E1117" s="8" t="s">
        <v>4653</v>
      </c>
      <c r="F1117" s="17">
        <v>42031</v>
      </c>
      <c r="G1117" s="8" t="s">
        <v>4654</v>
      </c>
      <c r="H1117" s="8" t="s">
        <v>1631</v>
      </c>
      <c r="I1117" s="8" t="s">
        <v>463</v>
      </c>
      <c r="J1117" s="16" t="s">
        <v>4655</v>
      </c>
      <c r="K1117" s="2" t="s">
        <v>941</v>
      </c>
      <c r="L1117" s="8" t="s">
        <v>2258</v>
      </c>
      <c r="M1117" s="8" t="s">
        <v>27</v>
      </c>
      <c r="N1117" s="2" t="s">
        <v>4656</v>
      </c>
      <c r="O1117" s="8" t="s">
        <v>1013</v>
      </c>
      <c r="P1117" s="8" t="s">
        <v>401</v>
      </c>
      <c r="Q1117" s="12" t="s">
        <v>4657</v>
      </c>
      <c r="R1117" s="8" t="s">
        <v>29</v>
      </c>
      <c r="S1117" s="7" t="s">
        <v>28</v>
      </c>
      <c r="T1117" s="6"/>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row>
    <row r="1118" spans="1:49" s="8" customFormat="1" ht="13" customHeight="1">
      <c r="A1118" s="8" t="s">
        <v>4658</v>
      </c>
      <c r="B1118" s="16">
        <v>57</v>
      </c>
      <c r="C1118" s="8" t="s">
        <v>20</v>
      </c>
      <c r="D1118" s="8" t="s">
        <v>85</v>
      </c>
      <c r="F1118" s="17">
        <v>42030</v>
      </c>
      <c r="G1118" s="8" t="s">
        <v>4659</v>
      </c>
      <c r="H1118" s="8" t="s">
        <v>4660</v>
      </c>
      <c r="I1118" s="8" t="s">
        <v>45</v>
      </c>
      <c r="J1118" s="16">
        <v>94066</v>
      </c>
      <c r="K1118" s="2" t="s">
        <v>4661</v>
      </c>
      <c r="L1118" s="8" t="s">
        <v>4662</v>
      </c>
      <c r="M1118" s="8" t="s">
        <v>29</v>
      </c>
      <c r="N1118" s="2" t="s">
        <v>4663</v>
      </c>
      <c r="P1118" s="8" t="s">
        <v>401</v>
      </c>
      <c r="Q1118" s="12" t="s">
        <v>4664</v>
      </c>
      <c r="S1118" s="7" t="s">
        <v>18</v>
      </c>
      <c r="T1118" s="6"/>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row>
    <row r="1119" spans="1:49" s="8" customFormat="1" ht="13" customHeight="1">
      <c r="A1119" s="8" t="s">
        <v>4671</v>
      </c>
      <c r="B1119" s="16">
        <v>34</v>
      </c>
      <c r="C1119" s="8" t="s">
        <v>20</v>
      </c>
      <c r="D1119" s="8" t="s">
        <v>48</v>
      </c>
      <c r="F1119" s="17">
        <v>42030</v>
      </c>
      <c r="G1119" s="8" t="s">
        <v>4672</v>
      </c>
      <c r="H1119" s="8" t="s">
        <v>4673</v>
      </c>
      <c r="I1119" s="8" t="s">
        <v>45</v>
      </c>
      <c r="J1119" s="16" t="s">
        <v>4674</v>
      </c>
      <c r="K1119" s="2" t="s">
        <v>682</v>
      </c>
      <c r="L1119" s="8" t="s">
        <v>750</v>
      </c>
      <c r="M1119" s="8" t="s">
        <v>27</v>
      </c>
      <c r="N1119" s="2" t="s">
        <v>4675</v>
      </c>
      <c r="O1119" s="8" t="s">
        <v>550</v>
      </c>
      <c r="P1119" s="8" t="s">
        <v>401</v>
      </c>
      <c r="Q1119" s="12" t="s">
        <v>4676</v>
      </c>
      <c r="R1119" s="8" t="s">
        <v>555</v>
      </c>
      <c r="S1119" s="7" t="s">
        <v>28</v>
      </c>
      <c r="T1119" s="6"/>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row>
    <row r="1120" spans="1:49" s="8" customFormat="1" ht="13" customHeight="1">
      <c r="A1120" s="8" t="s">
        <v>4665</v>
      </c>
      <c r="B1120" s="16">
        <v>17</v>
      </c>
      <c r="C1120" s="8" t="s">
        <v>114</v>
      </c>
      <c r="D1120" s="8" t="s">
        <v>48</v>
      </c>
      <c r="E1120" s="8" t="s">
        <v>4666</v>
      </c>
      <c r="F1120" s="17">
        <v>42030</v>
      </c>
      <c r="G1120" s="8" t="s">
        <v>4667</v>
      </c>
      <c r="H1120" s="8" t="s">
        <v>1301</v>
      </c>
      <c r="I1120" s="8" t="s">
        <v>209</v>
      </c>
      <c r="J1120" s="16">
        <v>80207</v>
      </c>
      <c r="K1120" s="2" t="s">
        <v>4668</v>
      </c>
      <c r="L1120" s="8" t="s">
        <v>1302</v>
      </c>
      <c r="M1120" s="8" t="s">
        <v>27</v>
      </c>
      <c r="N1120" s="2" t="s">
        <v>4669</v>
      </c>
      <c r="O1120" s="8" t="s">
        <v>400</v>
      </c>
      <c r="P1120" s="8" t="s">
        <v>401</v>
      </c>
      <c r="Q1120" s="12" t="s">
        <v>4670</v>
      </c>
      <c r="R1120" s="8" t="s">
        <v>29</v>
      </c>
      <c r="S1120" s="7" t="s">
        <v>18</v>
      </c>
      <c r="T1120" s="6"/>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row>
    <row r="1121" spans="1:49" s="8" customFormat="1" ht="13" customHeight="1">
      <c r="A1121" s="8" t="s">
        <v>4677</v>
      </c>
      <c r="B1121" s="16">
        <v>24</v>
      </c>
      <c r="C1121" s="8" t="s">
        <v>20</v>
      </c>
      <c r="D1121" s="8" t="s">
        <v>48</v>
      </c>
      <c r="E1121" s="8" t="s">
        <v>4678</v>
      </c>
      <c r="F1121" s="17">
        <v>42030</v>
      </c>
      <c r="G1121" s="8" t="s">
        <v>4679</v>
      </c>
      <c r="H1121" s="8" t="s">
        <v>4680</v>
      </c>
      <c r="I1121" s="8" t="s">
        <v>73</v>
      </c>
      <c r="J1121" s="16" t="s">
        <v>4681</v>
      </c>
      <c r="K1121" s="2" t="s">
        <v>1275</v>
      </c>
      <c r="L1121" s="8" t="s">
        <v>4682</v>
      </c>
      <c r="M1121" s="8" t="s">
        <v>27</v>
      </c>
      <c r="N1121" s="2" t="s">
        <v>4683</v>
      </c>
      <c r="O1121" s="8" t="s">
        <v>1013</v>
      </c>
      <c r="P1121" s="8" t="s">
        <v>401</v>
      </c>
      <c r="Q1121" s="12" t="s">
        <v>4684</v>
      </c>
      <c r="R1121" s="8" t="s">
        <v>100</v>
      </c>
      <c r="S1121" s="7" t="s">
        <v>379</v>
      </c>
      <c r="T1121" s="6"/>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row>
    <row r="1122" spans="1:49" s="8" customFormat="1" ht="13" customHeight="1">
      <c r="A1122" s="8" t="s">
        <v>4693</v>
      </c>
      <c r="B1122" s="16">
        <v>35</v>
      </c>
      <c r="C1122" s="8" t="s">
        <v>114</v>
      </c>
      <c r="D1122" s="8" t="s">
        <v>30</v>
      </c>
      <c r="F1122" s="17">
        <v>42030</v>
      </c>
      <c r="G1122" s="8" t="s">
        <v>4694</v>
      </c>
      <c r="H1122" s="8" t="s">
        <v>2662</v>
      </c>
      <c r="I1122" s="8" t="s">
        <v>117</v>
      </c>
      <c r="J1122" s="16" t="s">
        <v>4695</v>
      </c>
      <c r="K1122" s="2" t="s">
        <v>420</v>
      </c>
      <c r="L1122" s="8" t="s">
        <v>4696</v>
      </c>
      <c r="M1122" s="8" t="s">
        <v>379</v>
      </c>
      <c r="N1122" s="2" t="s">
        <v>4697</v>
      </c>
      <c r="O1122" s="8" t="s">
        <v>1013</v>
      </c>
      <c r="P1122" s="8" t="s">
        <v>401</v>
      </c>
      <c r="Q1122" s="12" t="s">
        <v>4698</v>
      </c>
      <c r="R1122" s="8" t="s">
        <v>100</v>
      </c>
      <c r="S1122" s="7" t="s">
        <v>18</v>
      </c>
      <c r="T1122" s="6"/>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row>
    <row r="1123" spans="1:49" s="8" customFormat="1" ht="13" customHeight="1">
      <c r="A1123" s="8" t="s">
        <v>4685</v>
      </c>
      <c r="B1123" s="16">
        <v>29</v>
      </c>
      <c r="C1123" s="8" t="s">
        <v>20</v>
      </c>
      <c r="D1123" s="8" t="s">
        <v>37</v>
      </c>
      <c r="F1123" s="17">
        <v>42030</v>
      </c>
      <c r="G1123" s="8" t="s">
        <v>4686</v>
      </c>
      <c r="H1123" s="8" t="s">
        <v>4687</v>
      </c>
      <c r="I1123" s="8" t="s">
        <v>123</v>
      </c>
      <c r="J1123" s="16" t="s">
        <v>4688</v>
      </c>
      <c r="K1123" s="2" t="s">
        <v>4689</v>
      </c>
      <c r="L1123" s="8" t="s">
        <v>4690</v>
      </c>
      <c r="M1123" s="8" t="s">
        <v>27</v>
      </c>
      <c r="N1123" s="2" t="s">
        <v>4691</v>
      </c>
      <c r="O1123" s="8" t="s">
        <v>1013</v>
      </c>
      <c r="P1123" s="8" t="s">
        <v>401</v>
      </c>
      <c r="Q1123" s="12" t="s">
        <v>4692</v>
      </c>
      <c r="R1123" s="8" t="s">
        <v>100</v>
      </c>
      <c r="S1123" s="7" t="s">
        <v>28</v>
      </c>
      <c r="T1123" s="6"/>
      <c r="V1123" s="2"/>
      <c r="W1123" s="2"/>
      <c r="X1123" s="2"/>
      <c r="AI1123" s="2"/>
      <c r="AJ1123" s="2"/>
      <c r="AK1123" s="2"/>
      <c r="AL1123" s="2"/>
      <c r="AM1123" s="2"/>
      <c r="AN1123" s="2"/>
      <c r="AO1123" s="2"/>
      <c r="AP1123" s="2"/>
      <c r="AQ1123" s="2"/>
      <c r="AR1123" s="2"/>
      <c r="AS1123" s="2"/>
      <c r="AT1123" s="2"/>
    </row>
    <row r="1124" spans="1:49" s="8" customFormat="1" ht="13" customHeight="1">
      <c r="A1124" s="8" t="s">
        <v>4699</v>
      </c>
      <c r="B1124" s="16">
        <v>68</v>
      </c>
      <c r="C1124" s="8" t="s">
        <v>20</v>
      </c>
      <c r="D1124" s="8" t="s">
        <v>37</v>
      </c>
      <c r="E1124" s="8" t="s">
        <v>4700</v>
      </c>
      <c r="F1124" s="17">
        <v>42030</v>
      </c>
      <c r="G1124" s="8" t="s">
        <v>4701</v>
      </c>
      <c r="H1124" s="8" t="s">
        <v>4702</v>
      </c>
      <c r="I1124" s="8" t="s">
        <v>133</v>
      </c>
      <c r="J1124" s="16" t="s">
        <v>4703</v>
      </c>
      <c r="K1124" s="2" t="s">
        <v>1075</v>
      </c>
      <c r="L1124" s="8" t="s">
        <v>4704</v>
      </c>
      <c r="M1124" s="8" t="s">
        <v>27</v>
      </c>
      <c r="N1124" s="2" t="s">
        <v>4705</v>
      </c>
      <c r="O1124" s="8" t="s">
        <v>550</v>
      </c>
      <c r="P1124" s="8" t="s">
        <v>401</v>
      </c>
      <c r="Q1124" s="12" t="s">
        <v>4706</v>
      </c>
      <c r="R1124" s="8" t="s">
        <v>100</v>
      </c>
      <c r="S1124" s="7" t="s">
        <v>28</v>
      </c>
      <c r="T1124" s="6"/>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row>
    <row r="1125" spans="1:49" s="8" customFormat="1" ht="13" customHeight="1">
      <c r="A1125" s="8" t="s">
        <v>4707</v>
      </c>
      <c r="B1125" s="16">
        <v>26</v>
      </c>
      <c r="C1125" s="8" t="s">
        <v>20</v>
      </c>
      <c r="D1125" s="8" t="s">
        <v>48</v>
      </c>
      <c r="E1125" s="8" t="s">
        <v>4708</v>
      </c>
      <c r="F1125" s="17">
        <v>42029</v>
      </c>
      <c r="G1125" s="8" t="s">
        <v>4709</v>
      </c>
      <c r="H1125" s="8" t="s">
        <v>4710</v>
      </c>
      <c r="I1125" s="8" t="s">
        <v>209</v>
      </c>
      <c r="J1125" s="16" t="s">
        <v>4711</v>
      </c>
      <c r="K1125" s="2" t="s">
        <v>4710</v>
      </c>
      <c r="L1125" s="8" t="s">
        <v>4712</v>
      </c>
      <c r="M1125" s="8" t="s">
        <v>27</v>
      </c>
      <c r="N1125" s="2" t="s">
        <v>4713</v>
      </c>
      <c r="O1125" s="8" t="s">
        <v>4714</v>
      </c>
      <c r="P1125" s="8" t="s">
        <v>401</v>
      </c>
      <c r="Q1125" s="12" t="s">
        <v>4715</v>
      </c>
      <c r="R1125" s="8" t="s">
        <v>100</v>
      </c>
      <c r="S1125" s="7" t="s">
        <v>28</v>
      </c>
      <c r="T1125" s="6"/>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row>
    <row r="1126" spans="1:49" s="8" customFormat="1" ht="13" customHeight="1">
      <c r="A1126" s="8" t="s">
        <v>4716</v>
      </c>
      <c r="B1126" s="16">
        <v>59</v>
      </c>
      <c r="C1126" s="8" t="s">
        <v>20</v>
      </c>
      <c r="D1126" s="8" t="s">
        <v>30</v>
      </c>
      <c r="F1126" s="17">
        <v>42029</v>
      </c>
      <c r="G1126" s="8" t="s">
        <v>4717</v>
      </c>
      <c r="H1126" s="8" t="s">
        <v>4718</v>
      </c>
      <c r="I1126" s="8" t="s">
        <v>81</v>
      </c>
      <c r="J1126" s="16" t="s">
        <v>4719</v>
      </c>
      <c r="K1126" s="2" t="s">
        <v>1509</v>
      </c>
      <c r="L1126" s="8" t="s">
        <v>4720</v>
      </c>
      <c r="M1126" s="8" t="s">
        <v>27</v>
      </c>
      <c r="N1126" s="2" t="s">
        <v>4721</v>
      </c>
      <c r="O1126" s="8" t="s">
        <v>1013</v>
      </c>
      <c r="P1126" s="8" t="s">
        <v>401</v>
      </c>
      <c r="Q1126" s="12" t="s">
        <v>4722</v>
      </c>
      <c r="R1126" s="8" t="s">
        <v>100</v>
      </c>
      <c r="S1126" s="7" t="s">
        <v>28</v>
      </c>
      <c r="T1126" s="6"/>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row>
    <row r="1127" spans="1:49" s="8" customFormat="1" ht="13" customHeight="1">
      <c r="A1127" s="8" t="s">
        <v>4723</v>
      </c>
      <c r="B1127" s="16">
        <v>26</v>
      </c>
      <c r="C1127" s="8" t="s">
        <v>20</v>
      </c>
      <c r="D1127" s="8" t="s">
        <v>85</v>
      </c>
      <c r="E1127" s="8" t="s">
        <v>4724</v>
      </c>
      <c r="F1127" s="17">
        <v>42028</v>
      </c>
      <c r="G1127" s="8" t="s">
        <v>4725</v>
      </c>
      <c r="H1127" s="8" t="s">
        <v>1596</v>
      </c>
      <c r="I1127" s="8" t="s">
        <v>52</v>
      </c>
      <c r="J1127" s="16" t="s">
        <v>4726</v>
      </c>
      <c r="K1127" s="2" t="s">
        <v>4727</v>
      </c>
      <c r="L1127" s="8" t="s">
        <v>2782</v>
      </c>
      <c r="M1127" s="8" t="s">
        <v>27</v>
      </c>
      <c r="N1127" s="2" t="s">
        <v>4728</v>
      </c>
      <c r="O1127" s="8" t="s">
        <v>1013</v>
      </c>
      <c r="P1127" s="8" t="s">
        <v>401</v>
      </c>
      <c r="Q1127" s="12" t="s">
        <v>4729</v>
      </c>
      <c r="R1127" s="8" t="s">
        <v>100</v>
      </c>
      <c r="S1127" s="7" t="s">
        <v>28</v>
      </c>
      <c r="T1127" s="6"/>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row>
    <row r="1128" spans="1:49" s="8" customFormat="1" ht="13" customHeight="1">
      <c r="A1128" s="8" t="s">
        <v>4730</v>
      </c>
      <c r="B1128" s="16">
        <v>45</v>
      </c>
      <c r="C1128" s="8" t="s">
        <v>20</v>
      </c>
      <c r="D1128" s="8" t="s">
        <v>37</v>
      </c>
      <c r="F1128" s="17">
        <v>42028</v>
      </c>
      <c r="G1128" s="8" t="s">
        <v>4731</v>
      </c>
      <c r="H1128" s="8" t="s">
        <v>4732</v>
      </c>
      <c r="I1128" s="8" t="s">
        <v>793</v>
      </c>
      <c r="J1128" s="16" t="s">
        <v>4733</v>
      </c>
      <c r="K1128" s="2" t="s">
        <v>2165</v>
      </c>
      <c r="L1128" s="8" t="s">
        <v>4734</v>
      </c>
      <c r="M1128" s="8" t="s">
        <v>27</v>
      </c>
      <c r="N1128" s="2" t="s">
        <v>4735</v>
      </c>
      <c r="O1128" s="8" t="s">
        <v>1013</v>
      </c>
      <c r="P1128" s="8" t="s">
        <v>401</v>
      </c>
      <c r="Q1128" s="12" t="s">
        <v>4736</v>
      </c>
      <c r="R1128" s="8" t="s">
        <v>100</v>
      </c>
      <c r="S1128" s="7" t="s">
        <v>28</v>
      </c>
      <c r="T1128" s="6"/>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row>
    <row r="1129" spans="1:49" s="8" customFormat="1" ht="13" customHeight="1">
      <c r="A1129" s="8" t="s">
        <v>4745</v>
      </c>
      <c r="B1129" s="16">
        <v>29</v>
      </c>
      <c r="C1129" s="8" t="s">
        <v>20</v>
      </c>
      <c r="D1129" s="8" t="s">
        <v>85</v>
      </c>
      <c r="F1129" s="17">
        <v>42027</v>
      </c>
      <c r="G1129" s="8" t="s">
        <v>4746</v>
      </c>
      <c r="H1129" s="8" t="s">
        <v>4747</v>
      </c>
      <c r="I1129" s="8" t="s">
        <v>62</v>
      </c>
      <c r="J1129" s="16" t="s">
        <v>4748</v>
      </c>
      <c r="K1129" s="2" t="s">
        <v>1127</v>
      </c>
      <c r="L1129" s="8" t="s">
        <v>4749</v>
      </c>
      <c r="M1129" s="8" t="s">
        <v>27</v>
      </c>
      <c r="N1129" s="2" t="s">
        <v>4750</v>
      </c>
      <c r="O1129" s="8" t="s">
        <v>1013</v>
      </c>
      <c r="P1129" s="8" t="s">
        <v>401</v>
      </c>
      <c r="Q1129" s="12" t="s">
        <v>4751</v>
      </c>
      <c r="R1129" s="8" t="s">
        <v>100</v>
      </c>
      <c r="S1129" s="7" t="s">
        <v>379</v>
      </c>
      <c r="T1129" s="6"/>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row>
    <row r="1130" spans="1:49" s="8" customFormat="1" ht="13" customHeight="1">
      <c r="A1130" s="8" t="s">
        <v>4737</v>
      </c>
      <c r="B1130" s="16">
        <v>56</v>
      </c>
      <c r="C1130" s="8" t="s">
        <v>20</v>
      </c>
      <c r="D1130" s="8" t="s">
        <v>48</v>
      </c>
      <c r="F1130" s="17">
        <v>42027</v>
      </c>
      <c r="G1130" s="8" t="s">
        <v>4738</v>
      </c>
      <c r="H1130" s="8" t="s">
        <v>4739</v>
      </c>
      <c r="I1130" s="8" t="s">
        <v>73</v>
      </c>
      <c r="J1130" s="16" t="s">
        <v>4740</v>
      </c>
      <c r="K1130" s="2" t="s">
        <v>4741</v>
      </c>
      <c r="L1130" s="8" t="s">
        <v>4742</v>
      </c>
      <c r="M1130" s="8" t="s">
        <v>27</v>
      </c>
      <c r="N1130" s="2" t="s">
        <v>4743</v>
      </c>
      <c r="O1130" s="8" t="s">
        <v>400</v>
      </c>
      <c r="P1130" s="8" t="s">
        <v>401</v>
      </c>
      <c r="Q1130" s="12" t="s">
        <v>4744</v>
      </c>
      <c r="R1130" s="8" t="s">
        <v>29</v>
      </c>
      <c r="S1130" s="7" t="s">
        <v>28</v>
      </c>
      <c r="T1130" s="6"/>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row>
    <row r="1131" spans="1:49" s="8" customFormat="1" ht="13" customHeight="1">
      <c r="A1131" s="8" t="s">
        <v>4752</v>
      </c>
      <c r="B1131" s="16">
        <v>61</v>
      </c>
      <c r="C1131" s="8" t="s">
        <v>20</v>
      </c>
      <c r="D1131" s="8" t="s">
        <v>37</v>
      </c>
      <c r="E1131" s="8" t="s">
        <v>4753</v>
      </c>
      <c r="F1131" s="17">
        <v>42027</v>
      </c>
      <c r="G1131" s="8" t="s">
        <v>4754</v>
      </c>
      <c r="H1131" s="8" t="s">
        <v>1316</v>
      </c>
      <c r="I1131" s="8" t="s">
        <v>73</v>
      </c>
      <c r="J1131" s="16" t="s">
        <v>4755</v>
      </c>
      <c r="K1131" s="2" t="s">
        <v>1317</v>
      </c>
      <c r="L1131" s="8" t="s">
        <v>1318</v>
      </c>
      <c r="M1131" s="8" t="s">
        <v>27</v>
      </c>
      <c r="N1131" s="2" t="s">
        <v>4756</v>
      </c>
      <c r="O1131" s="8" t="s">
        <v>400</v>
      </c>
      <c r="P1131" s="8" t="s">
        <v>401</v>
      </c>
      <c r="Q1131" s="12" t="str">
        <f>HYPERLINK("http://www.statesman.com/news/news/local/officer-involved-shooting-being-investigated/njtpW/","http://www.statesman.com/news/news/local/officer-involved-shooting-being-investigated/njtpW/")</f>
        <v>http://www.statesman.com/news/news/local/officer-involved-shooting-being-investigated/njtpW/</v>
      </c>
      <c r="R1131" s="8" t="s">
        <v>555</v>
      </c>
      <c r="S1131" s="7" t="s">
        <v>28</v>
      </c>
      <c r="T1131" s="6"/>
      <c r="V1131" s="2"/>
      <c r="W1131" s="2"/>
      <c r="X1131" s="2"/>
      <c r="AI1131" s="2"/>
      <c r="AJ1131" s="2"/>
      <c r="AK1131" s="2"/>
      <c r="AL1131" s="2"/>
      <c r="AM1131" s="2"/>
      <c r="AN1131" s="2"/>
      <c r="AO1131" s="2"/>
      <c r="AP1131" s="2"/>
      <c r="AQ1131" s="2"/>
      <c r="AR1131" s="2"/>
      <c r="AS1131" s="2"/>
      <c r="AT1131" s="2"/>
    </row>
    <row r="1132" spans="1:49" s="8" customFormat="1" ht="13" customHeight="1">
      <c r="A1132" s="8" t="s">
        <v>4757</v>
      </c>
      <c r="B1132" s="16">
        <v>25</v>
      </c>
      <c r="C1132" s="8" t="s">
        <v>20</v>
      </c>
      <c r="D1132" s="8" t="s">
        <v>85</v>
      </c>
      <c r="E1132" s="8" t="s">
        <v>20661</v>
      </c>
      <c r="F1132" s="17">
        <v>42026</v>
      </c>
      <c r="G1132" s="8" t="s">
        <v>4758</v>
      </c>
      <c r="H1132" s="8" t="s">
        <v>4759</v>
      </c>
      <c r="I1132" s="8" t="s">
        <v>73</v>
      </c>
      <c r="J1132" s="16" t="s">
        <v>4760</v>
      </c>
      <c r="K1132" s="2" t="s">
        <v>4761</v>
      </c>
      <c r="L1132" s="8" t="s">
        <v>4762</v>
      </c>
      <c r="M1132" s="8" t="s">
        <v>27</v>
      </c>
      <c r="N1132" s="2" t="s">
        <v>4763</v>
      </c>
      <c r="O1132" s="8" t="s">
        <v>1013</v>
      </c>
      <c r="P1132" s="8" t="s">
        <v>401</v>
      </c>
      <c r="Q1132" s="12" t="s">
        <v>4764</v>
      </c>
      <c r="R1132" s="8" t="s">
        <v>100</v>
      </c>
      <c r="S1132" s="7" t="s">
        <v>18</v>
      </c>
      <c r="T1132" s="6"/>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row>
    <row r="1133" spans="1:49" s="8" customFormat="1" ht="13" customHeight="1">
      <c r="A1133" s="8" t="s">
        <v>4765</v>
      </c>
      <c r="B1133" s="16">
        <v>17</v>
      </c>
      <c r="C1133" s="8" t="s">
        <v>114</v>
      </c>
      <c r="D1133" s="8" t="s">
        <v>37</v>
      </c>
      <c r="E1133" s="8" t="s">
        <v>4766</v>
      </c>
      <c r="F1133" s="17">
        <v>42026</v>
      </c>
      <c r="G1133" s="8" t="s">
        <v>4767</v>
      </c>
      <c r="H1133" s="8" t="s">
        <v>595</v>
      </c>
      <c r="I1133" s="8" t="s">
        <v>73</v>
      </c>
      <c r="J1133" s="16" t="s">
        <v>4768</v>
      </c>
      <c r="K1133" s="2" t="s">
        <v>596</v>
      </c>
      <c r="L1133" s="8" t="s">
        <v>597</v>
      </c>
      <c r="M1133" s="8" t="s">
        <v>3343</v>
      </c>
      <c r="N1133" s="2" t="s">
        <v>4769</v>
      </c>
      <c r="O1133" s="8" t="s">
        <v>1013</v>
      </c>
      <c r="P1133" s="8" t="s">
        <v>401</v>
      </c>
      <c r="Q1133" s="12" t="s">
        <v>4770</v>
      </c>
      <c r="R1133" s="8" t="s">
        <v>100</v>
      </c>
      <c r="S1133" s="7" t="s">
        <v>28</v>
      </c>
      <c r="T1133" s="6"/>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row>
    <row r="1134" spans="1:49" s="8" customFormat="1" ht="13" customHeight="1">
      <c r="A1134" s="8" t="s">
        <v>4771</v>
      </c>
      <c r="B1134" s="16">
        <v>19</v>
      </c>
      <c r="C1134" s="8" t="s">
        <v>20</v>
      </c>
      <c r="D1134" s="8" t="s">
        <v>85</v>
      </c>
      <c r="E1134" s="8" t="s">
        <v>4772</v>
      </c>
      <c r="F1134" s="17">
        <v>42025</v>
      </c>
      <c r="G1134" s="8" t="s">
        <v>4773</v>
      </c>
      <c r="H1134" s="8" t="s">
        <v>712</v>
      </c>
      <c r="I1134" s="8" t="s">
        <v>431</v>
      </c>
      <c r="J1134" s="16" t="s">
        <v>4774</v>
      </c>
      <c r="K1134" s="2" t="s">
        <v>712</v>
      </c>
      <c r="L1134" s="8" t="s">
        <v>4545</v>
      </c>
      <c r="M1134" s="8" t="s">
        <v>27</v>
      </c>
      <c r="N1134" s="2" t="s">
        <v>4775</v>
      </c>
      <c r="O1134" s="8" t="s">
        <v>400</v>
      </c>
      <c r="P1134" s="8" t="s">
        <v>401</v>
      </c>
      <c r="Q1134" s="12" t="s">
        <v>4776</v>
      </c>
      <c r="R1134" s="8" t="s">
        <v>100</v>
      </c>
      <c r="S1134" s="7" t="s">
        <v>28</v>
      </c>
      <c r="T1134" s="6"/>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row>
    <row r="1135" spans="1:49" s="8" customFormat="1" ht="13" customHeight="1">
      <c r="A1135" s="8" t="s">
        <v>4777</v>
      </c>
      <c r="B1135" s="16">
        <v>36</v>
      </c>
      <c r="C1135" s="8" t="s">
        <v>20</v>
      </c>
      <c r="D1135" s="8" t="s">
        <v>48</v>
      </c>
      <c r="E1135" s="8" t="s">
        <v>4778</v>
      </c>
      <c r="F1135" s="17">
        <v>42025</v>
      </c>
      <c r="G1135" s="8" t="s">
        <v>4779</v>
      </c>
      <c r="H1135" s="8" t="s">
        <v>4780</v>
      </c>
      <c r="I1135" s="8" t="s">
        <v>73</v>
      </c>
      <c r="J1135" s="16" t="s">
        <v>4781</v>
      </c>
      <c r="K1135" s="2" t="s">
        <v>4782</v>
      </c>
      <c r="L1135" s="8" t="s">
        <v>4762</v>
      </c>
      <c r="M1135" s="8" t="s">
        <v>27</v>
      </c>
      <c r="N1135" s="2" t="s">
        <v>4783</v>
      </c>
      <c r="O1135" s="8" t="s">
        <v>1013</v>
      </c>
      <c r="P1135" s="8" t="s">
        <v>401</v>
      </c>
      <c r="Q1135" s="12" t="s">
        <v>4784</v>
      </c>
      <c r="R1135" s="8" t="s">
        <v>100</v>
      </c>
      <c r="S1135" s="7" t="s">
        <v>28</v>
      </c>
      <c r="T1135" s="6"/>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row>
    <row r="1136" spans="1:49" ht="13" customHeight="1">
      <c r="A1136" s="8" t="s">
        <v>3267</v>
      </c>
      <c r="B1136" s="16" t="s">
        <v>29</v>
      </c>
      <c r="C1136" s="8" t="s">
        <v>20</v>
      </c>
      <c r="D1136" s="8" t="s">
        <v>48</v>
      </c>
      <c r="F1136" s="17">
        <v>42025</v>
      </c>
      <c r="H1136" s="8" t="s">
        <v>4782</v>
      </c>
      <c r="I1136" s="8" t="s">
        <v>73</v>
      </c>
      <c r="J1136" s="16">
        <v>78536</v>
      </c>
      <c r="K1136" s="2" t="s">
        <v>4782</v>
      </c>
      <c r="L1136" s="8" t="s">
        <v>4762</v>
      </c>
      <c r="M1136" s="8" t="s">
        <v>27</v>
      </c>
      <c r="N1136" s="2" t="s">
        <v>4785</v>
      </c>
      <c r="O1136" s="8" t="s">
        <v>401</v>
      </c>
      <c r="P1136" s="8" t="s">
        <v>401</v>
      </c>
      <c r="Q1136" s="12" t="s">
        <v>4786</v>
      </c>
      <c r="S1136" s="7" t="s">
        <v>28</v>
      </c>
      <c r="T1136" s="8"/>
      <c r="U1136" s="8"/>
    </row>
    <row r="1137" spans="1:39" ht="13" customHeight="1">
      <c r="A1137" s="8" t="s">
        <v>4787</v>
      </c>
      <c r="B1137" s="16">
        <v>54</v>
      </c>
      <c r="C1137" s="8" t="s">
        <v>20</v>
      </c>
      <c r="D1137" s="8" t="s">
        <v>37</v>
      </c>
      <c r="F1137" s="17">
        <v>42025</v>
      </c>
      <c r="G1137" s="8" t="s">
        <v>4788</v>
      </c>
      <c r="H1137" s="8" t="s">
        <v>4789</v>
      </c>
      <c r="I1137" s="8" t="s">
        <v>506</v>
      </c>
      <c r="J1137" s="16" t="s">
        <v>4790</v>
      </c>
      <c r="K1137" s="2" t="s">
        <v>4791</v>
      </c>
      <c r="L1137" s="8" t="s">
        <v>4792</v>
      </c>
      <c r="M1137" s="8" t="s">
        <v>27</v>
      </c>
      <c r="N1137" s="2" t="s">
        <v>4793</v>
      </c>
      <c r="O1137" s="8" t="s">
        <v>400</v>
      </c>
      <c r="P1137" s="8" t="s">
        <v>401</v>
      </c>
      <c r="Q1137" s="12" t="s">
        <v>4794</v>
      </c>
      <c r="R1137" s="8" t="s">
        <v>555</v>
      </c>
      <c r="S1137" s="7" t="s">
        <v>28</v>
      </c>
      <c r="T1137" s="6"/>
      <c r="U1137" s="8"/>
    </row>
    <row r="1138" spans="1:39" ht="13" customHeight="1">
      <c r="A1138" s="8" t="s">
        <v>4804</v>
      </c>
      <c r="B1138" s="16">
        <v>36</v>
      </c>
      <c r="C1138" s="8" t="s">
        <v>20</v>
      </c>
      <c r="D1138" s="8" t="s">
        <v>37</v>
      </c>
      <c r="E1138" s="8" t="s">
        <v>4805</v>
      </c>
      <c r="F1138" s="17">
        <v>42025</v>
      </c>
      <c r="G1138" s="8" t="s">
        <v>4806</v>
      </c>
      <c r="H1138" s="8" t="s">
        <v>785</v>
      </c>
      <c r="I1138" s="8" t="s">
        <v>45</v>
      </c>
      <c r="J1138" s="16" t="s">
        <v>2840</v>
      </c>
      <c r="K1138" s="2" t="s">
        <v>786</v>
      </c>
      <c r="L1138" s="8" t="s">
        <v>4807</v>
      </c>
      <c r="M1138" s="8" t="s">
        <v>27</v>
      </c>
      <c r="N1138" s="2" t="s">
        <v>4808</v>
      </c>
      <c r="O1138" s="8" t="s">
        <v>1013</v>
      </c>
      <c r="P1138" s="8" t="s">
        <v>401</v>
      </c>
      <c r="Q1138" s="12" t="s">
        <v>4809</v>
      </c>
      <c r="R1138" s="8" t="s">
        <v>100</v>
      </c>
      <c r="S1138" s="7" t="s">
        <v>28</v>
      </c>
      <c r="T1138" s="6"/>
      <c r="U1138" s="8"/>
    </row>
    <row r="1139" spans="1:39" ht="13" customHeight="1">
      <c r="A1139" s="8" t="s">
        <v>4795</v>
      </c>
      <c r="B1139" s="16">
        <v>45</v>
      </c>
      <c r="C1139" s="8" t="s">
        <v>20</v>
      </c>
      <c r="D1139" s="8" t="s">
        <v>37</v>
      </c>
      <c r="E1139" s="8" t="s">
        <v>4796</v>
      </c>
      <c r="F1139" s="17">
        <v>42025</v>
      </c>
      <c r="G1139" s="8" t="s">
        <v>4797</v>
      </c>
      <c r="H1139" s="8" t="s">
        <v>4798</v>
      </c>
      <c r="I1139" s="8" t="s">
        <v>671</v>
      </c>
      <c r="J1139" s="16" t="s">
        <v>4799</v>
      </c>
      <c r="K1139" s="2" t="s">
        <v>4800</v>
      </c>
      <c r="L1139" s="8" t="s">
        <v>4801</v>
      </c>
      <c r="M1139" s="8" t="s">
        <v>27</v>
      </c>
      <c r="N1139" s="2" t="s">
        <v>4802</v>
      </c>
      <c r="O1139" s="8" t="s">
        <v>400</v>
      </c>
      <c r="P1139" s="8" t="s">
        <v>401</v>
      </c>
      <c r="Q1139" s="12" t="s">
        <v>4803</v>
      </c>
      <c r="R1139" s="8" t="s">
        <v>100</v>
      </c>
      <c r="S1139" s="7" t="s">
        <v>28</v>
      </c>
      <c r="T1139" s="6"/>
      <c r="U1139" s="8"/>
    </row>
    <row r="1140" spans="1:39" ht="13" customHeight="1">
      <c r="A1140" s="8" t="s">
        <v>4810</v>
      </c>
      <c r="B1140" s="16">
        <v>49</v>
      </c>
      <c r="C1140" s="8" t="s">
        <v>20</v>
      </c>
      <c r="D1140" s="8" t="s">
        <v>37</v>
      </c>
      <c r="E1140" s="8" t="s">
        <v>4811</v>
      </c>
      <c r="F1140" s="17">
        <v>42023</v>
      </c>
      <c r="G1140" s="8" t="s">
        <v>4812</v>
      </c>
      <c r="H1140" s="8" t="s">
        <v>4813</v>
      </c>
      <c r="I1140" s="8" t="s">
        <v>46</v>
      </c>
      <c r="J1140" s="16" t="s">
        <v>4814</v>
      </c>
      <c r="K1140" s="2" t="s">
        <v>3332</v>
      </c>
      <c r="L1140" s="8" t="s">
        <v>4815</v>
      </c>
      <c r="M1140" s="8" t="s">
        <v>27</v>
      </c>
      <c r="N1140" s="2" t="s">
        <v>4816</v>
      </c>
      <c r="O1140" s="8" t="s">
        <v>400</v>
      </c>
      <c r="P1140" s="8" t="s">
        <v>401</v>
      </c>
      <c r="Q1140" s="12" t="s">
        <v>4817</v>
      </c>
      <c r="R1140" s="8" t="s">
        <v>29</v>
      </c>
      <c r="S1140" s="7" t="s">
        <v>28</v>
      </c>
      <c r="T1140" s="6"/>
      <c r="U1140" s="8"/>
      <c r="V1140" s="8"/>
      <c r="W1140" s="8"/>
      <c r="X1140" s="8"/>
    </row>
    <row r="1141" spans="1:39" ht="13" customHeight="1">
      <c r="A1141" s="8" t="s">
        <v>4827</v>
      </c>
      <c r="B1141" s="16">
        <v>32</v>
      </c>
      <c r="C1141" s="8" t="s">
        <v>20</v>
      </c>
      <c r="D1141" s="8" t="s">
        <v>37</v>
      </c>
      <c r="E1141" s="8" t="s">
        <v>4828</v>
      </c>
      <c r="F1141" s="17">
        <v>42022</v>
      </c>
      <c r="G1141" s="8" t="s">
        <v>4829</v>
      </c>
      <c r="H1141" s="8" t="s">
        <v>635</v>
      </c>
      <c r="I1141" s="8" t="s">
        <v>123</v>
      </c>
      <c r="J1141" s="16" t="s">
        <v>4830</v>
      </c>
      <c r="K1141" s="2" t="s">
        <v>635</v>
      </c>
      <c r="L1141" s="8" t="s">
        <v>4831</v>
      </c>
      <c r="M1141" s="8" t="s">
        <v>27</v>
      </c>
      <c r="N1141" s="2" t="s">
        <v>4832</v>
      </c>
      <c r="O1141" s="8" t="s">
        <v>400</v>
      </c>
      <c r="P1141" s="8" t="s">
        <v>401</v>
      </c>
      <c r="Q1141" s="12" t="s">
        <v>4833</v>
      </c>
      <c r="R1141" s="8" t="s">
        <v>29</v>
      </c>
      <c r="S1141" s="7" t="s">
        <v>28</v>
      </c>
      <c r="T1141" s="6"/>
      <c r="U1141" s="8"/>
    </row>
    <row r="1142" spans="1:39" ht="13" customHeight="1">
      <c r="A1142" s="8" t="s">
        <v>4818</v>
      </c>
      <c r="B1142" s="16">
        <v>67</v>
      </c>
      <c r="C1142" s="8" t="s">
        <v>20</v>
      </c>
      <c r="D1142" s="8" t="s">
        <v>37</v>
      </c>
      <c r="E1142" s="8" t="s">
        <v>4819</v>
      </c>
      <c r="F1142" s="17">
        <v>42022</v>
      </c>
      <c r="G1142" s="8" t="s">
        <v>4820</v>
      </c>
      <c r="H1142" s="8" t="s">
        <v>4821</v>
      </c>
      <c r="I1142" s="8" t="s">
        <v>315</v>
      </c>
      <c r="J1142" s="16" t="s">
        <v>4822</v>
      </c>
      <c r="K1142" s="2" t="s">
        <v>4823</v>
      </c>
      <c r="L1142" s="8" t="s">
        <v>4824</v>
      </c>
      <c r="M1142" s="8" t="s">
        <v>27</v>
      </c>
      <c r="N1142" s="2" t="s">
        <v>4825</v>
      </c>
      <c r="O1142" s="8" t="s">
        <v>400</v>
      </c>
      <c r="P1142" s="8" t="s">
        <v>401</v>
      </c>
      <c r="Q1142" s="12" t="s">
        <v>4826</v>
      </c>
      <c r="R1142" s="8" t="s">
        <v>100</v>
      </c>
      <c r="S1142" s="7" t="s">
        <v>28</v>
      </c>
      <c r="T1142" s="6"/>
      <c r="U1142" s="8"/>
    </row>
    <row r="1143" spans="1:39" ht="13" customHeight="1">
      <c r="A1143" s="8" t="s">
        <v>4840</v>
      </c>
      <c r="B1143" s="16">
        <v>21</v>
      </c>
      <c r="C1143" s="8" t="s">
        <v>20</v>
      </c>
      <c r="D1143" s="8" t="s">
        <v>85</v>
      </c>
      <c r="E1143" s="8" t="s">
        <v>4841</v>
      </c>
      <c r="F1143" s="17">
        <v>42021</v>
      </c>
      <c r="G1143" s="8" t="s">
        <v>4842</v>
      </c>
      <c r="H1143" s="8" t="s">
        <v>3104</v>
      </c>
      <c r="I1143" s="8" t="s">
        <v>395</v>
      </c>
      <c r="J1143" s="16" t="s">
        <v>4843</v>
      </c>
      <c r="K1143" s="2" t="s">
        <v>3104</v>
      </c>
      <c r="L1143" s="8" t="s">
        <v>4844</v>
      </c>
      <c r="M1143" s="8" t="s">
        <v>27</v>
      </c>
      <c r="N1143" s="2" t="s">
        <v>4845</v>
      </c>
      <c r="O1143" s="8" t="s">
        <v>550</v>
      </c>
      <c r="P1143" s="8" t="s">
        <v>401</v>
      </c>
      <c r="Q1143" s="12" t="s">
        <v>4846</v>
      </c>
      <c r="R1143" s="8" t="s">
        <v>100</v>
      </c>
      <c r="S1143" s="7" t="s">
        <v>28</v>
      </c>
      <c r="T1143" s="6"/>
      <c r="U1143" s="8"/>
    </row>
    <row r="1144" spans="1:39" ht="13" customHeight="1">
      <c r="A1144" s="8" t="s">
        <v>4834</v>
      </c>
      <c r="B1144" s="16">
        <v>27</v>
      </c>
      <c r="C1144" s="8" t="s">
        <v>20</v>
      </c>
      <c r="D1144" s="8" t="s">
        <v>85</v>
      </c>
      <c r="E1144" s="8" t="s">
        <v>4835</v>
      </c>
      <c r="F1144" s="17">
        <v>42021</v>
      </c>
      <c r="G1144" s="8" t="s">
        <v>4836</v>
      </c>
      <c r="H1144" s="8" t="s">
        <v>929</v>
      </c>
      <c r="I1144" s="8" t="s">
        <v>73</v>
      </c>
      <c r="J1144" s="16" t="s">
        <v>4837</v>
      </c>
      <c r="K1144" s="2" t="s">
        <v>74</v>
      </c>
      <c r="L1144" s="8" t="s">
        <v>930</v>
      </c>
      <c r="M1144" s="8" t="s">
        <v>27</v>
      </c>
      <c r="N1144" s="2" t="s">
        <v>4838</v>
      </c>
      <c r="O1144" s="8" t="s">
        <v>1013</v>
      </c>
      <c r="P1144" s="8" t="s">
        <v>401</v>
      </c>
      <c r="Q1144" s="12" t="s">
        <v>4839</v>
      </c>
      <c r="R1144" s="8" t="s">
        <v>100</v>
      </c>
      <c r="S1144" s="7" t="s">
        <v>28</v>
      </c>
      <c r="T1144" s="6"/>
      <c r="U1144" s="8"/>
    </row>
    <row r="1145" spans="1:39" ht="13" customHeight="1">
      <c r="A1145" s="8" t="s">
        <v>4847</v>
      </c>
      <c r="B1145" s="16">
        <v>24</v>
      </c>
      <c r="C1145" s="8" t="s">
        <v>20</v>
      </c>
      <c r="D1145" s="8" t="s">
        <v>48</v>
      </c>
      <c r="E1145" s="8" t="s">
        <v>4848</v>
      </c>
      <c r="F1145" s="17">
        <v>42021</v>
      </c>
      <c r="G1145" s="8" t="s">
        <v>4849</v>
      </c>
      <c r="H1145" s="8" t="s">
        <v>98</v>
      </c>
      <c r="I1145" s="8" t="s">
        <v>45</v>
      </c>
      <c r="J1145" s="16" t="s">
        <v>4850</v>
      </c>
      <c r="K1145" s="2" t="s">
        <v>98</v>
      </c>
      <c r="L1145" s="8" t="s">
        <v>99</v>
      </c>
      <c r="M1145" s="8" t="s">
        <v>27</v>
      </c>
      <c r="N1145" s="2" t="s">
        <v>4851</v>
      </c>
      <c r="O1145" s="8" t="s">
        <v>1013</v>
      </c>
      <c r="P1145" s="8" t="s">
        <v>401</v>
      </c>
      <c r="Q1145" s="12" t="s">
        <v>4852</v>
      </c>
      <c r="R1145" s="8" t="s">
        <v>29</v>
      </c>
      <c r="S1145" s="7" t="s">
        <v>28</v>
      </c>
      <c r="T1145" s="6"/>
      <c r="U1145" s="8"/>
    </row>
    <row r="1146" spans="1:39" ht="13" customHeight="1">
      <c r="A1146" s="8" t="s">
        <v>4853</v>
      </c>
      <c r="B1146" s="16">
        <v>57</v>
      </c>
      <c r="C1146" s="8" t="s">
        <v>20</v>
      </c>
      <c r="D1146" s="8" t="s">
        <v>21</v>
      </c>
      <c r="E1146" s="8" t="s">
        <v>4854</v>
      </c>
      <c r="F1146" s="17">
        <v>42020</v>
      </c>
      <c r="G1146" s="8" t="s">
        <v>4855</v>
      </c>
      <c r="H1146" s="8" t="s">
        <v>4856</v>
      </c>
      <c r="I1146" s="8" t="s">
        <v>133</v>
      </c>
      <c r="J1146" s="16" t="s">
        <v>4857</v>
      </c>
      <c r="K1146" s="2" t="s">
        <v>1075</v>
      </c>
      <c r="L1146" s="8" t="s">
        <v>4858</v>
      </c>
      <c r="M1146" s="8" t="s">
        <v>391</v>
      </c>
      <c r="N1146" s="2" t="s">
        <v>4859</v>
      </c>
      <c r="O1146" s="8" t="s">
        <v>1013</v>
      </c>
      <c r="P1146" s="8" t="s">
        <v>401</v>
      </c>
      <c r="Q1146" s="12" t="s">
        <v>4860</v>
      </c>
      <c r="R1146" s="8" t="s">
        <v>100</v>
      </c>
      <c r="S1146" s="7" t="s">
        <v>28</v>
      </c>
      <c r="T1146" s="6"/>
      <c r="U1146" s="8"/>
      <c r="AI1146" s="8"/>
      <c r="AJ1146" s="8"/>
      <c r="AK1146" s="8"/>
      <c r="AL1146" s="8"/>
      <c r="AM1146" s="8"/>
    </row>
    <row r="1147" spans="1:39" ht="13" customHeight="1">
      <c r="A1147" s="8" t="s">
        <v>4861</v>
      </c>
      <c r="B1147" s="16">
        <v>23</v>
      </c>
      <c r="C1147" s="8" t="s">
        <v>20</v>
      </c>
      <c r="D1147" s="8" t="s">
        <v>85</v>
      </c>
      <c r="E1147" s="8" t="s">
        <v>4862</v>
      </c>
      <c r="F1147" s="17">
        <v>42020</v>
      </c>
      <c r="G1147" s="8" t="s">
        <v>4863</v>
      </c>
      <c r="H1147" s="8" t="s">
        <v>2497</v>
      </c>
      <c r="I1147" s="8" t="s">
        <v>395</v>
      </c>
      <c r="J1147" s="16" t="s">
        <v>4864</v>
      </c>
      <c r="K1147" s="2" t="s">
        <v>2497</v>
      </c>
      <c r="L1147" s="8" t="s">
        <v>4865</v>
      </c>
      <c r="M1147" s="8" t="s">
        <v>27</v>
      </c>
      <c r="N1147" s="2" t="s">
        <v>4866</v>
      </c>
      <c r="O1147" s="8" t="s">
        <v>400</v>
      </c>
      <c r="P1147" s="8" t="s">
        <v>401</v>
      </c>
      <c r="Q1147" s="12" t="str">
        <f>HYPERLINK("http://kfor.com/2015/01/17/update-on-off-duty-officer-shooting-at-garth-brooks-concert-in-tulsa/","http://kfor.com/2015/01/17/update-on-off-duty-officer-shooting-at-garth-brooks-concert-in-tulsa/")</f>
        <v>http://kfor.com/2015/01/17/update-on-off-duty-officer-shooting-at-garth-brooks-concert-in-tulsa/</v>
      </c>
      <c r="R1147" s="8" t="s">
        <v>100</v>
      </c>
      <c r="S1147" s="7" t="s">
        <v>28</v>
      </c>
      <c r="T1147" s="6"/>
      <c r="U1147" s="8"/>
    </row>
    <row r="1148" spans="1:39" ht="13" customHeight="1">
      <c r="A1148" s="8" t="s">
        <v>3267</v>
      </c>
      <c r="B1148" s="16" t="s">
        <v>29</v>
      </c>
      <c r="C1148" s="8" t="s">
        <v>20</v>
      </c>
      <c r="D1148" s="8" t="s">
        <v>85</v>
      </c>
      <c r="F1148" s="17">
        <v>42020</v>
      </c>
      <c r="G1148" s="8" t="s">
        <v>4867</v>
      </c>
      <c r="H1148" s="8" t="s">
        <v>726</v>
      </c>
      <c r="I1148" s="8" t="s">
        <v>73</v>
      </c>
      <c r="J1148" s="16">
        <v>77089</v>
      </c>
      <c r="K1148" s="2" t="s">
        <v>558</v>
      </c>
      <c r="L1148" s="8" t="s">
        <v>727</v>
      </c>
      <c r="M1148" s="8" t="s">
        <v>27</v>
      </c>
      <c r="N1148" s="2" t="s">
        <v>4868</v>
      </c>
      <c r="P1148" s="8" t="s">
        <v>401</v>
      </c>
      <c r="Q1148" s="12" t="s">
        <v>4869</v>
      </c>
      <c r="S1148" s="7" t="s">
        <v>28</v>
      </c>
      <c r="T1148" s="6"/>
      <c r="U1148" s="8"/>
    </row>
    <row r="1149" spans="1:39" ht="13" customHeight="1">
      <c r="A1149" s="8" t="s">
        <v>4870</v>
      </c>
      <c r="B1149" s="16">
        <v>48</v>
      </c>
      <c r="C1149" s="8" t="s">
        <v>20</v>
      </c>
      <c r="D1149" s="8" t="s">
        <v>30</v>
      </c>
      <c r="F1149" s="17">
        <v>42020</v>
      </c>
      <c r="G1149" s="8" t="s">
        <v>4871</v>
      </c>
      <c r="H1149" s="8" t="s">
        <v>1144</v>
      </c>
      <c r="I1149" s="8" t="s">
        <v>45</v>
      </c>
      <c r="J1149" s="16" t="s">
        <v>4872</v>
      </c>
      <c r="K1149" s="2" t="s">
        <v>604</v>
      </c>
      <c r="L1149" s="8" t="s">
        <v>1145</v>
      </c>
      <c r="M1149" s="8" t="s">
        <v>27</v>
      </c>
      <c r="N1149" s="2" t="s">
        <v>4873</v>
      </c>
      <c r="O1149" s="8" t="s">
        <v>400</v>
      </c>
      <c r="P1149" s="8" t="s">
        <v>401</v>
      </c>
      <c r="Q1149" s="12" t="s">
        <v>4874</v>
      </c>
      <c r="R1149" s="8" t="s">
        <v>100</v>
      </c>
      <c r="S1149" s="7" t="s">
        <v>28</v>
      </c>
      <c r="T1149" s="6"/>
      <c r="U1149" s="8"/>
    </row>
    <row r="1150" spans="1:39" ht="13" customHeight="1">
      <c r="A1150" s="8" t="s">
        <v>3267</v>
      </c>
      <c r="B1150" s="16" t="s">
        <v>29</v>
      </c>
      <c r="C1150" s="8" t="s">
        <v>29</v>
      </c>
      <c r="D1150" s="8" t="s">
        <v>30</v>
      </c>
      <c r="F1150" s="17">
        <v>42020</v>
      </c>
      <c r="G1150" s="8" t="s">
        <v>4875</v>
      </c>
      <c r="H1150" s="8" t="s">
        <v>4876</v>
      </c>
      <c r="I1150" s="8" t="s">
        <v>73</v>
      </c>
      <c r="J1150" s="16">
        <v>75147</v>
      </c>
      <c r="K1150" s="2" t="s">
        <v>4877</v>
      </c>
      <c r="L1150" s="8" t="s">
        <v>281</v>
      </c>
      <c r="M1150" s="8" t="s">
        <v>27</v>
      </c>
      <c r="N1150" s="2" t="s">
        <v>4878</v>
      </c>
      <c r="P1150" s="8" t="s">
        <v>401</v>
      </c>
      <c r="Q1150" s="12" t="s">
        <v>4879</v>
      </c>
      <c r="S1150" s="7" t="s">
        <v>35</v>
      </c>
      <c r="T1150" s="8"/>
      <c r="U1150" s="8"/>
    </row>
    <row r="1151" spans="1:39" ht="13" customHeight="1">
      <c r="A1151" s="8" t="s">
        <v>4880</v>
      </c>
      <c r="B1151" s="16">
        <v>37</v>
      </c>
      <c r="C1151" s="8" t="s">
        <v>114</v>
      </c>
      <c r="D1151" s="8" t="s">
        <v>37</v>
      </c>
      <c r="F1151" s="17">
        <v>42020</v>
      </c>
      <c r="G1151" s="8" t="s">
        <v>4881</v>
      </c>
      <c r="H1151" s="8" t="s">
        <v>4882</v>
      </c>
      <c r="I1151" s="8" t="s">
        <v>81</v>
      </c>
      <c r="J1151" s="16" t="s">
        <v>4883</v>
      </c>
      <c r="K1151" s="2" t="s">
        <v>528</v>
      </c>
      <c r="L1151" s="8" t="s">
        <v>4884</v>
      </c>
      <c r="M1151" s="8" t="s">
        <v>27</v>
      </c>
      <c r="N1151" s="2" t="s">
        <v>4885</v>
      </c>
      <c r="O1151" s="8" t="s">
        <v>1161</v>
      </c>
      <c r="P1151" s="8" t="s">
        <v>1162</v>
      </c>
      <c r="Q1151" s="12" t="s">
        <v>4886</v>
      </c>
      <c r="R1151" s="8" t="s">
        <v>100</v>
      </c>
      <c r="S1151" s="7" t="s">
        <v>18</v>
      </c>
      <c r="T1151" s="6"/>
      <c r="U1151" s="8"/>
    </row>
    <row r="1152" spans="1:39" ht="13" customHeight="1">
      <c r="A1152" s="8" t="s">
        <v>4900</v>
      </c>
      <c r="B1152" s="16">
        <v>27</v>
      </c>
      <c r="C1152" s="8" t="s">
        <v>20</v>
      </c>
      <c r="D1152" s="8" t="s">
        <v>85</v>
      </c>
      <c r="E1152" s="8" t="s">
        <v>4901</v>
      </c>
      <c r="F1152" s="17">
        <v>42019</v>
      </c>
      <c r="G1152" s="8" t="s">
        <v>4902</v>
      </c>
      <c r="H1152" s="8" t="s">
        <v>216</v>
      </c>
      <c r="I1152" s="8" t="s">
        <v>217</v>
      </c>
      <c r="J1152" s="16" t="s">
        <v>4903</v>
      </c>
      <c r="K1152" s="2" t="s">
        <v>420</v>
      </c>
      <c r="L1152" s="8" t="s">
        <v>218</v>
      </c>
      <c r="M1152" s="8" t="s">
        <v>27</v>
      </c>
      <c r="N1152" s="2" t="s">
        <v>4904</v>
      </c>
      <c r="O1152" s="8" t="s">
        <v>1013</v>
      </c>
      <c r="P1152" s="8" t="s">
        <v>401</v>
      </c>
      <c r="Q1152" s="12" t="s">
        <v>4905</v>
      </c>
      <c r="R1152" s="8" t="s">
        <v>100</v>
      </c>
      <c r="S1152" s="7" t="s">
        <v>28</v>
      </c>
      <c r="T1152" s="6"/>
      <c r="U1152" s="8"/>
    </row>
    <row r="1153" spans="1:34" ht="13" customHeight="1">
      <c r="A1153" s="8" t="s">
        <v>4892</v>
      </c>
      <c r="B1153" s="16">
        <v>34</v>
      </c>
      <c r="C1153" s="8" t="s">
        <v>20</v>
      </c>
      <c r="D1153" s="8" t="s">
        <v>85</v>
      </c>
      <c r="E1153" s="8" t="s">
        <v>4893</v>
      </c>
      <c r="F1153" s="17">
        <v>42019</v>
      </c>
      <c r="G1153" s="8" t="s">
        <v>4894</v>
      </c>
      <c r="H1153" s="8" t="s">
        <v>4895</v>
      </c>
      <c r="I1153" s="8" t="s">
        <v>244</v>
      </c>
      <c r="J1153" s="16" t="s">
        <v>4896</v>
      </c>
      <c r="K1153" s="2" t="s">
        <v>4895</v>
      </c>
      <c r="L1153" s="8" t="s">
        <v>4897</v>
      </c>
      <c r="M1153" s="8" t="s">
        <v>27</v>
      </c>
      <c r="N1153" s="2" t="s">
        <v>4898</v>
      </c>
      <c r="O1153" s="8" t="s">
        <v>1013</v>
      </c>
      <c r="P1153" s="8" t="s">
        <v>401</v>
      </c>
      <c r="Q1153" s="12" t="s">
        <v>4899</v>
      </c>
      <c r="R1153" s="8" t="s">
        <v>555</v>
      </c>
      <c r="S1153" s="7" t="s">
        <v>28</v>
      </c>
      <c r="T1153" s="6"/>
      <c r="U1153" s="8"/>
    </row>
    <row r="1154" spans="1:34" ht="13" customHeight="1">
      <c r="A1154" s="8" t="s">
        <v>4887</v>
      </c>
      <c r="B1154" s="16">
        <v>39</v>
      </c>
      <c r="C1154" s="8" t="s">
        <v>20</v>
      </c>
      <c r="D1154" s="8" t="s">
        <v>85</v>
      </c>
      <c r="E1154" s="8" t="s">
        <v>4888</v>
      </c>
      <c r="F1154" s="17">
        <v>42019</v>
      </c>
      <c r="G1154" s="8" t="s">
        <v>4889</v>
      </c>
      <c r="H1154" s="8" t="s">
        <v>3847</v>
      </c>
      <c r="I1154" s="8" t="s">
        <v>209</v>
      </c>
      <c r="J1154" s="16" t="s">
        <v>3848</v>
      </c>
      <c r="K1154" s="2" t="s">
        <v>3849</v>
      </c>
      <c r="L1154" s="8" t="s">
        <v>3850</v>
      </c>
      <c r="M1154" s="8" t="s">
        <v>27</v>
      </c>
      <c r="N1154" s="2" t="s">
        <v>4890</v>
      </c>
      <c r="O1154" s="8" t="s">
        <v>4714</v>
      </c>
      <c r="P1154" s="8" t="s">
        <v>401</v>
      </c>
      <c r="Q1154" s="12" t="s">
        <v>4891</v>
      </c>
      <c r="R1154" s="8" t="s">
        <v>100</v>
      </c>
      <c r="S1154" s="7" t="s">
        <v>28</v>
      </c>
      <c r="T1154" s="6"/>
      <c r="U1154" s="8"/>
      <c r="Y1154" s="8"/>
      <c r="Z1154" s="8"/>
      <c r="AA1154" s="8"/>
      <c r="AB1154" s="8"/>
      <c r="AC1154" s="8"/>
      <c r="AD1154" s="8"/>
      <c r="AE1154" s="8"/>
      <c r="AF1154" s="8"/>
      <c r="AG1154" s="8"/>
      <c r="AH1154" s="8"/>
    </row>
    <row r="1155" spans="1:34" ht="13" customHeight="1">
      <c r="A1155" s="8" t="s">
        <v>4906</v>
      </c>
      <c r="B1155" s="16">
        <v>45</v>
      </c>
      <c r="C1155" s="8" t="s">
        <v>20</v>
      </c>
      <c r="D1155" s="8" t="s">
        <v>85</v>
      </c>
      <c r="E1155" s="8" t="s">
        <v>4907</v>
      </c>
      <c r="F1155" s="17">
        <v>42019</v>
      </c>
      <c r="G1155" s="8" t="s">
        <v>4908</v>
      </c>
      <c r="H1155" s="8" t="s">
        <v>689</v>
      </c>
      <c r="I1155" s="8" t="s">
        <v>123</v>
      </c>
      <c r="J1155" s="16" t="s">
        <v>4909</v>
      </c>
      <c r="K1155" s="2" t="s">
        <v>635</v>
      </c>
      <c r="L1155" s="8" t="s">
        <v>4910</v>
      </c>
      <c r="M1155" s="8" t="s">
        <v>27</v>
      </c>
      <c r="N1155" s="2" t="s">
        <v>4911</v>
      </c>
      <c r="O1155" s="8" t="s">
        <v>400</v>
      </c>
      <c r="P1155" s="8" t="s">
        <v>401</v>
      </c>
      <c r="Q1155" s="12" t="s">
        <v>4912</v>
      </c>
      <c r="R1155" s="8" t="s">
        <v>29</v>
      </c>
      <c r="S1155" s="7" t="s">
        <v>379</v>
      </c>
      <c r="T1155" s="6"/>
      <c r="U1155" s="8"/>
    </row>
    <row r="1156" spans="1:34" ht="13" customHeight="1">
      <c r="A1156" s="8" t="s">
        <v>4913</v>
      </c>
      <c r="B1156" s="16">
        <v>36</v>
      </c>
      <c r="C1156" s="8" t="s">
        <v>20</v>
      </c>
      <c r="D1156" s="8" t="s">
        <v>48</v>
      </c>
      <c r="F1156" s="17">
        <v>42019</v>
      </c>
      <c r="G1156" s="8" t="s">
        <v>4914</v>
      </c>
      <c r="H1156" s="8" t="s">
        <v>4915</v>
      </c>
      <c r="I1156" s="8" t="s">
        <v>45</v>
      </c>
      <c r="J1156" s="16" t="s">
        <v>4916</v>
      </c>
      <c r="K1156" s="2" t="s">
        <v>3442</v>
      </c>
      <c r="L1156" s="8" t="s">
        <v>4917</v>
      </c>
      <c r="M1156" s="8" t="s">
        <v>27</v>
      </c>
      <c r="N1156" s="2" t="s">
        <v>4918</v>
      </c>
      <c r="O1156" s="8" t="s">
        <v>1013</v>
      </c>
      <c r="P1156" s="8" t="s">
        <v>401</v>
      </c>
      <c r="Q1156" s="12" t="s">
        <v>4919</v>
      </c>
      <c r="R1156" s="8" t="s">
        <v>967</v>
      </c>
      <c r="S1156" s="7" t="s">
        <v>28</v>
      </c>
      <c r="T1156" s="6"/>
      <c r="U1156" s="8"/>
    </row>
    <row r="1157" spans="1:34" ht="13" customHeight="1">
      <c r="A1157" s="8" t="s">
        <v>4927</v>
      </c>
      <c r="B1157" s="16">
        <v>33</v>
      </c>
      <c r="C1157" s="8" t="s">
        <v>20</v>
      </c>
      <c r="D1157" s="8" t="s">
        <v>37</v>
      </c>
      <c r="E1157" s="8" t="s">
        <v>4928</v>
      </c>
      <c r="F1157" s="17">
        <v>42019</v>
      </c>
      <c r="G1157" s="8" t="s">
        <v>4929</v>
      </c>
      <c r="H1157" s="8" t="s">
        <v>4930</v>
      </c>
      <c r="I1157" s="8" t="s">
        <v>25</v>
      </c>
      <c r="J1157" s="16" t="s">
        <v>4931</v>
      </c>
      <c r="K1157" s="2" t="s">
        <v>4932</v>
      </c>
      <c r="L1157" s="8" t="s">
        <v>4933</v>
      </c>
      <c r="M1157" s="8" t="s">
        <v>27</v>
      </c>
      <c r="N1157" s="2" t="s">
        <v>4934</v>
      </c>
      <c r="O1157" s="8" t="s">
        <v>1013</v>
      </c>
      <c r="P1157" s="8" t="s">
        <v>401</v>
      </c>
      <c r="Q1157" s="12" t="str">
        <f>HYPERLINK("http://theadvocate.com/news/11346884-123/evangeline-parish-man-shot-killed","http://theadvocate.com/news/11346884-123/evangeline-parish-man-shot-killed")</f>
        <v>http://theadvocate.com/news/11346884-123/evangeline-parish-man-shot-killed</v>
      </c>
      <c r="R1157" s="8" t="s">
        <v>100</v>
      </c>
      <c r="S1157" s="7" t="s">
        <v>28</v>
      </c>
      <c r="T1157" s="6"/>
      <c r="U1157" s="8"/>
    </row>
    <row r="1158" spans="1:34" ht="13" customHeight="1">
      <c r="A1158" s="8" t="s">
        <v>4920</v>
      </c>
      <c r="B1158" s="16">
        <v>24</v>
      </c>
      <c r="C1158" s="8" t="s">
        <v>20</v>
      </c>
      <c r="D1158" s="8" t="s">
        <v>37</v>
      </c>
      <c r="E1158" s="8" t="s">
        <v>20662</v>
      </c>
      <c r="F1158" s="17">
        <v>42019</v>
      </c>
      <c r="G1158" s="8" t="s">
        <v>4921</v>
      </c>
      <c r="H1158" s="8" t="s">
        <v>4922</v>
      </c>
      <c r="I1158" s="8" t="s">
        <v>133</v>
      </c>
      <c r="J1158" s="16" t="s">
        <v>4923</v>
      </c>
      <c r="K1158" s="2" t="s">
        <v>1075</v>
      </c>
      <c r="L1158" s="8" t="s">
        <v>4924</v>
      </c>
      <c r="M1158" s="8" t="s">
        <v>27</v>
      </c>
      <c r="N1158" s="2" t="s">
        <v>4925</v>
      </c>
      <c r="O1158" s="8" t="s">
        <v>400</v>
      </c>
      <c r="P1158" s="8" t="s">
        <v>401</v>
      </c>
      <c r="Q1158" s="12" t="s">
        <v>4926</v>
      </c>
      <c r="R1158" s="8" t="s">
        <v>555</v>
      </c>
      <c r="S1158" s="7" t="s">
        <v>28</v>
      </c>
      <c r="T1158" s="6"/>
      <c r="U1158" s="8"/>
    </row>
    <row r="1159" spans="1:34" ht="13" customHeight="1">
      <c r="A1159" s="8" t="s">
        <v>4935</v>
      </c>
      <c r="B1159" s="16">
        <v>69</v>
      </c>
      <c r="C1159" s="8" t="s">
        <v>20</v>
      </c>
      <c r="D1159" s="8" t="s">
        <v>37</v>
      </c>
      <c r="E1159" s="8" t="s">
        <v>4936</v>
      </c>
      <c r="F1159" s="17">
        <v>42019</v>
      </c>
      <c r="G1159" s="8" t="s">
        <v>4937</v>
      </c>
      <c r="H1159" s="8" t="s">
        <v>4938</v>
      </c>
      <c r="I1159" s="8" t="s">
        <v>315</v>
      </c>
      <c r="J1159" s="16" t="s">
        <v>4939</v>
      </c>
      <c r="K1159" s="2" t="s">
        <v>2324</v>
      </c>
      <c r="L1159" s="8" t="s">
        <v>4940</v>
      </c>
      <c r="M1159" s="8" t="s">
        <v>379</v>
      </c>
      <c r="N1159" s="2" t="s">
        <v>4941</v>
      </c>
      <c r="O1159" s="8" t="s">
        <v>1013</v>
      </c>
      <c r="P1159" s="8" t="s">
        <v>401</v>
      </c>
      <c r="Q1159" s="12" t="s">
        <v>4942</v>
      </c>
      <c r="R1159" s="8" t="s">
        <v>100</v>
      </c>
      <c r="S1159" s="7" t="s">
        <v>18</v>
      </c>
      <c r="T1159" s="6"/>
      <c r="U1159" s="8"/>
    </row>
    <row r="1160" spans="1:34" ht="13" customHeight="1">
      <c r="A1160" s="8" t="s">
        <v>4943</v>
      </c>
      <c r="B1160" s="16">
        <v>24</v>
      </c>
      <c r="C1160" s="8" t="s">
        <v>20</v>
      </c>
      <c r="D1160" s="8" t="s">
        <v>85</v>
      </c>
      <c r="E1160" s="8" t="s">
        <v>4944</v>
      </c>
      <c r="F1160" s="17">
        <v>42018</v>
      </c>
      <c r="G1160" s="8" t="s">
        <v>4945</v>
      </c>
      <c r="H1160" s="8" t="s">
        <v>3613</v>
      </c>
      <c r="I1160" s="8" t="s">
        <v>133</v>
      </c>
      <c r="J1160" s="16" t="s">
        <v>4946</v>
      </c>
      <c r="K1160" s="2" t="s">
        <v>3615</v>
      </c>
      <c r="L1160" s="8" t="s">
        <v>4947</v>
      </c>
      <c r="M1160" s="8" t="s">
        <v>27</v>
      </c>
      <c r="N1160" s="2" t="s">
        <v>4948</v>
      </c>
      <c r="O1160" s="8" t="s">
        <v>400</v>
      </c>
      <c r="P1160" s="8" t="s">
        <v>401</v>
      </c>
      <c r="Q1160" s="12" t="s">
        <v>4949</v>
      </c>
      <c r="R1160" s="8" t="s">
        <v>29</v>
      </c>
      <c r="S1160" s="7" t="s">
        <v>28</v>
      </c>
      <c r="T1160" s="6"/>
      <c r="U1160" s="8"/>
    </row>
    <row r="1161" spans="1:34" ht="13" customHeight="1">
      <c r="A1161" s="8" t="s">
        <v>4950</v>
      </c>
      <c r="B1161" s="16">
        <v>75</v>
      </c>
      <c r="C1161" s="8" t="s">
        <v>20</v>
      </c>
      <c r="D1161" s="8" t="s">
        <v>37</v>
      </c>
      <c r="F1161" s="17">
        <v>42018</v>
      </c>
      <c r="G1161" s="8" t="s">
        <v>4951</v>
      </c>
      <c r="H1161" s="8" t="s">
        <v>4952</v>
      </c>
      <c r="I1161" s="8" t="s">
        <v>81</v>
      </c>
      <c r="J1161" s="16" t="s">
        <v>4953</v>
      </c>
      <c r="K1161" s="2" t="s">
        <v>42</v>
      </c>
      <c r="L1161" s="8" t="s">
        <v>4954</v>
      </c>
      <c r="M1161" s="8" t="s">
        <v>27</v>
      </c>
      <c r="N1161" s="2" t="s">
        <v>4955</v>
      </c>
      <c r="O1161" s="8" t="s">
        <v>400</v>
      </c>
      <c r="P1161" s="8" t="s">
        <v>401</v>
      </c>
      <c r="Q1161" s="12" t="s">
        <v>4956</v>
      </c>
      <c r="R1161" s="8" t="s">
        <v>29</v>
      </c>
      <c r="S1161" s="7" t="s">
        <v>28</v>
      </c>
      <c r="T1161" s="6"/>
      <c r="U1161" s="8"/>
    </row>
    <row r="1162" spans="1:34" ht="13" customHeight="1">
      <c r="A1162" s="8" t="s">
        <v>4983</v>
      </c>
      <c r="B1162" s="16">
        <v>34</v>
      </c>
      <c r="C1162" s="8" t="s">
        <v>20</v>
      </c>
      <c r="D1162" s="8" t="s">
        <v>37</v>
      </c>
      <c r="E1162" s="8" t="s">
        <v>4984</v>
      </c>
      <c r="F1162" s="17">
        <v>42018</v>
      </c>
      <c r="G1162" s="8" t="s">
        <v>4985</v>
      </c>
      <c r="H1162" s="8" t="s">
        <v>4986</v>
      </c>
      <c r="I1162" s="8" t="s">
        <v>240</v>
      </c>
      <c r="J1162" s="16" t="s">
        <v>4987</v>
      </c>
      <c r="K1162" s="2" t="s">
        <v>613</v>
      </c>
      <c r="L1162" s="8" t="s">
        <v>4988</v>
      </c>
      <c r="M1162" s="8" t="s">
        <v>27</v>
      </c>
      <c r="N1162" s="2" t="s">
        <v>4989</v>
      </c>
      <c r="O1162" s="8" t="s">
        <v>1013</v>
      </c>
      <c r="P1162" s="8" t="s">
        <v>401</v>
      </c>
      <c r="Q1162" s="12" t="s">
        <v>4990</v>
      </c>
      <c r="R1162" s="8" t="s">
        <v>29</v>
      </c>
      <c r="S1162" s="7" t="s">
        <v>28</v>
      </c>
      <c r="T1162" s="6"/>
      <c r="U1162" s="8"/>
    </row>
    <row r="1163" spans="1:34" ht="13" customHeight="1">
      <c r="A1163" s="8" t="s">
        <v>4957</v>
      </c>
      <c r="B1163" s="16">
        <v>68</v>
      </c>
      <c r="C1163" s="8" t="s">
        <v>20</v>
      </c>
      <c r="D1163" s="8" t="s">
        <v>37</v>
      </c>
      <c r="E1163" s="8" t="s">
        <v>4958</v>
      </c>
      <c r="F1163" s="17">
        <v>42018</v>
      </c>
      <c r="G1163" s="8" t="s">
        <v>4959</v>
      </c>
      <c r="H1163" s="8" t="s">
        <v>4960</v>
      </c>
      <c r="I1163" s="8" t="s">
        <v>73</v>
      </c>
      <c r="J1163" s="16" t="s">
        <v>4961</v>
      </c>
      <c r="K1163" s="2" t="s">
        <v>4962</v>
      </c>
      <c r="L1163" s="8" t="s">
        <v>4963</v>
      </c>
      <c r="M1163" s="8" t="s">
        <v>27</v>
      </c>
      <c r="N1163" s="2" t="s">
        <v>4964</v>
      </c>
      <c r="O1163" s="8" t="s">
        <v>1013</v>
      </c>
      <c r="P1163" s="8" t="s">
        <v>401</v>
      </c>
      <c r="Q1163" s="12" t="s">
        <v>4965</v>
      </c>
      <c r="R1163" s="8" t="s">
        <v>29</v>
      </c>
      <c r="S1163" s="7" t="s">
        <v>28</v>
      </c>
      <c r="T1163" s="6"/>
      <c r="U1163" s="8"/>
    </row>
    <row r="1164" spans="1:34" ht="13" customHeight="1">
      <c r="A1164" s="8" t="s">
        <v>4966</v>
      </c>
      <c r="B1164" s="16">
        <v>29</v>
      </c>
      <c r="C1164" s="8" t="s">
        <v>20</v>
      </c>
      <c r="D1164" s="8" t="s">
        <v>37</v>
      </c>
      <c r="E1164" s="8" t="s">
        <v>4967</v>
      </c>
      <c r="F1164" s="17">
        <v>42018</v>
      </c>
      <c r="G1164" s="8" t="s">
        <v>4968</v>
      </c>
      <c r="H1164" s="8" t="s">
        <v>4969</v>
      </c>
      <c r="I1164" s="8" t="s">
        <v>431</v>
      </c>
      <c r="J1164" s="16" t="s">
        <v>4970</v>
      </c>
      <c r="K1164" s="2" t="s">
        <v>1291</v>
      </c>
      <c r="L1164" s="8" t="s">
        <v>4971</v>
      </c>
      <c r="M1164" s="8" t="s">
        <v>27</v>
      </c>
      <c r="N1164" s="2" t="s">
        <v>4972</v>
      </c>
      <c r="O1164" s="8" t="s">
        <v>1013</v>
      </c>
      <c r="P1164" s="8" t="s">
        <v>401</v>
      </c>
      <c r="Q1164" s="12" t="s">
        <v>4973</v>
      </c>
      <c r="R1164" s="8" t="s">
        <v>100</v>
      </c>
      <c r="S1164" s="7" t="s">
        <v>379</v>
      </c>
      <c r="T1164" s="6"/>
      <c r="U1164" s="8"/>
    </row>
    <row r="1165" spans="1:34" ht="13" customHeight="1">
      <c r="A1165" s="8" t="s">
        <v>4974</v>
      </c>
      <c r="B1165" s="16">
        <v>87</v>
      </c>
      <c r="C1165" s="8" t="s">
        <v>20</v>
      </c>
      <c r="D1165" s="8" t="s">
        <v>37</v>
      </c>
      <c r="E1165" s="8" t="s">
        <v>4975</v>
      </c>
      <c r="F1165" s="17">
        <v>42018</v>
      </c>
      <c r="G1165" s="8" t="s">
        <v>4976</v>
      </c>
      <c r="H1165" s="8" t="s">
        <v>4977</v>
      </c>
      <c r="I1165" s="8" t="s">
        <v>423</v>
      </c>
      <c r="J1165" s="16" t="s">
        <v>4978</v>
      </c>
      <c r="K1165" s="2" t="s">
        <v>4979</v>
      </c>
      <c r="L1165" s="8" t="s">
        <v>4980</v>
      </c>
      <c r="M1165" s="8" t="s">
        <v>379</v>
      </c>
      <c r="N1165" s="2" t="s">
        <v>4981</v>
      </c>
      <c r="O1165" s="8" t="s">
        <v>400</v>
      </c>
      <c r="P1165" s="8" t="s">
        <v>401</v>
      </c>
      <c r="Q1165" s="12" t="s">
        <v>4982</v>
      </c>
      <c r="R1165" s="8" t="s">
        <v>100</v>
      </c>
      <c r="S1165" s="7" t="s">
        <v>18</v>
      </c>
      <c r="T1165" s="6"/>
      <c r="U1165" s="8"/>
    </row>
    <row r="1166" spans="1:34" ht="13" customHeight="1">
      <c r="A1166" s="8" t="s">
        <v>4991</v>
      </c>
      <c r="B1166" s="16">
        <v>35</v>
      </c>
      <c r="C1166" s="8" t="s">
        <v>20</v>
      </c>
      <c r="D1166" s="8" t="s">
        <v>37</v>
      </c>
      <c r="E1166" s="8" t="s">
        <v>4992</v>
      </c>
      <c r="F1166" s="17">
        <v>42017</v>
      </c>
      <c r="G1166" s="8" t="s">
        <v>4993</v>
      </c>
      <c r="H1166" s="8" t="s">
        <v>925</v>
      </c>
      <c r="I1166" s="8" t="s">
        <v>195</v>
      </c>
      <c r="J1166" s="16" t="s">
        <v>4994</v>
      </c>
      <c r="K1166" s="2" t="s">
        <v>467</v>
      </c>
      <c r="L1166" s="8" t="s">
        <v>4995</v>
      </c>
      <c r="M1166" s="8" t="s">
        <v>27</v>
      </c>
      <c r="N1166" s="2" t="s">
        <v>4996</v>
      </c>
      <c r="O1166" s="8" t="s">
        <v>1013</v>
      </c>
      <c r="P1166" s="8" t="s">
        <v>401</v>
      </c>
      <c r="Q1166" s="12" t="s">
        <v>4997</v>
      </c>
      <c r="R1166" s="8" t="s">
        <v>100</v>
      </c>
      <c r="S1166" s="7" t="s">
        <v>28</v>
      </c>
      <c r="T1166" s="6"/>
      <c r="U1166" s="8"/>
      <c r="Y1166" s="8"/>
      <c r="Z1166" s="8"/>
      <c r="AA1166" s="8"/>
      <c r="AB1166" s="8"/>
      <c r="AC1166" s="8"/>
      <c r="AD1166" s="8"/>
      <c r="AE1166" s="8"/>
      <c r="AF1166" s="8"/>
      <c r="AG1166" s="8"/>
      <c r="AH1166" s="8"/>
    </row>
    <row r="1167" spans="1:34" ht="13" customHeight="1">
      <c r="A1167" s="8" t="s">
        <v>4998</v>
      </c>
      <c r="B1167" s="16">
        <v>43</v>
      </c>
      <c r="C1167" s="8" t="s">
        <v>20</v>
      </c>
      <c r="D1167" s="8" t="s">
        <v>37</v>
      </c>
      <c r="E1167" s="8" t="s">
        <v>4999</v>
      </c>
      <c r="F1167" s="17">
        <v>42017</v>
      </c>
      <c r="G1167" s="8" t="s">
        <v>5000</v>
      </c>
      <c r="H1167" s="8" t="s">
        <v>5001</v>
      </c>
      <c r="I1167" s="8" t="s">
        <v>73</v>
      </c>
      <c r="J1167" s="16" t="s">
        <v>5002</v>
      </c>
      <c r="K1167" s="2" t="s">
        <v>5003</v>
      </c>
      <c r="L1167" s="8" t="s">
        <v>5004</v>
      </c>
      <c r="M1167" s="8" t="s">
        <v>27</v>
      </c>
      <c r="N1167" s="2" t="s">
        <v>5005</v>
      </c>
      <c r="O1167" s="8" t="s">
        <v>400</v>
      </c>
      <c r="P1167" s="8" t="s">
        <v>401</v>
      </c>
      <c r="Q1167" s="12" t="s">
        <v>5006</v>
      </c>
      <c r="R1167" s="8" t="s">
        <v>555</v>
      </c>
      <c r="S1167" s="7" t="s">
        <v>28</v>
      </c>
      <c r="T1167" s="6"/>
      <c r="U1167" s="8"/>
    </row>
    <row r="1168" spans="1:34" ht="13" customHeight="1">
      <c r="A1168" s="8" t="s">
        <v>5007</v>
      </c>
      <c r="B1168" s="16">
        <v>29</v>
      </c>
      <c r="C1168" s="8" t="s">
        <v>20</v>
      </c>
      <c r="D1168" s="8" t="s">
        <v>48</v>
      </c>
      <c r="F1168" s="17">
        <v>42015</v>
      </c>
      <c r="G1168" s="8" t="s">
        <v>5008</v>
      </c>
      <c r="H1168" s="8" t="s">
        <v>268</v>
      </c>
      <c r="I1168" s="8" t="s">
        <v>269</v>
      </c>
      <c r="J1168" s="16" t="s">
        <v>5009</v>
      </c>
      <c r="K1168" s="2" t="s">
        <v>570</v>
      </c>
      <c r="L1168" s="8" t="s">
        <v>270</v>
      </c>
      <c r="M1168" s="8" t="s">
        <v>27</v>
      </c>
      <c r="N1168" s="2" t="s">
        <v>5010</v>
      </c>
      <c r="O1168" s="8" t="s">
        <v>400</v>
      </c>
      <c r="P1168" s="8" t="s">
        <v>401</v>
      </c>
      <c r="Q1168" s="12" t="s">
        <v>5011</v>
      </c>
      <c r="R1168" s="8" t="s">
        <v>100</v>
      </c>
      <c r="S1168" s="7" t="s">
        <v>28</v>
      </c>
      <c r="T1168" s="6"/>
      <c r="U1168" s="8"/>
    </row>
    <row r="1169" spans="1:34" ht="13" customHeight="1">
      <c r="A1169" s="8" t="s">
        <v>5012</v>
      </c>
      <c r="B1169" s="16">
        <v>23</v>
      </c>
      <c r="C1169" s="8" t="s">
        <v>20</v>
      </c>
      <c r="D1169" s="8" t="s">
        <v>48</v>
      </c>
      <c r="F1169" s="17">
        <v>42015</v>
      </c>
      <c r="G1169" s="8" t="s">
        <v>5013</v>
      </c>
      <c r="H1169" s="8" t="s">
        <v>3719</v>
      </c>
      <c r="I1169" s="8" t="s">
        <v>45</v>
      </c>
      <c r="J1169" s="16" t="s">
        <v>3720</v>
      </c>
      <c r="K1169" s="2" t="s">
        <v>98</v>
      </c>
      <c r="L1169" s="8" t="s">
        <v>5014</v>
      </c>
      <c r="M1169" s="8" t="s">
        <v>27</v>
      </c>
      <c r="N1169" s="2" t="s">
        <v>5015</v>
      </c>
      <c r="O1169" s="8" t="s">
        <v>400</v>
      </c>
      <c r="P1169" s="8" t="s">
        <v>401</v>
      </c>
      <c r="Q1169" s="12" t="s">
        <v>5016</v>
      </c>
      <c r="R1169" s="8" t="s">
        <v>100</v>
      </c>
      <c r="S1169" s="7" t="s">
        <v>28</v>
      </c>
      <c r="T1169" s="6"/>
      <c r="U1169" s="8"/>
    </row>
    <row r="1170" spans="1:34" ht="13" customHeight="1">
      <c r="A1170" s="8" t="s">
        <v>5017</v>
      </c>
      <c r="B1170" s="16">
        <v>39</v>
      </c>
      <c r="C1170" s="8" t="s">
        <v>20</v>
      </c>
      <c r="D1170" s="8" t="s">
        <v>37</v>
      </c>
      <c r="E1170" s="8" t="s">
        <v>5018</v>
      </c>
      <c r="F1170" s="17">
        <v>42015</v>
      </c>
      <c r="G1170" s="8" t="s">
        <v>5019</v>
      </c>
      <c r="H1170" s="8" t="s">
        <v>5020</v>
      </c>
      <c r="I1170" s="8" t="s">
        <v>44</v>
      </c>
      <c r="J1170" s="16" t="s">
        <v>5021</v>
      </c>
      <c r="K1170" s="2" t="s">
        <v>941</v>
      </c>
      <c r="L1170" s="8" t="s">
        <v>5022</v>
      </c>
      <c r="M1170" s="8" t="s">
        <v>27</v>
      </c>
      <c r="N1170" s="2" t="s">
        <v>5023</v>
      </c>
      <c r="O1170" s="8" t="s">
        <v>1013</v>
      </c>
      <c r="P1170" s="8" t="s">
        <v>401</v>
      </c>
      <c r="Q1170" s="12" t="s">
        <v>5024</v>
      </c>
      <c r="R1170" s="8" t="s">
        <v>100</v>
      </c>
      <c r="S1170" s="7" t="s">
        <v>28</v>
      </c>
      <c r="T1170" s="6"/>
      <c r="U1170" s="8"/>
      <c r="Y1170" s="8"/>
      <c r="Z1170" s="8"/>
      <c r="AA1170" s="8"/>
      <c r="AB1170" s="8"/>
      <c r="AC1170" s="8"/>
      <c r="AD1170" s="8"/>
      <c r="AE1170" s="8"/>
      <c r="AF1170" s="8"/>
      <c r="AG1170" s="8"/>
      <c r="AH1170" s="8"/>
    </row>
    <row r="1171" spans="1:34" ht="13" customHeight="1">
      <c r="A1171" s="8" t="s">
        <v>5025</v>
      </c>
      <c r="B1171" s="16">
        <v>71</v>
      </c>
      <c r="C1171" s="8" t="s">
        <v>20</v>
      </c>
      <c r="D1171" s="8" t="s">
        <v>37</v>
      </c>
      <c r="F1171" s="17">
        <v>42013</v>
      </c>
      <c r="G1171" s="8" t="s">
        <v>5026</v>
      </c>
      <c r="H1171" s="8" t="s">
        <v>5027</v>
      </c>
      <c r="I1171" s="8" t="s">
        <v>981</v>
      </c>
      <c r="J1171" s="16" t="s">
        <v>5028</v>
      </c>
      <c r="K1171" s="2" t="s">
        <v>2265</v>
      </c>
      <c r="L1171" s="8" t="s">
        <v>5029</v>
      </c>
      <c r="M1171" s="8" t="s">
        <v>27</v>
      </c>
      <c r="N1171" s="2" t="s">
        <v>5030</v>
      </c>
      <c r="O1171" s="8" t="s">
        <v>550</v>
      </c>
      <c r="P1171" s="8" t="s">
        <v>401</v>
      </c>
      <c r="Q1171" s="12" t="s">
        <v>5031</v>
      </c>
      <c r="R1171" s="8" t="s">
        <v>100</v>
      </c>
      <c r="S1171" s="7" t="s">
        <v>28</v>
      </c>
      <c r="T1171" s="6"/>
      <c r="U1171" s="8"/>
    </row>
    <row r="1172" spans="1:34" ht="13" customHeight="1">
      <c r="A1172" s="8" t="s">
        <v>5032</v>
      </c>
      <c r="B1172" s="16">
        <v>49</v>
      </c>
      <c r="C1172" s="8" t="s">
        <v>20</v>
      </c>
      <c r="D1172" s="8" t="s">
        <v>37</v>
      </c>
      <c r="E1172" s="8" t="s">
        <v>5033</v>
      </c>
      <c r="F1172" s="17">
        <v>42013</v>
      </c>
      <c r="G1172" s="8" t="s">
        <v>5034</v>
      </c>
      <c r="H1172" s="8" t="s">
        <v>5035</v>
      </c>
      <c r="I1172" s="8" t="s">
        <v>240</v>
      </c>
      <c r="J1172" s="16" t="s">
        <v>5036</v>
      </c>
      <c r="K1172" s="2" t="s">
        <v>5037</v>
      </c>
      <c r="L1172" s="8" t="s">
        <v>5038</v>
      </c>
      <c r="M1172" s="8" t="s">
        <v>27</v>
      </c>
      <c r="N1172" s="2" t="s">
        <v>5039</v>
      </c>
      <c r="O1172" s="8" t="s">
        <v>1013</v>
      </c>
      <c r="P1172" s="8" t="s">
        <v>401</v>
      </c>
      <c r="Q1172" s="12" t="s">
        <v>5040</v>
      </c>
      <c r="R1172" s="8" t="s">
        <v>555</v>
      </c>
      <c r="S1172" s="7" t="s">
        <v>28</v>
      </c>
      <c r="T1172" s="6"/>
      <c r="U1172" s="8"/>
    </row>
    <row r="1173" spans="1:34" ht="13" customHeight="1">
      <c r="A1173" s="8" t="s">
        <v>5041</v>
      </c>
      <c r="B1173" s="16">
        <v>36</v>
      </c>
      <c r="C1173" s="8" t="s">
        <v>20</v>
      </c>
      <c r="D1173" s="8" t="s">
        <v>85</v>
      </c>
      <c r="E1173" s="8" t="s">
        <v>5042</v>
      </c>
      <c r="F1173" s="17">
        <v>42012</v>
      </c>
      <c r="G1173" s="8" t="s">
        <v>5043</v>
      </c>
      <c r="H1173" s="8" t="s">
        <v>5044</v>
      </c>
      <c r="I1173" s="8" t="s">
        <v>981</v>
      </c>
      <c r="J1173" s="16" t="s">
        <v>5045</v>
      </c>
      <c r="K1173" s="2" t="s">
        <v>672</v>
      </c>
      <c r="L1173" s="8" t="s">
        <v>5046</v>
      </c>
      <c r="M1173" s="8" t="s">
        <v>27</v>
      </c>
      <c r="N1173" s="2" t="s">
        <v>5047</v>
      </c>
      <c r="O1173" s="8" t="s">
        <v>400</v>
      </c>
      <c r="P1173" s="8" t="s">
        <v>401</v>
      </c>
      <c r="Q1173" s="12" t="str">
        <f>HYPERLINK("http://www.greenfieldreporter.com/view/story/f769fa01fc134dab9ebc78994015adf8/AR--Fatal-Pharmacy-Robbery","http://www.greenfieldreporter.com/view/story/f769fa01fc134dab9ebc78994015adf8/AR--Fatal-Pharmacy-Robbery")</f>
        <v>http://www.greenfieldreporter.com/view/story/f769fa01fc134dab9ebc78994015adf8/AR--Fatal-Pharmacy-Robbery</v>
      </c>
      <c r="R1173" s="8" t="s">
        <v>100</v>
      </c>
      <c r="S1173" s="7" t="s">
        <v>28</v>
      </c>
      <c r="T1173" s="6"/>
      <c r="U1173" s="8"/>
    </row>
    <row r="1174" spans="1:34" ht="13" customHeight="1">
      <c r="A1174" s="8" t="s">
        <v>5048</v>
      </c>
      <c r="B1174" s="16">
        <v>42</v>
      </c>
      <c r="C1174" s="8" t="s">
        <v>20</v>
      </c>
      <c r="D1174" s="8" t="s">
        <v>37</v>
      </c>
      <c r="E1174" s="8" t="s">
        <v>5049</v>
      </c>
      <c r="F1174" s="17">
        <v>42012</v>
      </c>
      <c r="G1174" s="8" t="s">
        <v>5050</v>
      </c>
      <c r="H1174" s="8" t="s">
        <v>239</v>
      </c>
      <c r="I1174" s="8" t="s">
        <v>240</v>
      </c>
      <c r="J1174" s="16" t="s">
        <v>5051</v>
      </c>
      <c r="K1174" s="2" t="s">
        <v>613</v>
      </c>
      <c r="L1174" s="8" t="s">
        <v>241</v>
      </c>
      <c r="M1174" s="8" t="s">
        <v>27</v>
      </c>
      <c r="N1174" s="2" t="s">
        <v>5052</v>
      </c>
      <c r="O1174" s="8" t="s">
        <v>400</v>
      </c>
      <c r="P1174" s="8" t="s">
        <v>401</v>
      </c>
      <c r="Q1174" s="12" t="s">
        <v>5053</v>
      </c>
      <c r="R1174" s="8" t="s">
        <v>29</v>
      </c>
      <c r="S1174" s="7" t="s">
        <v>28</v>
      </c>
      <c r="T1174" s="6"/>
      <c r="U1174" s="8"/>
    </row>
    <row r="1175" spans="1:34" ht="13" customHeight="1">
      <c r="A1175" s="8" t="s">
        <v>5054</v>
      </c>
      <c r="B1175" s="16">
        <v>28</v>
      </c>
      <c r="C1175" s="8" t="s">
        <v>20</v>
      </c>
      <c r="D1175" s="8" t="s">
        <v>37</v>
      </c>
      <c r="E1175" s="8" t="s">
        <v>5055</v>
      </c>
      <c r="F1175" s="17">
        <v>42012</v>
      </c>
      <c r="G1175" s="8" t="s">
        <v>5056</v>
      </c>
      <c r="H1175" s="8" t="s">
        <v>5057</v>
      </c>
      <c r="I1175" s="8" t="s">
        <v>857</v>
      </c>
      <c r="J1175" s="16" t="s">
        <v>5058</v>
      </c>
      <c r="K1175" s="2" t="s">
        <v>4604</v>
      </c>
      <c r="L1175" s="8" t="s">
        <v>5059</v>
      </c>
      <c r="M1175" s="8" t="s">
        <v>27</v>
      </c>
      <c r="N1175" s="2" t="s">
        <v>5060</v>
      </c>
      <c r="O1175" s="8" t="s">
        <v>400</v>
      </c>
      <c r="P1175" s="8" t="s">
        <v>401</v>
      </c>
      <c r="Q1175" s="12" t="s">
        <v>5061</v>
      </c>
      <c r="R1175" s="8" t="s">
        <v>100</v>
      </c>
      <c r="S1175" s="7" t="s">
        <v>379</v>
      </c>
      <c r="T1175" s="6"/>
      <c r="U1175" s="8"/>
    </row>
    <row r="1176" spans="1:34" ht="13" customHeight="1">
      <c r="A1176" s="8" t="s">
        <v>5068</v>
      </c>
      <c r="B1176" s="16">
        <v>31</v>
      </c>
      <c r="C1176" s="8" t="s">
        <v>20</v>
      </c>
      <c r="D1176" s="8" t="s">
        <v>85</v>
      </c>
      <c r="E1176" s="8" t="s">
        <v>5069</v>
      </c>
      <c r="F1176" s="17">
        <v>42011</v>
      </c>
      <c r="G1176" s="8" t="s">
        <v>5070</v>
      </c>
      <c r="H1176" s="8" t="s">
        <v>5071</v>
      </c>
      <c r="I1176" s="8" t="s">
        <v>73</v>
      </c>
      <c r="J1176" s="16" t="s">
        <v>5072</v>
      </c>
      <c r="K1176" s="2" t="s">
        <v>4962</v>
      </c>
      <c r="L1176" s="8" t="s">
        <v>5073</v>
      </c>
      <c r="M1176" s="8" t="s">
        <v>27</v>
      </c>
      <c r="N1176" s="2" t="s">
        <v>5074</v>
      </c>
      <c r="O1176" s="8" t="s">
        <v>550</v>
      </c>
      <c r="P1176" s="8" t="s">
        <v>401</v>
      </c>
      <c r="Q1176" s="12" t="s">
        <v>5075</v>
      </c>
      <c r="R1176" s="8" t="s">
        <v>100</v>
      </c>
      <c r="S1176" s="7" t="s">
        <v>28</v>
      </c>
      <c r="T1176" s="6"/>
      <c r="U1176" s="8"/>
    </row>
    <row r="1177" spans="1:34" ht="13" customHeight="1">
      <c r="A1177" s="8" t="s">
        <v>5076</v>
      </c>
      <c r="B1177" s="16">
        <v>37</v>
      </c>
      <c r="C1177" s="8" t="s">
        <v>20</v>
      </c>
      <c r="D1177" s="8" t="s">
        <v>85</v>
      </c>
      <c r="F1177" s="17">
        <v>42011</v>
      </c>
      <c r="G1177" s="8" t="s">
        <v>5077</v>
      </c>
      <c r="H1177" s="8" t="s">
        <v>1042</v>
      </c>
      <c r="I1177" s="8" t="s">
        <v>25</v>
      </c>
      <c r="J1177" s="16" t="s">
        <v>5078</v>
      </c>
      <c r="K1177" s="2" t="s">
        <v>2589</v>
      </c>
      <c r="L1177" s="8" t="s">
        <v>1044</v>
      </c>
      <c r="M1177" s="8" t="s">
        <v>27</v>
      </c>
      <c r="N1177" s="2" t="s">
        <v>5079</v>
      </c>
      <c r="O1177" s="8" t="s">
        <v>550</v>
      </c>
      <c r="P1177" s="8" t="s">
        <v>401</v>
      </c>
      <c r="Q1177" s="12" t="s">
        <v>5080</v>
      </c>
      <c r="R1177" s="8" t="s">
        <v>100</v>
      </c>
      <c r="S1177" s="7" t="s">
        <v>28</v>
      </c>
      <c r="T1177" s="6"/>
      <c r="U1177" s="8"/>
    </row>
    <row r="1178" spans="1:34" ht="13" customHeight="1">
      <c r="A1178" s="8" t="s">
        <v>5062</v>
      </c>
      <c r="B1178" s="16">
        <v>41</v>
      </c>
      <c r="C1178" s="8" t="s">
        <v>20</v>
      </c>
      <c r="D1178" s="8" t="s">
        <v>85</v>
      </c>
      <c r="E1178" s="8" t="s">
        <v>5063</v>
      </c>
      <c r="F1178" s="17">
        <v>42011</v>
      </c>
      <c r="G1178" s="8" t="s">
        <v>5064</v>
      </c>
      <c r="H1178" s="8" t="s">
        <v>1290</v>
      </c>
      <c r="I1178" s="8" t="s">
        <v>69</v>
      </c>
      <c r="J1178" s="16" t="s">
        <v>5065</v>
      </c>
      <c r="K1178" s="2" t="s">
        <v>1291</v>
      </c>
      <c r="L1178" s="8" t="s">
        <v>12628</v>
      </c>
      <c r="M1178" s="8" t="s">
        <v>27</v>
      </c>
      <c r="N1178" s="2" t="s">
        <v>5066</v>
      </c>
      <c r="O1178" s="8" t="s">
        <v>550</v>
      </c>
      <c r="P1178" s="8" t="s">
        <v>401</v>
      </c>
      <c r="Q1178" s="12" t="s">
        <v>5067</v>
      </c>
      <c r="R1178" s="8" t="s">
        <v>29</v>
      </c>
      <c r="S1178" s="7" t="s">
        <v>28</v>
      </c>
      <c r="T1178" s="6"/>
      <c r="U1178" s="8"/>
    </row>
    <row r="1179" spans="1:34" ht="13" customHeight="1">
      <c r="A1179" s="8" t="s">
        <v>5081</v>
      </c>
      <c r="B1179" s="16">
        <v>42</v>
      </c>
      <c r="C1179" s="8" t="s">
        <v>20</v>
      </c>
      <c r="D1179" s="8" t="s">
        <v>85</v>
      </c>
      <c r="E1179" s="8" t="s">
        <v>5082</v>
      </c>
      <c r="F1179" s="17">
        <v>42011</v>
      </c>
      <c r="G1179" s="8" t="s">
        <v>5083</v>
      </c>
      <c r="H1179" s="8" t="s">
        <v>3332</v>
      </c>
      <c r="I1179" s="8" t="s">
        <v>463</v>
      </c>
      <c r="J1179" s="16" t="s">
        <v>5084</v>
      </c>
      <c r="K1179" s="2" t="s">
        <v>2165</v>
      </c>
      <c r="L1179" s="8" t="s">
        <v>5085</v>
      </c>
      <c r="M1179" s="8" t="s">
        <v>391</v>
      </c>
      <c r="N1179" s="2" t="s">
        <v>5086</v>
      </c>
      <c r="O1179" s="8" t="s">
        <v>400</v>
      </c>
      <c r="P1179" s="8" t="s">
        <v>401</v>
      </c>
      <c r="Q1179" s="12" t="str">
        <f>HYPERLINK("http://www.omaha.com/news/crime/autopsy-results-to-be-released-soon-in-case-of-man/article_57e6f9c6-981e-11e4-84ef-dfff4d2c6e13.html","http://www.omaha.com/news/crime/autopsy-results-to-be-released-soon-in-case-of-man/article_57e6f9c6-981e-11e4-84ef-dfff4d2c6e13.html")</f>
        <v>http://www.omaha.com/news/crime/autopsy-results-to-be-released-soon-in-case-of-man/article_57e6f9c6-981e-11e4-84ef-dfff4d2c6e13.html</v>
      </c>
      <c r="R1179" s="8" t="s">
        <v>29</v>
      </c>
      <c r="S1179" s="7" t="s">
        <v>18</v>
      </c>
      <c r="T1179" s="6"/>
      <c r="U1179" s="8"/>
    </row>
    <row r="1180" spans="1:34" ht="13" customHeight="1">
      <c r="A1180" s="8" t="s">
        <v>5087</v>
      </c>
      <c r="B1180" s="16">
        <v>30</v>
      </c>
      <c r="C1180" s="8" t="s">
        <v>20</v>
      </c>
      <c r="D1180" s="8" t="s">
        <v>37</v>
      </c>
      <c r="E1180" s="8" t="s">
        <v>5088</v>
      </c>
      <c r="F1180" s="17">
        <v>42011</v>
      </c>
      <c r="G1180" s="8" t="s">
        <v>5089</v>
      </c>
      <c r="H1180" s="8" t="s">
        <v>1865</v>
      </c>
      <c r="I1180" s="8" t="s">
        <v>370</v>
      </c>
      <c r="J1180" s="16" t="s">
        <v>5090</v>
      </c>
      <c r="K1180" s="2" t="s">
        <v>1867</v>
      </c>
      <c r="L1180" s="8" t="s">
        <v>1868</v>
      </c>
      <c r="M1180" s="8" t="s">
        <v>27</v>
      </c>
      <c r="N1180" s="2" t="s">
        <v>5091</v>
      </c>
      <c r="O1180" s="8" t="s">
        <v>400</v>
      </c>
      <c r="P1180" s="8" t="s">
        <v>401</v>
      </c>
      <c r="Q1180" s="12" t="s">
        <v>5092</v>
      </c>
      <c r="R1180" s="8" t="s">
        <v>100</v>
      </c>
      <c r="S1180" s="7" t="s">
        <v>28</v>
      </c>
      <c r="T1180" s="6"/>
      <c r="U1180" s="8"/>
    </row>
    <row r="1181" spans="1:34" ht="13" customHeight="1">
      <c r="A1181" s="8" t="s">
        <v>5093</v>
      </c>
      <c r="B1181" s="16">
        <v>31</v>
      </c>
      <c r="C1181" s="8" t="s">
        <v>20</v>
      </c>
      <c r="D1181" s="8" t="s">
        <v>37</v>
      </c>
      <c r="E1181" s="8" t="s">
        <v>5094</v>
      </c>
      <c r="F1181" s="17">
        <v>42011</v>
      </c>
      <c r="G1181" s="8" t="s">
        <v>5095</v>
      </c>
      <c r="H1181" s="8" t="s">
        <v>5096</v>
      </c>
      <c r="I1181" s="8" t="s">
        <v>44</v>
      </c>
      <c r="J1181" s="16" t="s">
        <v>5097</v>
      </c>
      <c r="K1181" s="2" t="s">
        <v>88</v>
      </c>
      <c r="L1181" s="8" t="s">
        <v>5098</v>
      </c>
      <c r="M1181" s="8" t="s">
        <v>27</v>
      </c>
      <c r="N1181" s="2" t="s">
        <v>5099</v>
      </c>
      <c r="O1181" s="8" t="s">
        <v>400</v>
      </c>
      <c r="P1181" s="8" t="s">
        <v>401</v>
      </c>
      <c r="Q1181" s="12" t="s">
        <v>5100</v>
      </c>
      <c r="R1181" s="8" t="s">
        <v>29</v>
      </c>
      <c r="S1181" s="7" t="s">
        <v>379</v>
      </c>
      <c r="T1181" s="6"/>
      <c r="U1181" s="8"/>
    </row>
    <row r="1182" spans="1:34" ht="13" customHeight="1">
      <c r="A1182" s="8" t="s">
        <v>5105</v>
      </c>
      <c r="B1182" s="16">
        <v>47</v>
      </c>
      <c r="C1182" s="8" t="s">
        <v>20</v>
      </c>
      <c r="D1182" s="8" t="s">
        <v>85</v>
      </c>
      <c r="E1182" s="8" t="s">
        <v>5106</v>
      </c>
      <c r="F1182" s="17">
        <v>42010</v>
      </c>
      <c r="G1182" s="8" t="s">
        <v>5107</v>
      </c>
      <c r="H1182" s="8" t="s">
        <v>387</v>
      </c>
      <c r="I1182" s="8" t="s">
        <v>404</v>
      </c>
      <c r="J1182" s="16" t="s">
        <v>5108</v>
      </c>
      <c r="K1182" s="2" t="s">
        <v>1639</v>
      </c>
      <c r="L1182" s="8" t="s">
        <v>5671</v>
      </c>
      <c r="M1182" s="8" t="s">
        <v>27</v>
      </c>
      <c r="N1182" s="2" t="s">
        <v>5109</v>
      </c>
      <c r="O1182" s="8" t="s">
        <v>1013</v>
      </c>
      <c r="P1182" s="8" t="s">
        <v>401</v>
      </c>
      <c r="Q1182" s="12" t="s">
        <v>5110</v>
      </c>
      <c r="R1182" s="8" t="s">
        <v>100</v>
      </c>
      <c r="S1182" s="7" t="s">
        <v>18</v>
      </c>
      <c r="T1182" s="6"/>
      <c r="U1182" s="8"/>
    </row>
    <row r="1183" spans="1:34" ht="13" customHeight="1">
      <c r="A1183" s="8" t="s">
        <v>5101</v>
      </c>
      <c r="B1183" s="16">
        <v>26</v>
      </c>
      <c r="C1183" s="8" t="s">
        <v>20</v>
      </c>
      <c r="D1183" s="8" t="s">
        <v>85</v>
      </c>
      <c r="F1183" s="17">
        <v>42010</v>
      </c>
      <c r="G1183" s="8" t="s">
        <v>5102</v>
      </c>
      <c r="H1183" s="8" t="s">
        <v>98</v>
      </c>
      <c r="I1183" s="8" t="s">
        <v>45</v>
      </c>
      <c r="J1183" s="16" t="s">
        <v>5103</v>
      </c>
      <c r="K1183" s="2" t="s">
        <v>98</v>
      </c>
      <c r="L1183" s="8" t="s">
        <v>5014</v>
      </c>
      <c r="M1183" s="8" t="s">
        <v>391</v>
      </c>
      <c r="N1183" s="2" t="s">
        <v>5104</v>
      </c>
      <c r="O1183" s="8" t="s">
        <v>400</v>
      </c>
      <c r="P1183" s="8" t="s">
        <v>401</v>
      </c>
      <c r="Q1183" s="12" t="str">
        <f>HYPERLINK("http://www.latimes.com/local/lanow/la-me-ln-taser-death-20150107-story.html","http://www.latimes.com/local/lanow/la-me-ln-taser-death-20150107-story.html")</f>
        <v>http://www.latimes.com/local/lanow/la-me-ln-taser-death-20150107-story.html</v>
      </c>
      <c r="R1183" s="8" t="s">
        <v>967</v>
      </c>
      <c r="S1183" s="7" t="s">
        <v>18</v>
      </c>
      <c r="T1183" s="6"/>
      <c r="U1183" s="8"/>
    </row>
    <row r="1184" spans="1:34" ht="13" customHeight="1">
      <c r="A1184" s="8" t="s">
        <v>5111</v>
      </c>
      <c r="B1184" s="16">
        <v>25</v>
      </c>
      <c r="C1184" s="8" t="s">
        <v>20</v>
      </c>
      <c r="D1184" s="8" t="s">
        <v>37</v>
      </c>
      <c r="E1184" s="8" t="s">
        <v>5112</v>
      </c>
      <c r="F1184" s="17">
        <v>42010</v>
      </c>
      <c r="G1184" s="8" t="s">
        <v>5113</v>
      </c>
      <c r="H1184" s="8" t="s">
        <v>1763</v>
      </c>
      <c r="I1184" s="8" t="s">
        <v>45</v>
      </c>
      <c r="J1184" s="16" t="s">
        <v>5114</v>
      </c>
      <c r="K1184" s="2" t="s">
        <v>1765</v>
      </c>
      <c r="L1184" s="8" t="s">
        <v>1766</v>
      </c>
      <c r="M1184" s="8" t="s">
        <v>27</v>
      </c>
      <c r="N1184" s="2" t="s">
        <v>5115</v>
      </c>
      <c r="O1184" s="8" t="s">
        <v>1013</v>
      </c>
      <c r="P1184" s="8" t="s">
        <v>401</v>
      </c>
      <c r="Q1184" s="12" t="s">
        <v>5116</v>
      </c>
      <c r="R1184" s="8" t="s">
        <v>5117</v>
      </c>
      <c r="S1184" s="7" t="s">
        <v>28</v>
      </c>
      <c r="T1184" s="6"/>
      <c r="U1184" s="8"/>
    </row>
    <row r="1185" spans="1:39" ht="13" customHeight="1">
      <c r="A1185" s="8" t="s">
        <v>5118</v>
      </c>
      <c r="B1185" s="16">
        <v>35</v>
      </c>
      <c r="C1185" s="8" t="s">
        <v>20</v>
      </c>
      <c r="D1185" s="8" t="s">
        <v>37</v>
      </c>
      <c r="E1185" s="8" t="s">
        <v>5119</v>
      </c>
      <c r="F1185" s="17">
        <v>42010</v>
      </c>
      <c r="G1185" s="8" t="s">
        <v>5120</v>
      </c>
      <c r="H1185" s="8" t="s">
        <v>5121</v>
      </c>
      <c r="I1185" s="8" t="s">
        <v>363</v>
      </c>
      <c r="J1185" s="16" t="s">
        <v>5122</v>
      </c>
      <c r="K1185" s="2" t="s">
        <v>5123</v>
      </c>
      <c r="L1185" s="8" t="s">
        <v>5124</v>
      </c>
      <c r="M1185" s="8" t="s">
        <v>27</v>
      </c>
      <c r="N1185" s="2" t="s">
        <v>5125</v>
      </c>
      <c r="O1185" s="8" t="s">
        <v>550</v>
      </c>
      <c r="P1185" s="8" t="s">
        <v>401</v>
      </c>
      <c r="Q1185" s="12" t="s">
        <v>5126</v>
      </c>
      <c r="R1185" s="8" t="s">
        <v>967</v>
      </c>
      <c r="S1185" s="7" t="s">
        <v>28</v>
      </c>
      <c r="T1185" s="6"/>
      <c r="U1185" s="8"/>
    </row>
    <row r="1186" spans="1:39" ht="13" customHeight="1">
      <c r="A1186" s="8" t="s">
        <v>5127</v>
      </c>
      <c r="B1186" s="16">
        <v>35</v>
      </c>
      <c r="C1186" s="8" t="s">
        <v>114</v>
      </c>
      <c r="D1186" s="8" t="s">
        <v>37</v>
      </c>
      <c r="E1186" s="8" t="s">
        <v>5128</v>
      </c>
      <c r="F1186" s="17">
        <v>42010</v>
      </c>
      <c r="G1186" s="8" t="s">
        <v>5129</v>
      </c>
      <c r="H1186" s="8" t="s">
        <v>5130</v>
      </c>
      <c r="I1186" s="8" t="s">
        <v>370</v>
      </c>
      <c r="J1186" s="16" t="s">
        <v>5131</v>
      </c>
      <c r="K1186" s="2" t="s">
        <v>1865</v>
      </c>
      <c r="L1186" s="8" t="s">
        <v>5132</v>
      </c>
      <c r="M1186" s="8" t="s">
        <v>27</v>
      </c>
      <c r="N1186" s="2" t="s">
        <v>5133</v>
      </c>
      <c r="O1186" s="8" t="s">
        <v>1013</v>
      </c>
      <c r="P1186" s="8" t="s">
        <v>401</v>
      </c>
      <c r="Q1186" s="12" t="str">
        <f>HYPERLINK("http://www.washingtonpost.com/news/the-watch/wp/2015/01/09/iowa-cop-reportedly-tries-to-shoot-dog-kills-woman-instead/","http://www.washingtonpost.com/news/the-watch/wp/2015/01/09/iowa-cop-reportedly-tries-to-shoot-dog-kills-woman-instead/")</f>
        <v>http://www.washingtonpost.com/news/the-watch/wp/2015/01/09/iowa-cop-reportedly-tries-to-shoot-dog-kills-woman-instead/</v>
      </c>
      <c r="R1186" s="8" t="s">
        <v>29</v>
      </c>
      <c r="S1186" s="7" t="s">
        <v>28</v>
      </c>
      <c r="T1186" s="6"/>
      <c r="U1186" s="8"/>
    </row>
    <row r="1187" spans="1:39" ht="13" customHeight="1">
      <c r="A1187" s="8" t="s">
        <v>5138</v>
      </c>
      <c r="B1187" s="16">
        <v>22</v>
      </c>
      <c r="C1187" s="8" t="s">
        <v>20</v>
      </c>
      <c r="D1187" s="8" t="s">
        <v>48</v>
      </c>
      <c r="E1187" s="8" t="s">
        <v>5139</v>
      </c>
      <c r="F1187" s="17">
        <v>42009</v>
      </c>
      <c r="G1187" s="8" t="s">
        <v>5140</v>
      </c>
      <c r="H1187" s="8" t="s">
        <v>5141</v>
      </c>
      <c r="I1187" s="8" t="s">
        <v>123</v>
      </c>
      <c r="J1187" s="16" t="s">
        <v>5142</v>
      </c>
      <c r="K1187" s="2" t="s">
        <v>635</v>
      </c>
      <c r="L1187" s="8" t="s">
        <v>5143</v>
      </c>
      <c r="M1187" s="8" t="s">
        <v>27</v>
      </c>
      <c r="N1187" s="2" t="s">
        <v>5144</v>
      </c>
      <c r="O1187" s="8" t="s">
        <v>1013</v>
      </c>
      <c r="P1187" s="8" t="s">
        <v>401</v>
      </c>
      <c r="Q1187" s="12" t="s">
        <v>5145</v>
      </c>
      <c r="R1187" s="8" t="s">
        <v>100</v>
      </c>
      <c r="S1187" s="7" t="s">
        <v>28</v>
      </c>
      <c r="T1187" s="6"/>
      <c r="U1187" s="8"/>
    </row>
    <row r="1188" spans="1:39" ht="13" customHeight="1">
      <c r="A1188" s="8" t="s">
        <v>5146</v>
      </c>
      <c r="B1188" s="16">
        <v>39</v>
      </c>
      <c r="C1188" s="8" t="s">
        <v>20</v>
      </c>
      <c r="D1188" s="8" t="s">
        <v>48</v>
      </c>
      <c r="E1188" s="8" t="s">
        <v>5147</v>
      </c>
      <c r="F1188" s="17">
        <v>42008</v>
      </c>
      <c r="G1188" s="8" t="s">
        <v>5148</v>
      </c>
      <c r="H1188" s="8" t="s">
        <v>5149</v>
      </c>
      <c r="I1188" s="8" t="s">
        <v>209</v>
      </c>
      <c r="J1188" s="16" t="s">
        <v>5150</v>
      </c>
      <c r="K1188" s="2" t="s">
        <v>1709</v>
      </c>
      <c r="L1188" s="8" t="s">
        <v>5151</v>
      </c>
      <c r="M1188" s="8" t="s">
        <v>27</v>
      </c>
      <c r="N1188" s="2" t="s">
        <v>5152</v>
      </c>
      <c r="O1188" s="8" t="s">
        <v>550</v>
      </c>
      <c r="P1188" s="8" t="s">
        <v>401</v>
      </c>
      <c r="Q1188" s="12" t="s">
        <v>5153</v>
      </c>
      <c r="R1188" s="8" t="s">
        <v>100</v>
      </c>
      <c r="S1188" s="7" t="s">
        <v>28</v>
      </c>
      <c r="T1188" s="6"/>
      <c r="U1188" s="8"/>
    </row>
    <row r="1189" spans="1:39" ht="13" customHeight="1">
      <c r="A1189" s="8" t="s">
        <v>5154</v>
      </c>
      <c r="B1189" s="16">
        <v>18</v>
      </c>
      <c r="C1189" s="8" t="s">
        <v>20</v>
      </c>
      <c r="D1189" s="8" t="s">
        <v>37</v>
      </c>
      <c r="E1189" s="8" t="s">
        <v>5155</v>
      </c>
      <c r="F1189" s="17">
        <v>42008</v>
      </c>
      <c r="G1189" s="8" t="s">
        <v>5156</v>
      </c>
      <c r="H1189" s="8" t="s">
        <v>5157</v>
      </c>
      <c r="I1189" s="8" t="s">
        <v>395</v>
      </c>
      <c r="J1189" s="16" t="s">
        <v>5158</v>
      </c>
      <c r="K1189" s="2" t="s">
        <v>993</v>
      </c>
      <c r="L1189" s="8" t="s">
        <v>2048</v>
      </c>
      <c r="M1189" s="8" t="s">
        <v>27</v>
      </c>
      <c r="N1189" s="2" t="s">
        <v>5159</v>
      </c>
      <c r="O1189" s="8" t="s">
        <v>1013</v>
      </c>
      <c r="P1189" s="8" t="s">
        <v>401</v>
      </c>
      <c r="Q1189" s="12" t="s">
        <v>5160</v>
      </c>
      <c r="R1189" s="8" t="s">
        <v>100</v>
      </c>
      <c r="S1189" s="7" t="s">
        <v>28</v>
      </c>
      <c r="T1189" s="6"/>
      <c r="U1189" s="8"/>
    </row>
    <row r="1190" spans="1:39" ht="13" customHeight="1">
      <c r="A1190" s="8" t="s">
        <v>5161</v>
      </c>
      <c r="B1190" s="16">
        <v>32</v>
      </c>
      <c r="C1190" s="8" t="s">
        <v>20</v>
      </c>
      <c r="D1190" s="8" t="s">
        <v>37</v>
      </c>
      <c r="F1190" s="17">
        <v>42008</v>
      </c>
      <c r="G1190" s="8" t="s">
        <v>5162</v>
      </c>
      <c r="H1190" s="8" t="s">
        <v>948</v>
      </c>
      <c r="I1190" s="8" t="s">
        <v>45</v>
      </c>
      <c r="J1190" s="16" t="s">
        <v>4034</v>
      </c>
      <c r="K1190" s="2" t="s">
        <v>948</v>
      </c>
      <c r="L1190" s="8" t="s">
        <v>949</v>
      </c>
      <c r="M1190" s="8" t="s">
        <v>27</v>
      </c>
      <c r="N1190" s="2" t="s">
        <v>5163</v>
      </c>
      <c r="O1190" s="8" t="s">
        <v>4714</v>
      </c>
      <c r="P1190" s="8" t="s">
        <v>401</v>
      </c>
      <c r="Q1190" s="12" t="s">
        <v>5164</v>
      </c>
      <c r="R1190" s="8" t="s">
        <v>29</v>
      </c>
      <c r="S1190" s="7" t="s">
        <v>18</v>
      </c>
      <c r="T1190" s="6"/>
      <c r="U1190" s="8"/>
    </row>
    <row r="1191" spans="1:39" ht="13" customHeight="1">
      <c r="A1191" s="8" t="s">
        <v>5165</v>
      </c>
      <c r="B1191" s="16">
        <v>19</v>
      </c>
      <c r="C1191" s="8" t="s">
        <v>20</v>
      </c>
      <c r="D1191" s="8" t="s">
        <v>37</v>
      </c>
      <c r="E1191" s="8" t="s">
        <v>5166</v>
      </c>
      <c r="F1191" s="17">
        <v>42008</v>
      </c>
      <c r="G1191" s="8" t="s">
        <v>5167</v>
      </c>
      <c r="H1191" s="8" t="s">
        <v>5168</v>
      </c>
      <c r="I1191" s="8" t="s">
        <v>873</v>
      </c>
      <c r="J1191" s="16" t="s">
        <v>5169</v>
      </c>
      <c r="K1191" s="2" t="s">
        <v>5170</v>
      </c>
      <c r="L1191" s="8" t="s">
        <v>5171</v>
      </c>
      <c r="M1191" s="8" t="s">
        <v>379</v>
      </c>
      <c r="N1191" s="2" t="s">
        <v>5172</v>
      </c>
      <c r="O1191" s="8" t="s">
        <v>1013</v>
      </c>
      <c r="P1191" s="8" t="s">
        <v>401</v>
      </c>
      <c r="Q1191" s="12" t="s">
        <v>5173</v>
      </c>
      <c r="R1191" s="8" t="s">
        <v>100</v>
      </c>
      <c r="S1191" s="7" t="s">
        <v>18</v>
      </c>
      <c r="T1191" s="6"/>
      <c r="U1191" s="8"/>
    </row>
    <row r="1192" spans="1:39" ht="13" customHeight="1">
      <c r="A1192" s="8" t="s">
        <v>5174</v>
      </c>
      <c r="B1192" s="16">
        <v>23</v>
      </c>
      <c r="C1192" s="8" t="s">
        <v>20</v>
      </c>
      <c r="D1192" s="8" t="s">
        <v>48</v>
      </c>
      <c r="E1192" s="8" t="s">
        <v>5175</v>
      </c>
      <c r="F1192" s="17">
        <v>42007</v>
      </c>
      <c r="G1192" s="8" t="s">
        <v>5176</v>
      </c>
      <c r="H1192" s="8" t="s">
        <v>685</v>
      </c>
      <c r="I1192" s="8" t="s">
        <v>363</v>
      </c>
      <c r="J1192" s="16" t="s">
        <v>5177</v>
      </c>
      <c r="K1192" s="2" t="s">
        <v>686</v>
      </c>
      <c r="L1192" s="8" t="s">
        <v>687</v>
      </c>
      <c r="M1192" s="8" t="s">
        <v>27</v>
      </c>
      <c r="N1192" s="2" t="s">
        <v>5178</v>
      </c>
      <c r="O1192" s="8" t="s">
        <v>1013</v>
      </c>
      <c r="P1192" s="8" t="s">
        <v>401</v>
      </c>
      <c r="Q1192" s="12" t="s">
        <v>5179</v>
      </c>
      <c r="R1192" s="8" t="s">
        <v>100</v>
      </c>
      <c r="S1192" s="7" t="s">
        <v>28</v>
      </c>
      <c r="T1192" s="6"/>
      <c r="U1192" s="8"/>
      <c r="V1192" s="8"/>
      <c r="W1192" s="8"/>
      <c r="X1192" s="8"/>
    </row>
    <row r="1193" spans="1:39" ht="13" customHeight="1">
      <c r="A1193" s="8" t="s">
        <v>5180</v>
      </c>
      <c r="B1193" s="16">
        <v>53</v>
      </c>
      <c r="C1193" s="8" t="s">
        <v>20</v>
      </c>
      <c r="D1193" s="8" t="s">
        <v>21</v>
      </c>
      <c r="E1193" s="8" t="s">
        <v>5181</v>
      </c>
      <c r="F1193" s="17">
        <v>42006</v>
      </c>
      <c r="G1193" s="8" t="s">
        <v>5182</v>
      </c>
      <c r="H1193" s="8" t="s">
        <v>5183</v>
      </c>
      <c r="I1193" s="8" t="s">
        <v>303</v>
      </c>
      <c r="J1193" s="16" t="s">
        <v>5184</v>
      </c>
      <c r="K1193" s="2" t="s">
        <v>701</v>
      </c>
      <c r="L1193" s="8" t="s">
        <v>702</v>
      </c>
      <c r="M1193" s="8" t="s">
        <v>27</v>
      </c>
      <c r="N1193" s="2" t="s">
        <v>5185</v>
      </c>
      <c r="O1193" s="8" t="s">
        <v>1013</v>
      </c>
      <c r="P1193" s="8" t="s">
        <v>401</v>
      </c>
      <c r="Q1193" s="12" t="s">
        <v>5186</v>
      </c>
      <c r="R1193" s="8" t="s">
        <v>555</v>
      </c>
      <c r="S1193" s="7" t="s">
        <v>28</v>
      </c>
      <c r="T1193" s="6"/>
      <c r="U1193" s="8"/>
      <c r="AI1193" s="8"/>
      <c r="AJ1193" s="8"/>
      <c r="AK1193" s="8"/>
      <c r="AL1193" s="8"/>
      <c r="AM1193" s="8"/>
    </row>
    <row r="1194" spans="1:39" ht="13" customHeight="1">
      <c r="A1194" s="8" t="s">
        <v>5187</v>
      </c>
      <c r="B1194" s="16">
        <v>47</v>
      </c>
      <c r="C1194" s="8" t="s">
        <v>20</v>
      </c>
      <c r="D1194" s="8" t="s">
        <v>37</v>
      </c>
      <c r="F1194" s="17">
        <v>42006</v>
      </c>
      <c r="G1194" s="8" t="s">
        <v>5188</v>
      </c>
      <c r="H1194" s="8" t="s">
        <v>116</v>
      </c>
      <c r="I1194" s="8" t="s">
        <v>117</v>
      </c>
      <c r="J1194" s="16" t="s">
        <v>5189</v>
      </c>
      <c r="K1194" s="2" t="s">
        <v>118</v>
      </c>
      <c r="L1194" s="8" t="s">
        <v>119</v>
      </c>
      <c r="M1194" s="8" t="s">
        <v>27</v>
      </c>
      <c r="N1194" s="2" t="s">
        <v>5190</v>
      </c>
      <c r="O1194" s="8" t="s">
        <v>1013</v>
      </c>
      <c r="P1194" s="8" t="s">
        <v>401</v>
      </c>
      <c r="Q1194" s="12" t="s">
        <v>5191</v>
      </c>
      <c r="R1194" s="8" t="s">
        <v>967</v>
      </c>
      <c r="S1194" s="7" t="s">
        <v>28</v>
      </c>
      <c r="T1194" s="6"/>
      <c r="U1194" s="8"/>
    </row>
    <row r="1195" spans="1:39" ht="13" customHeight="1">
      <c r="A1195" s="8" t="s">
        <v>21426</v>
      </c>
      <c r="B1195" s="16">
        <v>22</v>
      </c>
      <c r="C1195" s="8" t="s">
        <v>20</v>
      </c>
      <c r="D1195" s="8" t="s">
        <v>85</v>
      </c>
      <c r="E1195" s="8" t="s">
        <v>5192</v>
      </c>
      <c r="F1195" s="17">
        <v>42005</v>
      </c>
      <c r="G1195" s="8" t="s">
        <v>5193</v>
      </c>
      <c r="H1195" s="8" t="s">
        <v>5194</v>
      </c>
      <c r="I1195" s="8" t="s">
        <v>173</v>
      </c>
      <c r="J1195" s="16" t="s">
        <v>5195</v>
      </c>
      <c r="K1195" s="2" t="s">
        <v>3758</v>
      </c>
      <c r="L1195" s="8" t="s">
        <v>5196</v>
      </c>
      <c r="M1195" s="8" t="s">
        <v>21662</v>
      </c>
      <c r="N1195" s="2" t="s">
        <v>5197</v>
      </c>
      <c r="O1195" s="8" t="s">
        <v>400</v>
      </c>
      <c r="P1195" s="8" t="s">
        <v>21429</v>
      </c>
      <c r="Q1195" s="12" t="s">
        <v>5198</v>
      </c>
      <c r="R1195" s="8" t="s">
        <v>555</v>
      </c>
      <c r="S1195" s="7" t="s">
        <v>18</v>
      </c>
      <c r="T1195" s="6"/>
      <c r="U1195" s="8"/>
    </row>
    <row r="1196" spans="1:39" ht="13" customHeight="1">
      <c r="A1196" s="8" t="s">
        <v>5199</v>
      </c>
      <c r="B1196" s="16">
        <v>18</v>
      </c>
      <c r="C1196" s="8" t="s">
        <v>20</v>
      </c>
      <c r="D1196" s="8" t="s">
        <v>48</v>
      </c>
      <c r="E1196" s="8" t="str">
        <f>HYPERLINK("http://www.miamiherald.com/news/local/community/florida-keys/tfsh2c/picture5621952/ALTERNATES/FREE_960/Roberto.jpg","http://www.miamiherald.com/news/local/community/florida-keys/tfsh2c/picture5621952/ALTERNATES/FREE_960/Roberto.jpg")</f>
        <v>http://www.miamiherald.com/news/local/community/florida-keys/tfsh2c/picture5621952/ALTERNATES/FREE_960/Roberto.jpg</v>
      </c>
      <c r="F1196" s="17">
        <v>42005</v>
      </c>
      <c r="G1196" s="8" t="s">
        <v>5200</v>
      </c>
      <c r="H1196" s="8" t="s">
        <v>5201</v>
      </c>
      <c r="I1196" s="8" t="s">
        <v>62</v>
      </c>
      <c r="J1196" s="16" t="s">
        <v>5202</v>
      </c>
      <c r="K1196" s="2" t="s">
        <v>1108</v>
      </c>
      <c r="L1196" s="8" t="s">
        <v>5203</v>
      </c>
      <c r="M1196" s="8" t="s">
        <v>391</v>
      </c>
      <c r="N1196" s="2" t="s">
        <v>5204</v>
      </c>
      <c r="O1196" s="8" t="s">
        <v>1013</v>
      </c>
      <c r="P1196" s="8" t="s">
        <v>401</v>
      </c>
      <c r="Q1196" s="12" t="str">
        <f>HYPERLINK("http://www.miamiherald.com/news/local/community/florida-keys/article5621958.html","http://www.miamiherald.com/news/local/community/florida-keys/article5621958.html")</f>
        <v>http://www.miamiherald.com/news/local/community/florida-keys/article5621958.html</v>
      </c>
      <c r="R1196" s="8" t="s">
        <v>967</v>
      </c>
      <c r="S1196" s="7" t="s">
        <v>18</v>
      </c>
      <c r="T1196" s="6"/>
      <c r="U1196" s="8"/>
    </row>
    <row r="1197" spans="1:39" ht="13" customHeight="1">
      <c r="A1197" s="8" t="s">
        <v>5205</v>
      </c>
      <c r="B1197" s="16">
        <v>22</v>
      </c>
      <c r="C1197" s="8" t="s">
        <v>20</v>
      </c>
      <c r="D1197" s="8" t="s">
        <v>37</v>
      </c>
      <c r="E1197" s="8" t="s">
        <v>5206</v>
      </c>
      <c r="F1197" s="17">
        <v>42005</v>
      </c>
      <c r="G1197" s="8" t="s">
        <v>5207</v>
      </c>
      <c r="H1197" s="8" t="s">
        <v>3758</v>
      </c>
      <c r="I1197" s="8" t="s">
        <v>46</v>
      </c>
      <c r="J1197" s="16" t="s">
        <v>5208</v>
      </c>
      <c r="K1197" s="2" t="s">
        <v>5209</v>
      </c>
      <c r="L1197" s="8" t="s">
        <v>5210</v>
      </c>
      <c r="M1197" s="8" t="s">
        <v>379</v>
      </c>
      <c r="N1197" s="2" t="s">
        <v>5211</v>
      </c>
      <c r="O1197" s="8" t="s">
        <v>400</v>
      </c>
      <c r="P1197" s="8" t="s">
        <v>401</v>
      </c>
      <c r="Q1197" s="12" t="s">
        <v>5212</v>
      </c>
      <c r="R1197" s="8" t="s">
        <v>967</v>
      </c>
      <c r="S1197" s="7" t="s">
        <v>18</v>
      </c>
      <c r="T1197" s="6"/>
      <c r="U1197" s="8"/>
    </row>
    <row r="1198" spans="1:39" ht="13" customHeight="1">
      <c r="A1198" s="8" t="s">
        <v>5215</v>
      </c>
      <c r="B1198" s="16">
        <v>28</v>
      </c>
      <c r="C1198" s="8" t="s">
        <v>20</v>
      </c>
      <c r="D1198" s="8" t="s">
        <v>85</v>
      </c>
      <c r="E1198" s="8" t="str">
        <f>HYPERLINK("http://www.miamiherald.com/news/local/crime/2xyin4/picture5303859/ALTERNATES/FREE_960/Eric%20Tyrone%20Forbes.jpg","http://www.miamiherald.com/news/local/crime/2xyin4/picture5303859/ALTERNATES/FREE_960/Eric%20Tyrone%20Forbes.jpg")</f>
        <v>http://www.miamiherald.com/news/local/crime/2xyin4/picture5303859/ALTERNATES/FREE_960/Eric%20Tyrone%20Forbes.jpg</v>
      </c>
      <c r="F1198" s="17">
        <v>42004</v>
      </c>
      <c r="G1198" s="8" t="s">
        <v>5216</v>
      </c>
      <c r="H1198" s="8" t="s">
        <v>213</v>
      </c>
      <c r="I1198" s="8" t="s">
        <v>62</v>
      </c>
      <c r="J1198" s="16">
        <v>33150</v>
      </c>
      <c r="K1198" s="2" t="s">
        <v>1127</v>
      </c>
      <c r="L1198" s="8" t="s">
        <v>5217</v>
      </c>
      <c r="M1198" s="8" t="s">
        <v>27</v>
      </c>
      <c r="N1198" s="2" t="s">
        <v>5218</v>
      </c>
      <c r="P1198" s="8" t="s">
        <v>401</v>
      </c>
      <c r="Q1198" s="12" t="str">
        <f>HYPERLINK("http://www.local10.com/news/1-dead-in-new-years-eve-policeinvolved-shooting-in-miami/30477214","http://www.local10.com/news/1-dead-in-new-years-eve-policeinvolved-shooting-in-miami/30477214")</f>
        <v>http://www.local10.com/news/1-dead-in-new-years-eve-policeinvolved-shooting-in-miami/30477214</v>
      </c>
      <c r="R1198" s="8" t="s">
        <v>100</v>
      </c>
      <c r="S1198" s="7" t="s">
        <v>28</v>
      </c>
      <c r="T1198" s="6"/>
      <c r="U1198" s="8"/>
    </row>
    <row r="1199" spans="1:39" ht="13" customHeight="1">
      <c r="A1199" s="8" t="s">
        <v>5213</v>
      </c>
      <c r="B1199" s="16">
        <v>44</v>
      </c>
      <c r="C1199" s="8" t="s">
        <v>20</v>
      </c>
      <c r="D1199" s="8" t="s">
        <v>85</v>
      </c>
      <c r="E1199" s="8" t="str">
        <f>HYPERLINK("http://i.guim.co.uk/static/w-620/h--/q-95/sys-images/Guardian/Pix/pictures/2015/2/12/1423748301468/7245d83a-eba5-4117-8f2b-584fc9f566e8-bestSizeAvailable.jpeg","http://i.guim.co.uk/static/w-620/h--/q-95/sys-images/Guardian/Pix/pictures/2015/2/12/1423748301468/7245d83a-eba5-4117-8f2b-584fc9f566e8-bestSizeAvailable.jpeg")</f>
        <v>http://i.guim.co.uk/static/w-620/h--/q-95/sys-images/Guardian/Pix/pictures/2015/2/12/1423748301468/7245d83a-eba5-4117-8f2b-584fc9f566e8-bestSizeAvailable.jpeg</v>
      </c>
      <c r="F1199" s="17">
        <v>42004</v>
      </c>
      <c r="H1199" s="8" t="s">
        <v>1037</v>
      </c>
      <c r="I1199" s="8" t="s">
        <v>173</v>
      </c>
      <c r="J1199" s="16">
        <v>30030</v>
      </c>
      <c r="K1199" s="2" t="s">
        <v>864</v>
      </c>
      <c r="L1199" s="8" t="s">
        <v>865</v>
      </c>
      <c r="M1199" s="8" t="s">
        <v>27</v>
      </c>
      <c r="N1199" s="2" t="s">
        <v>5214</v>
      </c>
      <c r="P1199" s="8" t="s">
        <v>401</v>
      </c>
      <c r="Q1199" s="12" t="str">
        <f>HYPERLINK("http://www.alternet.org/news-amp-politics/kevin-davis-called-cops-help-out-friend-trouble-and-was-shot-death-police-his","http://www.alternet.org/news-amp-politics/kevin-davis-called-cops-help-out-friend-trouble-and-was-shot-death-police-his")</f>
        <v>http://www.alternet.org/news-amp-politics/kevin-davis-called-cops-help-out-friend-trouble-and-was-shot-death-police-his</v>
      </c>
      <c r="R1199" s="8" t="s">
        <v>100</v>
      </c>
      <c r="S1199" s="7" t="s">
        <v>28</v>
      </c>
      <c r="T1199" s="6"/>
      <c r="U1199" s="8"/>
    </row>
    <row r="1200" spans="1:39" ht="13" customHeight="1">
      <c r="A1200" s="8" t="s">
        <v>5225</v>
      </c>
      <c r="B1200" s="16">
        <v>34</v>
      </c>
      <c r="C1200" s="8" t="s">
        <v>114</v>
      </c>
      <c r="D1200" s="8" t="s">
        <v>48</v>
      </c>
      <c r="F1200" s="17">
        <v>42004</v>
      </c>
      <c r="G1200" s="8" t="s">
        <v>5226</v>
      </c>
      <c r="H1200" s="8" t="s">
        <v>5227</v>
      </c>
      <c r="I1200" s="8" t="s">
        <v>45</v>
      </c>
      <c r="J1200" s="16">
        <v>90220</v>
      </c>
      <c r="K1200" s="2" t="s">
        <v>98</v>
      </c>
      <c r="L1200" s="8" t="s">
        <v>414</v>
      </c>
      <c r="M1200" s="8" t="s">
        <v>27</v>
      </c>
      <c r="N1200" s="2" t="s">
        <v>5228</v>
      </c>
      <c r="P1200" s="8" t="s">
        <v>401</v>
      </c>
      <c r="Q1200" s="12" t="str">
        <f>HYPERLINK("http://www.presstelegram.com/general-news/20150101/armed-woman-killed-in-compton-deputy-involved-shooting","http://www.presstelegram.com/general-news/20150101/armed-woman-killed-in-compton-deputy-involved-shooting")</f>
        <v>http://www.presstelegram.com/general-news/20150101/armed-woman-killed-in-compton-deputy-involved-shooting</v>
      </c>
      <c r="S1200" s="7" t="s">
        <v>28</v>
      </c>
      <c r="T1200" s="6"/>
      <c r="U1200" s="8"/>
    </row>
    <row r="1201" spans="1:21" ht="13" customHeight="1">
      <c r="A1201" s="8" t="s">
        <v>5219</v>
      </c>
      <c r="B1201" s="16">
        <v>34</v>
      </c>
      <c r="C1201" s="8" t="s">
        <v>20</v>
      </c>
      <c r="D1201" s="8" t="s">
        <v>48</v>
      </c>
      <c r="F1201" s="17">
        <v>42004</v>
      </c>
      <c r="G1201" s="8" t="s">
        <v>5220</v>
      </c>
      <c r="H1201" s="8" t="s">
        <v>5221</v>
      </c>
      <c r="I1201" s="8" t="s">
        <v>395</v>
      </c>
      <c r="J1201" s="16">
        <v>73072</v>
      </c>
      <c r="K1201" s="2" t="s">
        <v>987</v>
      </c>
      <c r="L1201" s="8" t="s">
        <v>5222</v>
      </c>
      <c r="M1201" s="8" t="s">
        <v>27</v>
      </c>
      <c r="N1201" s="2" t="s">
        <v>5223</v>
      </c>
      <c r="O1201" s="8" t="s">
        <v>550</v>
      </c>
      <c r="P1201" s="8" t="s">
        <v>401</v>
      </c>
      <c r="Q1201" s="12" t="s">
        <v>5224</v>
      </c>
      <c r="R1201" s="8" t="s">
        <v>967</v>
      </c>
      <c r="S1201" s="7" t="s">
        <v>28</v>
      </c>
      <c r="T1201" s="6"/>
      <c r="U1201" s="8"/>
    </row>
    <row r="1202" spans="1:21" ht="13" customHeight="1">
      <c r="A1202" s="8" t="s">
        <v>5239</v>
      </c>
      <c r="B1202" s="16">
        <v>79</v>
      </c>
      <c r="C1202" s="8" t="s">
        <v>114</v>
      </c>
      <c r="D1202" s="8" t="s">
        <v>37</v>
      </c>
      <c r="F1202" s="17">
        <v>42004</v>
      </c>
      <c r="H1202" s="8" t="s">
        <v>1097</v>
      </c>
      <c r="I1202" s="8" t="s">
        <v>395</v>
      </c>
      <c r="K1202" s="2" t="s">
        <v>1098</v>
      </c>
      <c r="L1202" s="8" t="s">
        <v>1099</v>
      </c>
      <c r="M1202" s="8" t="s">
        <v>379</v>
      </c>
      <c r="N1202" s="2" t="s">
        <v>5240</v>
      </c>
      <c r="O1202" s="8" t="s">
        <v>1790</v>
      </c>
      <c r="P1202" s="8" t="s">
        <v>1162</v>
      </c>
      <c r="Q1202" s="12" t="s">
        <v>5241</v>
      </c>
      <c r="R1202" s="8" t="s">
        <v>100</v>
      </c>
      <c r="S1202" s="7" t="s">
        <v>18</v>
      </c>
      <c r="T1202" s="6"/>
      <c r="U1202" s="8"/>
    </row>
    <row r="1203" spans="1:21" ht="13" customHeight="1">
      <c r="A1203" s="8" t="s">
        <v>5235</v>
      </c>
      <c r="B1203" s="16">
        <v>48</v>
      </c>
      <c r="C1203" s="8" t="s">
        <v>20</v>
      </c>
      <c r="D1203" s="8" t="s">
        <v>37</v>
      </c>
      <c r="F1203" s="17">
        <v>42004</v>
      </c>
      <c r="H1203" s="8" t="s">
        <v>5236</v>
      </c>
      <c r="I1203" s="8" t="s">
        <v>315</v>
      </c>
      <c r="J1203" s="16">
        <v>41164</v>
      </c>
      <c r="K1203" s="2" t="s">
        <v>820</v>
      </c>
      <c r="L1203" s="8" t="s">
        <v>3385</v>
      </c>
      <c r="M1203" s="8" t="s">
        <v>27</v>
      </c>
      <c r="N1203" s="2" t="s">
        <v>5237</v>
      </c>
      <c r="P1203" s="8" t="s">
        <v>401</v>
      </c>
      <c r="Q1203" s="12" t="s">
        <v>5238</v>
      </c>
      <c r="S1203" s="7" t="s">
        <v>28</v>
      </c>
      <c r="T1203" s="6"/>
      <c r="U1203" s="8"/>
    </row>
    <row r="1204" spans="1:21" ht="13" customHeight="1">
      <c r="A1204" s="8" t="s">
        <v>5229</v>
      </c>
      <c r="B1204" s="16">
        <v>20</v>
      </c>
      <c r="C1204" s="8" t="s">
        <v>20</v>
      </c>
      <c r="D1204" s="8" t="s">
        <v>37</v>
      </c>
      <c r="F1204" s="17">
        <v>42004</v>
      </c>
      <c r="G1204" s="8" t="s">
        <v>5230</v>
      </c>
      <c r="H1204" s="8" t="s">
        <v>5231</v>
      </c>
      <c r="I1204" s="8" t="s">
        <v>857</v>
      </c>
      <c r="J1204" s="16">
        <v>59808</v>
      </c>
      <c r="K1204" s="2" t="s">
        <v>5231</v>
      </c>
      <c r="L1204" s="8" t="s">
        <v>5232</v>
      </c>
      <c r="M1204" s="8" t="s">
        <v>27</v>
      </c>
      <c r="N1204" s="2" t="s">
        <v>5233</v>
      </c>
      <c r="O1204" s="8" t="s">
        <v>550</v>
      </c>
      <c r="P1204" s="8" t="s">
        <v>401</v>
      </c>
      <c r="Q1204" s="12" t="s">
        <v>5234</v>
      </c>
      <c r="R1204" s="8" t="s">
        <v>967</v>
      </c>
      <c r="S1204" s="7" t="s">
        <v>18</v>
      </c>
      <c r="T1204" s="6"/>
      <c r="U1204" s="8"/>
    </row>
    <row r="1205" spans="1:21" ht="13" customHeight="1">
      <c r="A1205" s="8" t="s">
        <v>5242</v>
      </c>
      <c r="B1205" s="16">
        <v>36</v>
      </c>
      <c r="C1205" s="8" t="s">
        <v>20</v>
      </c>
      <c r="D1205" s="8" t="s">
        <v>85</v>
      </c>
      <c r="E1205" s="8" t="s">
        <v>5243</v>
      </c>
      <c r="F1205" s="17">
        <v>42003</v>
      </c>
      <c r="G1205" s="8" t="s">
        <v>5244</v>
      </c>
      <c r="H1205" s="8" t="s">
        <v>5245</v>
      </c>
      <c r="I1205" s="8" t="s">
        <v>81</v>
      </c>
      <c r="J1205" s="16" t="s">
        <v>5246</v>
      </c>
      <c r="K1205" s="2" t="s">
        <v>3167</v>
      </c>
      <c r="L1205" s="8" t="s">
        <v>5247</v>
      </c>
      <c r="M1205" s="8" t="s">
        <v>27</v>
      </c>
      <c r="N1205" s="2" t="s">
        <v>5248</v>
      </c>
      <c r="O1205" s="8" t="s">
        <v>400</v>
      </c>
      <c r="P1205" s="8" t="s">
        <v>401</v>
      </c>
      <c r="Q1205" s="12" t="s">
        <v>5249</v>
      </c>
      <c r="R1205" s="8" t="s">
        <v>100</v>
      </c>
      <c r="S1205" s="7" t="s">
        <v>18</v>
      </c>
      <c r="T1205" s="6"/>
      <c r="U1205" s="8"/>
    </row>
    <row r="1206" spans="1:21" ht="13" customHeight="1">
      <c r="A1206" s="8" t="s">
        <v>5262</v>
      </c>
      <c r="B1206" s="16">
        <v>48</v>
      </c>
      <c r="C1206" s="8" t="s">
        <v>20</v>
      </c>
      <c r="D1206" s="8" t="s">
        <v>37</v>
      </c>
      <c r="E1206" s="8" t="s">
        <v>5263</v>
      </c>
      <c r="F1206" s="17">
        <v>42003</v>
      </c>
      <c r="G1206" s="8" t="s">
        <v>5264</v>
      </c>
      <c r="H1206" s="8" t="s">
        <v>5265</v>
      </c>
      <c r="I1206" s="8" t="s">
        <v>62</v>
      </c>
      <c r="J1206" s="16">
        <v>32086</v>
      </c>
      <c r="K1206" s="2" t="s">
        <v>2407</v>
      </c>
      <c r="L1206" s="8" t="s">
        <v>5266</v>
      </c>
      <c r="M1206" s="8" t="s">
        <v>27</v>
      </c>
      <c r="N1206" s="2" t="s">
        <v>5267</v>
      </c>
      <c r="P1206" s="8" t="s">
        <v>401</v>
      </c>
      <c r="Q1206" s="12" t="str">
        <f>HYPERLINK("http://www.firstcoastnews.com/story/news/local/2014/12/29/st-johns-county-armed-suspect-killed/21031459/","http://www.firstcoastnews.com/story/news/local/2014/12/29/st-johns-county-armed-suspect-killed/21031459/")</f>
        <v>http://www.firstcoastnews.com/story/news/local/2014/12/29/st-johns-county-armed-suspect-killed/21031459/</v>
      </c>
      <c r="S1206" s="7" t="s">
        <v>28</v>
      </c>
      <c r="T1206" s="6"/>
      <c r="U1206" s="8"/>
    </row>
    <row r="1207" spans="1:21" ht="13" customHeight="1">
      <c r="A1207" s="8" t="s">
        <v>5254</v>
      </c>
      <c r="B1207" s="16">
        <v>30</v>
      </c>
      <c r="C1207" s="8" t="s">
        <v>20</v>
      </c>
      <c r="D1207" s="8" t="s">
        <v>37</v>
      </c>
      <c r="E1207" s="8" t="s">
        <v>5255</v>
      </c>
      <c r="F1207" s="17">
        <v>42003</v>
      </c>
      <c r="G1207" s="8" t="s">
        <v>5256</v>
      </c>
      <c r="H1207" s="8" t="s">
        <v>5257</v>
      </c>
      <c r="I1207" s="8" t="s">
        <v>94</v>
      </c>
      <c r="J1207" s="16" t="s">
        <v>5258</v>
      </c>
      <c r="K1207" s="2" t="s">
        <v>726</v>
      </c>
      <c r="L1207" s="8" t="s">
        <v>5259</v>
      </c>
      <c r="M1207" s="8" t="s">
        <v>27</v>
      </c>
      <c r="N1207" s="2" t="s">
        <v>5260</v>
      </c>
      <c r="O1207" s="8" t="s">
        <v>400</v>
      </c>
      <c r="P1207" s="8" t="s">
        <v>401</v>
      </c>
      <c r="Q1207" s="12" t="s">
        <v>5261</v>
      </c>
      <c r="R1207" s="8" t="s">
        <v>100</v>
      </c>
      <c r="S1207" s="7" t="s">
        <v>18</v>
      </c>
      <c r="T1207" s="6"/>
      <c r="U1207" s="8"/>
    </row>
    <row r="1208" spans="1:21" ht="13" customHeight="1">
      <c r="A1208" s="8" t="s">
        <v>5250</v>
      </c>
      <c r="B1208" s="16">
        <v>52</v>
      </c>
      <c r="C1208" s="8" t="s">
        <v>20</v>
      </c>
      <c r="D1208" s="8" t="s">
        <v>37</v>
      </c>
      <c r="F1208" s="17">
        <v>42003</v>
      </c>
      <c r="H1208" s="8" t="s">
        <v>5251</v>
      </c>
      <c r="I1208" s="8" t="s">
        <v>404</v>
      </c>
      <c r="J1208" s="16">
        <v>19041</v>
      </c>
      <c r="K1208" s="2" t="s">
        <v>909</v>
      </c>
      <c r="L1208" s="8" t="s">
        <v>5252</v>
      </c>
      <c r="M1208" s="8" t="s">
        <v>27</v>
      </c>
      <c r="N1208" s="2" t="s">
        <v>5253</v>
      </c>
      <c r="O1208" s="8" t="s">
        <v>400</v>
      </c>
      <c r="P1208" s="8" t="s">
        <v>401</v>
      </c>
      <c r="Q1208" s="12" t="str">
        <f>HYPERLINK("http://6abc.com/news/sources-suspect-shot-killed-by-police-in-drexel-hill/455767/","http://6abc.com/news/sources-suspect-shot-killed-by-police-in-drexel-hill/455767/")</f>
        <v>http://6abc.com/news/sources-suspect-shot-killed-by-police-in-drexel-hill/455767/</v>
      </c>
      <c r="S1208" s="7" t="s">
        <v>379</v>
      </c>
      <c r="T1208" s="6"/>
      <c r="U1208" s="8"/>
    </row>
    <row r="1209" spans="1:21" ht="13" customHeight="1">
      <c r="A1209" s="8" t="s">
        <v>5268</v>
      </c>
      <c r="B1209" s="16">
        <v>28</v>
      </c>
      <c r="C1209" s="8" t="s">
        <v>20</v>
      </c>
      <c r="D1209" s="8" t="s">
        <v>37</v>
      </c>
      <c r="F1209" s="17">
        <v>42002</v>
      </c>
      <c r="G1209" s="8" t="s">
        <v>5269</v>
      </c>
      <c r="H1209" s="8" t="s">
        <v>5270</v>
      </c>
      <c r="I1209" s="8" t="s">
        <v>45</v>
      </c>
      <c r="J1209" s="16">
        <v>95969</v>
      </c>
      <c r="K1209" s="2" t="s">
        <v>5271</v>
      </c>
      <c r="L1209" s="8" t="s">
        <v>5272</v>
      </c>
      <c r="M1209" s="8" t="s">
        <v>27</v>
      </c>
      <c r="N1209" s="2" t="s">
        <v>5273</v>
      </c>
      <c r="O1209" s="8" t="s">
        <v>550</v>
      </c>
      <c r="P1209" s="8" t="s">
        <v>401</v>
      </c>
      <c r="Q1209" s="12" t="str">
        <f>HYPERLINK("http://www.chicoer.com/general-news/20141229/man-shot-killed-by-sheriffs-deputy-in-paradise","http://www.chicoer.com/general-news/20141229/man-shot-killed-by-sheriffs-deputy-in-paradise")</f>
        <v>http://www.chicoer.com/general-news/20141229/man-shot-killed-by-sheriffs-deputy-in-paradise</v>
      </c>
      <c r="S1209" s="7" t="s">
        <v>28</v>
      </c>
      <c r="T1209" s="6"/>
      <c r="U1209" s="8"/>
    </row>
    <row r="1210" spans="1:21" ht="13" customHeight="1">
      <c r="A1210" s="8" t="s">
        <v>5274</v>
      </c>
      <c r="B1210" s="16" t="s">
        <v>29</v>
      </c>
      <c r="C1210" s="8" t="s">
        <v>20</v>
      </c>
      <c r="D1210" s="8" t="s">
        <v>37</v>
      </c>
      <c r="F1210" s="17">
        <v>42002</v>
      </c>
      <c r="H1210" s="8" t="s">
        <v>5275</v>
      </c>
      <c r="I1210" s="8" t="s">
        <v>94</v>
      </c>
      <c r="J1210" s="16">
        <v>36773</v>
      </c>
      <c r="K1210" s="2" t="s">
        <v>285</v>
      </c>
      <c r="L1210" s="8" t="s">
        <v>5276</v>
      </c>
      <c r="M1210" s="8" t="s">
        <v>27</v>
      </c>
      <c r="N1210" s="2" t="s">
        <v>5277</v>
      </c>
      <c r="P1210" s="8" t="s">
        <v>401</v>
      </c>
      <c r="Q1210" s="12" t="s">
        <v>5278</v>
      </c>
      <c r="S1210" s="7" t="s">
        <v>28</v>
      </c>
      <c r="T1210" s="6"/>
      <c r="U1210" s="8"/>
    </row>
    <row r="1211" spans="1:21" ht="13" customHeight="1">
      <c r="A1211" s="8" t="s">
        <v>5279</v>
      </c>
      <c r="B1211" s="16">
        <v>28</v>
      </c>
      <c r="C1211" s="8" t="s">
        <v>20</v>
      </c>
      <c r="D1211" s="8" t="s">
        <v>85</v>
      </c>
      <c r="E1211" s="8" t="str">
        <f>HYPERLINK("http://edge.liveleak.com/80281E/ll_a_s/2014/Dec/29/LiveLeak-dot-com-ebe_1419888575-davidandrescott_1419888592.jpg.resized.jpg?d5e8cc8eccfb6039332f41f6249e92b06c91b4db65f5e99818bdd5924c40ded7397e&amp;ec_rate=230","http://edge.liveleak.com/80281E/ll_a_s/2014/Dec/29/LiveLeak-dot-com-ebe_1419888575-davidandrescott_1419888592.jpg.resized.jpg?d5e8cc8eccfb6039332f41f6249e92b06c91b4db65f5e99818bdd5924c40ded7397e&amp;ec_rate=230")</f>
        <v>http://edge.liveleak.com/80281E/ll_a_s/2014/Dec/29/LiveLeak-dot-com-ebe_1419888575-davidandrescott_1419888592.jpg.resized.jpg?d5e8cc8eccfb6039332f41f6249e92b06c91b4db65f5e99818bdd5924c40ded7397e&amp;ec_rate=230</v>
      </c>
      <c r="F1211" s="17">
        <v>42001</v>
      </c>
      <c r="G1211" s="8" t="s">
        <v>5280</v>
      </c>
      <c r="H1211" s="8" t="s">
        <v>653</v>
      </c>
      <c r="I1211" s="8" t="s">
        <v>62</v>
      </c>
      <c r="J1211" s="16">
        <v>32277</v>
      </c>
      <c r="K1211" s="2" t="s">
        <v>654</v>
      </c>
      <c r="L1211" s="8" t="s">
        <v>655</v>
      </c>
      <c r="M1211" s="8" t="s">
        <v>27</v>
      </c>
      <c r="N1211" s="2" t="s">
        <v>21439</v>
      </c>
      <c r="O1211" s="8" t="s">
        <v>1013</v>
      </c>
      <c r="P1211" s="8" t="s">
        <v>401</v>
      </c>
      <c r="Q1211" s="12" t="str">
        <f>HYPERLINK("http://www.actionnewsjax.com/news/news/local/swat-called-out-fort-caroline-area/njbtC/","http://www.actionnewsjax.com/news/news/local/swat-called-out-fort-caroline-area/njbtC/")</f>
        <v>http://www.actionnewsjax.com/news/news/local/swat-called-out-fort-caroline-area/njbtC/</v>
      </c>
      <c r="R1211" s="8" t="s">
        <v>100</v>
      </c>
      <c r="S1211" s="7" t="s">
        <v>18</v>
      </c>
      <c r="T1211" s="6"/>
      <c r="U1211" s="8"/>
    </row>
    <row r="1212" spans="1:21" ht="13" customHeight="1">
      <c r="A1212" s="8" t="s">
        <v>5281</v>
      </c>
      <c r="B1212" s="16">
        <v>51</v>
      </c>
      <c r="C1212" s="8" t="s">
        <v>20</v>
      </c>
      <c r="D1212" s="8" t="s">
        <v>30</v>
      </c>
      <c r="F1212" s="17">
        <v>42001</v>
      </c>
      <c r="G1212" s="8" t="s">
        <v>5282</v>
      </c>
      <c r="H1212" s="8" t="s">
        <v>5283</v>
      </c>
      <c r="I1212" s="8" t="s">
        <v>123</v>
      </c>
      <c r="J1212" s="16" t="s">
        <v>5284</v>
      </c>
      <c r="K1212" s="2" t="s">
        <v>179</v>
      </c>
      <c r="L1212" s="8" t="s">
        <v>5285</v>
      </c>
      <c r="M1212" s="8" t="s">
        <v>27</v>
      </c>
      <c r="N1212" s="2" t="s">
        <v>5286</v>
      </c>
      <c r="O1212" s="8" t="s">
        <v>550</v>
      </c>
      <c r="P1212" s="8" t="s">
        <v>401</v>
      </c>
      <c r="Q1212" s="12" t="s">
        <v>5287</v>
      </c>
      <c r="R1212" s="8" t="s">
        <v>555</v>
      </c>
      <c r="S1212" s="7" t="s">
        <v>28</v>
      </c>
      <c r="T1212" s="6"/>
      <c r="U1212" s="8"/>
    </row>
    <row r="1213" spans="1:21" ht="13" customHeight="1">
      <c r="A1213" s="8" t="s">
        <v>5288</v>
      </c>
      <c r="B1213" s="16">
        <v>28</v>
      </c>
      <c r="C1213" s="8" t="s">
        <v>20</v>
      </c>
      <c r="D1213" s="8" t="s">
        <v>37</v>
      </c>
      <c r="E1213" s="8" t="s">
        <v>5289</v>
      </c>
      <c r="F1213" s="17">
        <v>42001</v>
      </c>
      <c r="G1213" s="8" t="s">
        <v>5290</v>
      </c>
      <c r="H1213" s="8" t="s">
        <v>5291</v>
      </c>
      <c r="I1213" s="8" t="s">
        <v>240</v>
      </c>
      <c r="J1213" s="16" t="s">
        <v>5292</v>
      </c>
      <c r="K1213" s="2" t="s">
        <v>5293</v>
      </c>
      <c r="L1213" s="8" t="s">
        <v>5294</v>
      </c>
      <c r="M1213" s="8" t="s">
        <v>27</v>
      </c>
      <c r="N1213" s="2" t="s">
        <v>5295</v>
      </c>
      <c r="O1213" s="8" t="s">
        <v>400</v>
      </c>
      <c r="P1213" s="8" t="s">
        <v>401</v>
      </c>
      <c r="Q1213" s="12" t="s">
        <v>5296</v>
      </c>
      <c r="R1213" s="8" t="s">
        <v>100</v>
      </c>
      <c r="S1213" s="7" t="s">
        <v>28</v>
      </c>
      <c r="T1213" s="6"/>
      <c r="U1213" s="8"/>
    </row>
    <row r="1214" spans="1:21" ht="13" customHeight="1">
      <c r="A1214" s="8" t="s">
        <v>5297</v>
      </c>
      <c r="B1214" s="16">
        <v>10</v>
      </c>
      <c r="C1214" s="8" t="s">
        <v>20</v>
      </c>
      <c r="D1214" s="8" t="s">
        <v>37</v>
      </c>
      <c r="F1214" s="17">
        <v>42001</v>
      </c>
      <c r="G1214" s="8" t="s">
        <v>5298</v>
      </c>
      <c r="H1214" s="8" t="s">
        <v>1291</v>
      </c>
      <c r="I1214" s="8" t="s">
        <v>81</v>
      </c>
      <c r="J1214" s="16">
        <v>8873</v>
      </c>
      <c r="K1214" s="2" t="s">
        <v>2195</v>
      </c>
      <c r="L1214" s="8" t="s">
        <v>5299</v>
      </c>
      <c r="M1214" s="8" t="s">
        <v>379</v>
      </c>
      <c r="N1214" s="2" t="s">
        <v>5300</v>
      </c>
      <c r="P1214" s="8" t="s">
        <v>401</v>
      </c>
      <c r="Q1214" s="12" t="s">
        <v>5301</v>
      </c>
      <c r="R1214" s="8" t="s">
        <v>100</v>
      </c>
      <c r="S1214" s="7" t="s">
        <v>18</v>
      </c>
      <c r="T1214" s="6"/>
      <c r="U1214" s="8"/>
    </row>
    <row r="1215" spans="1:21" ht="13" customHeight="1">
      <c r="A1215" s="8" t="s">
        <v>5302</v>
      </c>
      <c r="B1215" s="16">
        <v>54</v>
      </c>
      <c r="C1215" s="8" t="s">
        <v>20</v>
      </c>
      <c r="D1215" s="8" t="s">
        <v>37</v>
      </c>
      <c r="F1215" s="17">
        <v>42001</v>
      </c>
      <c r="G1215" s="8" t="s">
        <v>5303</v>
      </c>
      <c r="H1215" s="8" t="s">
        <v>3368</v>
      </c>
      <c r="I1215" s="8" t="s">
        <v>423</v>
      </c>
      <c r="J1215" s="16">
        <v>11751</v>
      </c>
      <c r="K1215" s="2" t="s">
        <v>1703</v>
      </c>
      <c r="L1215" s="8" t="s">
        <v>3370</v>
      </c>
      <c r="M1215" s="8" t="s">
        <v>379</v>
      </c>
      <c r="N1215" s="2" t="s">
        <v>5304</v>
      </c>
      <c r="P1215" s="8" t="s">
        <v>401</v>
      </c>
      <c r="Q1215" s="12" t="s">
        <v>5305</v>
      </c>
      <c r="S1215" s="7" t="s">
        <v>18</v>
      </c>
      <c r="T1215" s="6"/>
      <c r="U1215" s="8"/>
    </row>
    <row r="1216" spans="1:21" ht="13" customHeight="1">
      <c r="A1216" s="8" t="s">
        <v>5306</v>
      </c>
      <c r="B1216" s="16">
        <v>51</v>
      </c>
      <c r="C1216" s="8" t="s">
        <v>20</v>
      </c>
      <c r="D1216" s="8" t="s">
        <v>37</v>
      </c>
      <c r="F1216" s="17">
        <v>42000</v>
      </c>
      <c r="G1216" s="8" t="s">
        <v>5307</v>
      </c>
      <c r="H1216" s="8" t="s">
        <v>5308</v>
      </c>
      <c r="I1216" s="8" t="s">
        <v>94</v>
      </c>
      <c r="J1216" s="16">
        <v>35083</v>
      </c>
      <c r="K1216" s="2" t="s">
        <v>5309</v>
      </c>
      <c r="L1216" s="8" t="s">
        <v>5310</v>
      </c>
      <c r="M1216" s="8" t="s">
        <v>27</v>
      </c>
      <c r="N1216" s="2" t="s">
        <v>5311</v>
      </c>
      <c r="O1216" s="8" t="s">
        <v>550</v>
      </c>
      <c r="P1216" s="8" t="s">
        <v>401</v>
      </c>
      <c r="Q1216" s="12" t="str">
        <f>HYPERLINK("http://www.al.com/news/birmingham/index.ssf/2014/12/51-year-old_man_shot_to_death.html","http://www.al.com/news/birmingham/index.ssf/2014/12/51-year-old_man_shot_to_death.html")</f>
        <v>http://www.al.com/news/birmingham/index.ssf/2014/12/51-year-old_man_shot_to_death.html</v>
      </c>
      <c r="S1216" s="7" t="s">
        <v>28</v>
      </c>
      <c r="T1216" s="6"/>
      <c r="U1216" s="8"/>
    </row>
    <row r="1217" spans="1:21" ht="13" customHeight="1">
      <c r="A1217" s="8" t="s">
        <v>5315</v>
      </c>
      <c r="B1217" s="16">
        <v>20</v>
      </c>
      <c r="C1217" s="8" t="s">
        <v>20</v>
      </c>
      <c r="D1217" s="8" t="s">
        <v>85</v>
      </c>
      <c r="E1217" s="8" t="str">
        <f>HYPERLINK("http://ww3.hdnux.com/photos/33/73/31/7321166/3/622x350.jpg","http://ww3.hdnux.com/photos/33/73/31/7321166/3/622x350.jpg")</f>
        <v>http://ww3.hdnux.com/photos/33/73/31/7321166/3/622x350.jpg</v>
      </c>
      <c r="F1217" s="17">
        <v>41999</v>
      </c>
      <c r="G1217" s="8" t="s">
        <v>5316</v>
      </c>
      <c r="H1217" s="8" t="s">
        <v>5317</v>
      </c>
      <c r="I1217" s="8" t="s">
        <v>73</v>
      </c>
      <c r="J1217" s="16">
        <v>77591</v>
      </c>
      <c r="K1217" s="2" t="s">
        <v>5318</v>
      </c>
      <c r="L1217" s="8" t="s">
        <v>5319</v>
      </c>
      <c r="M1217" s="8" t="s">
        <v>27</v>
      </c>
      <c r="N1217" s="2" t="s">
        <v>5320</v>
      </c>
      <c r="P1217" s="8" t="s">
        <v>401</v>
      </c>
      <c r="Q1217" s="12" t="str">
        <f>HYPERLINK("http://www.kvue.com/story/news/state/2014/12/26/police-shoot-kill-man-firing-gun-in-texas-city-parking-lot/20907475/","http://www.kvue.com/story/news/state/2014/12/26/police-shoot-kill-man-firing-gun-in-texas-city-parking-lot/20907475/")</f>
        <v>http://www.kvue.com/story/news/state/2014/12/26/police-shoot-kill-man-firing-gun-in-texas-city-parking-lot/20907475/</v>
      </c>
      <c r="R1217" s="8" t="s">
        <v>29</v>
      </c>
      <c r="S1217" s="7" t="s">
        <v>28</v>
      </c>
      <c r="T1217" s="6"/>
      <c r="U1217" s="8"/>
    </row>
    <row r="1218" spans="1:21" ht="13" customHeight="1">
      <c r="A1218" s="8" t="s">
        <v>5312</v>
      </c>
      <c r="B1218" s="16">
        <v>23</v>
      </c>
      <c r="C1218" s="8" t="s">
        <v>20</v>
      </c>
      <c r="D1218" s="8" t="s">
        <v>85</v>
      </c>
      <c r="E1218" s="8" t="str">
        <f>HYPERLINK("http://www.wesh.com/image/view/-/30418970/medRes/2/-/maxh/220/maxw/220/-/o2mpgg/-/Quinten-Jamal-Smith-jpg.jpg","http://www.wesh.com/image/view/-/30418970/medRes/2/-/maxh/220/maxw/220/-/o2mpgg/-/Quinten-Jamal-Smith-jpg.jpg")</f>
        <v>http://www.wesh.com/image/view/-/30418970/medRes/2/-/maxh/220/maxw/220/-/o2mpgg/-/Quinten-Jamal-Smith-jpg.jpg</v>
      </c>
      <c r="F1218" s="17">
        <v>41999</v>
      </c>
      <c r="G1218" s="8" t="s">
        <v>5313</v>
      </c>
      <c r="H1218" s="8" t="s">
        <v>1770</v>
      </c>
      <c r="I1218" s="8" t="s">
        <v>62</v>
      </c>
      <c r="J1218" s="16">
        <v>32922</v>
      </c>
      <c r="K1218" s="2" t="s">
        <v>1772</v>
      </c>
      <c r="L1218" s="8" t="s">
        <v>3789</v>
      </c>
      <c r="M1218" s="8" t="s">
        <v>27</v>
      </c>
      <c r="N1218" s="2" t="s">
        <v>5314</v>
      </c>
      <c r="P1218" s="8" t="s">
        <v>401</v>
      </c>
      <c r="Q1218" s="12" t="str">
        <f>HYPERLINK("http://www.wesh.com/news/sheriff-brevard-deputy-fatally-shoots-armed-wanted-man/30415088","http://www.wesh.com/news/sheriff-brevard-deputy-fatally-shoots-armed-wanted-man/30415088")</f>
        <v>http://www.wesh.com/news/sheriff-brevard-deputy-fatally-shoots-armed-wanted-man/30415088</v>
      </c>
      <c r="R1218" s="8" t="s">
        <v>100</v>
      </c>
      <c r="S1218" s="7" t="s">
        <v>28</v>
      </c>
      <c r="T1218" s="6"/>
      <c r="U1218" s="8"/>
    </row>
    <row r="1219" spans="1:21" ht="13" customHeight="1">
      <c r="A1219" s="8" t="s">
        <v>5321</v>
      </c>
      <c r="B1219" s="16">
        <v>43</v>
      </c>
      <c r="C1219" s="8" t="s">
        <v>20</v>
      </c>
      <c r="D1219" s="8" t="s">
        <v>37</v>
      </c>
      <c r="E1219" s="8" t="s">
        <v>5322</v>
      </c>
      <c r="F1219" s="17">
        <v>41999</v>
      </c>
      <c r="G1219" s="8" t="s">
        <v>5323</v>
      </c>
      <c r="H1219" s="8" t="s">
        <v>5324</v>
      </c>
      <c r="I1219" s="8" t="s">
        <v>69</v>
      </c>
      <c r="J1219" s="16">
        <v>44146</v>
      </c>
      <c r="K1219" s="2" t="s">
        <v>105</v>
      </c>
      <c r="L1219" s="8" t="s">
        <v>5325</v>
      </c>
      <c r="M1219" s="8" t="s">
        <v>27</v>
      </c>
      <c r="N1219" s="2" t="s">
        <v>5326</v>
      </c>
      <c r="P1219" s="8" t="s">
        <v>401</v>
      </c>
      <c r="Q1219" s="12" t="str">
        <f>HYPERLINK("http://www.19actionnews.com/story/27709268/bedford-resident-shot-and-killed-during-confrontation-with-police","http://www.19actionnews.com/story/27709268/bedford-resident-shot-and-killed-during-confrontation-with-police")</f>
        <v>http://www.19actionnews.com/story/27709268/bedford-resident-shot-and-killed-during-confrontation-with-police</v>
      </c>
      <c r="S1219" s="7" t="s">
        <v>28</v>
      </c>
      <c r="T1219" s="6"/>
      <c r="U1219" s="8"/>
    </row>
    <row r="1220" spans="1:21" ht="13" customHeight="1">
      <c r="A1220" s="8" t="s">
        <v>5327</v>
      </c>
      <c r="B1220" s="16">
        <v>25</v>
      </c>
      <c r="C1220" s="8" t="s">
        <v>20</v>
      </c>
      <c r="D1220" s="8" t="s">
        <v>85</v>
      </c>
      <c r="E1220" s="8" t="s">
        <v>5328</v>
      </c>
      <c r="F1220" s="17">
        <v>41998</v>
      </c>
      <c r="G1220" s="8" t="s">
        <v>5329</v>
      </c>
      <c r="H1220" s="8" t="s">
        <v>87</v>
      </c>
      <c r="I1220" s="8" t="s">
        <v>44</v>
      </c>
      <c r="J1220" s="16" t="s">
        <v>5330</v>
      </c>
      <c r="K1220" s="2" t="s">
        <v>88</v>
      </c>
      <c r="L1220" s="8" t="s">
        <v>89</v>
      </c>
      <c r="M1220" s="8" t="s">
        <v>27</v>
      </c>
      <c r="N1220" s="2" t="s">
        <v>5331</v>
      </c>
      <c r="O1220" s="8" t="s">
        <v>1013</v>
      </c>
      <c r="P1220" s="8" t="s">
        <v>401</v>
      </c>
      <c r="Q1220" s="12" t="s">
        <v>5332</v>
      </c>
      <c r="R1220" s="8" t="s">
        <v>555</v>
      </c>
      <c r="S1220" s="7" t="s">
        <v>28</v>
      </c>
      <c r="T1220" s="6"/>
      <c r="U1220" s="8"/>
    </row>
    <row r="1221" spans="1:21" ht="13" customHeight="1">
      <c r="A1221" s="8" t="s">
        <v>5333</v>
      </c>
      <c r="B1221" s="16" t="s">
        <v>29</v>
      </c>
      <c r="D1221" s="8" t="s">
        <v>48</v>
      </c>
      <c r="F1221" s="17">
        <v>41998</v>
      </c>
      <c r="G1221" s="8" t="s">
        <v>5334</v>
      </c>
      <c r="H1221" s="8" t="s">
        <v>5335</v>
      </c>
      <c r="I1221" s="8" t="s">
        <v>45</v>
      </c>
      <c r="J1221" s="16">
        <v>92236</v>
      </c>
      <c r="K1221" s="2" t="s">
        <v>786</v>
      </c>
      <c r="L1221" s="8" t="s">
        <v>787</v>
      </c>
      <c r="M1221" s="8" t="s">
        <v>27</v>
      </c>
      <c r="N1221" s="2" t="s">
        <v>5336</v>
      </c>
      <c r="P1221" s="8" t="s">
        <v>401</v>
      </c>
      <c r="Q1221" s="12" t="s">
        <v>5337</v>
      </c>
      <c r="S1221" s="7" t="s">
        <v>18</v>
      </c>
      <c r="T1221" s="6"/>
      <c r="U1221" s="8"/>
    </row>
    <row r="1222" spans="1:21" ht="13" customHeight="1">
      <c r="A1222" s="8" t="s">
        <v>5338</v>
      </c>
      <c r="B1222" s="16">
        <v>40</v>
      </c>
      <c r="C1222" s="8" t="s">
        <v>20</v>
      </c>
      <c r="D1222" s="8" t="s">
        <v>48</v>
      </c>
      <c r="F1222" s="17">
        <v>41998</v>
      </c>
      <c r="G1222" s="8" t="s">
        <v>5339</v>
      </c>
      <c r="H1222" s="8" t="s">
        <v>156</v>
      </c>
      <c r="I1222" s="8" t="s">
        <v>45</v>
      </c>
      <c r="J1222" s="16">
        <v>92173</v>
      </c>
      <c r="K1222" s="2" t="s">
        <v>156</v>
      </c>
      <c r="L1222" s="8" t="s">
        <v>4762</v>
      </c>
      <c r="M1222" s="8" t="s">
        <v>391</v>
      </c>
      <c r="N1222" s="2" t="s">
        <v>5340</v>
      </c>
      <c r="P1222" s="8" t="s">
        <v>401</v>
      </c>
      <c r="Q1222" s="12" t="s">
        <v>5341</v>
      </c>
      <c r="S1222" s="7" t="s">
        <v>18</v>
      </c>
      <c r="T1222" s="6"/>
      <c r="U1222" s="8"/>
    </row>
    <row r="1223" spans="1:21" ht="13" customHeight="1">
      <c r="A1223" s="8" t="s">
        <v>5342</v>
      </c>
      <c r="B1223" s="16">
        <v>33</v>
      </c>
      <c r="C1223" s="8" t="s">
        <v>20</v>
      </c>
      <c r="D1223" s="8" t="s">
        <v>85</v>
      </c>
      <c r="F1223" s="17">
        <v>41997</v>
      </c>
      <c r="G1223" s="8" t="s">
        <v>5343</v>
      </c>
      <c r="H1223" s="8" t="s">
        <v>118</v>
      </c>
      <c r="I1223" s="8" t="s">
        <v>3685</v>
      </c>
      <c r="J1223" s="16">
        <v>20018</v>
      </c>
      <c r="K1223" s="2" t="s">
        <v>3687</v>
      </c>
      <c r="L1223" s="8" t="s">
        <v>19723</v>
      </c>
      <c r="M1223" s="8" t="s">
        <v>27</v>
      </c>
      <c r="N1223" s="2" t="s">
        <v>5344</v>
      </c>
      <c r="P1223" s="8" t="s">
        <v>401</v>
      </c>
      <c r="Q1223" s="12" t="s">
        <v>5345</v>
      </c>
      <c r="R1223" s="8" t="s">
        <v>100</v>
      </c>
      <c r="S1223" s="7" t="s">
        <v>28</v>
      </c>
      <c r="T1223" s="6"/>
      <c r="U1223" s="8"/>
    </row>
    <row r="1224" spans="1:21" ht="13" customHeight="1">
      <c r="A1224" s="8" t="s">
        <v>5346</v>
      </c>
      <c r="B1224" s="16">
        <v>55</v>
      </c>
      <c r="C1224" s="8" t="s">
        <v>20</v>
      </c>
      <c r="D1224" s="8" t="s">
        <v>30</v>
      </c>
      <c r="F1224" s="17">
        <v>41997</v>
      </c>
      <c r="G1224" s="8" t="s">
        <v>5347</v>
      </c>
      <c r="H1224" s="8" t="s">
        <v>5348</v>
      </c>
      <c r="I1224" s="8" t="s">
        <v>117</v>
      </c>
      <c r="J1224" s="16">
        <v>97467</v>
      </c>
      <c r="K1224" s="2" t="s">
        <v>941</v>
      </c>
      <c r="L1224" s="8" t="s">
        <v>5349</v>
      </c>
      <c r="M1224" s="8" t="s">
        <v>27</v>
      </c>
      <c r="N1224" s="2" t="s">
        <v>5350</v>
      </c>
      <c r="O1224" s="8" t="s">
        <v>550</v>
      </c>
      <c r="P1224" s="8" t="s">
        <v>401</v>
      </c>
      <c r="Q1224" s="12" t="str">
        <f>HYPERLINK("http://www.oregonlive.com/portland/index.ssf/2014/12/man_dies_after_officer-involve.html","http://www.oregonlive.com/portland/index.ssf/2014/12/man_dies_after_officer-involve.html")</f>
        <v>http://www.oregonlive.com/portland/index.ssf/2014/12/man_dies_after_officer-involve.html</v>
      </c>
      <c r="S1224" s="7" t="s">
        <v>28</v>
      </c>
      <c r="T1224" s="6"/>
      <c r="U1224" s="8"/>
    </row>
    <row r="1225" spans="1:21" ht="13" customHeight="1">
      <c r="A1225" s="8" t="s">
        <v>5134</v>
      </c>
      <c r="B1225" s="16">
        <v>47</v>
      </c>
      <c r="C1225" s="8" t="s">
        <v>20</v>
      </c>
      <c r="D1225" s="8" t="s">
        <v>37</v>
      </c>
      <c r="E1225" s="8" t="s">
        <v>5357</v>
      </c>
      <c r="F1225" s="17">
        <v>41997</v>
      </c>
      <c r="G1225" s="8" t="s">
        <v>5358</v>
      </c>
      <c r="H1225" s="8" t="s">
        <v>5135</v>
      </c>
      <c r="I1225" s="8" t="s">
        <v>173</v>
      </c>
      <c r="J1225" s="16" t="s">
        <v>5359</v>
      </c>
      <c r="K1225" s="2" t="s">
        <v>5136</v>
      </c>
      <c r="L1225" s="8" t="s">
        <v>5360</v>
      </c>
      <c r="M1225" s="8" t="s">
        <v>27</v>
      </c>
      <c r="N1225" s="2" t="s">
        <v>5361</v>
      </c>
      <c r="O1225" s="8" t="s">
        <v>1013</v>
      </c>
      <c r="P1225" s="8" t="s">
        <v>401</v>
      </c>
      <c r="Q1225"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R1225" s="8" t="s">
        <v>100</v>
      </c>
      <c r="S1225" s="7" t="s">
        <v>28</v>
      </c>
      <c r="T1225" s="6"/>
      <c r="U1225" s="8"/>
    </row>
    <row r="1226" spans="1:21" ht="13" customHeight="1">
      <c r="A1226" s="8" t="s">
        <v>5351</v>
      </c>
      <c r="B1226" s="16">
        <v>21</v>
      </c>
      <c r="C1226" s="8" t="s">
        <v>20</v>
      </c>
      <c r="D1226" s="8" t="s">
        <v>37</v>
      </c>
      <c r="F1226" s="17">
        <v>41997</v>
      </c>
      <c r="G1226" s="8" t="s">
        <v>5352</v>
      </c>
      <c r="H1226" s="8" t="s">
        <v>5353</v>
      </c>
      <c r="I1226" s="8" t="s">
        <v>62</v>
      </c>
      <c r="J1226" s="16">
        <v>33483</v>
      </c>
      <c r="K1226" s="2" t="s">
        <v>5354</v>
      </c>
      <c r="L1226" s="8" t="s">
        <v>63</v>
      </c>
      <c r="M1226" s="8" t="s">
        <v>27</v>
      </c>
      <c r="N1226" s="2" t="s">
        <v>5355</v>
      </c>
      <c r="P1226" s="8" t="s">
        <v>401</v>
      </c>
      <c r="Q1226" s="12" t="s">
        <v>5356</v>
      </c>
      <c r="S1226" s="7" t="s">
        <v>35</v>
      </c>
      <c r="T1226" s="6"/>
      <c r="U1226" s="8"/>
    </row>
    <row r="1227" spans="1:21" ht="13" customHeight="1">
      <c r="A1227" s="8" t="s">
        <v>5362</v>
      </c>
      <c r="B1227" s="16">
        <v>18</v>
      </c>
      <c r="C1227" s="8" t="s">
        <v>20</v>
      </c>
      <c r="D1227" s="8" t="s">
        <v>85</v>
      </c>
      <c r="E1227" s="8" t="s">
        <v>5363</v>
      </c>
      <c r="F1227" s="17">
        <v>41996</v>
      </c>
      <c r="G1227" s="8" t="s">
        <v>5364</v>
      </c>
      <c r="H1227" s="8" t="s">
        <v>5365</v>
      </c>
      <c r="I1227" s="8" t="s">
        <v>431</v>
      </c>
      <c r="J1227" s="16">
        <v>63134</v>
      </c>
      <c r="K1227" s="2" t="s">
        <v>712</v>
      </c>
      <c r="L1227" s="8" t="s">
        <v>5366</v>
      </c>
      <c r="M1227" s="8" t="s">
        <v>27</v>
      </c>
      <c r="N1227" s="2" t="s">
        <v>5367</v>
      </c>
      <c r="O1227" s="8" t="s">
        <v>1013</v>
      </c>
      <c r="P1227" s="8" t="s">
        <v>401</v>
      </c>
      <c r="Q1227" s="12" t="str">
        <f>HYPERLINK("http://www.huffingtonpost.com/2014/12/24/antonio-martin-police-shooting_n_6376210.html","http://www.huffingtonpost.com/2014/12/24/antonio-martin-police-shooting_n_6376210.html")</f>
        <v>http://www.huffingtonpost.com/2014/12/24/antonio-martin-police-shooting_n_6376210.html</v>
      </c>
      <c r="R1227" s="8" t="s">
        <v>100</v>
      </c>
      <c r="S1227" s="7" t="s">
        <v>28</v>
      </c>
      <c r="T1227" s="6"/>
      <c r="U1227" s="8"/>
    </row>
    <row r="1228" spans="1:21" ht="13" customHeight="1">
      <c r="A1228" s="8" t="s">
        <v>5368</v>
      </c>
      <c r="B1228" s="16">
        <v>61</v>
      </c>
      <c r="C1228" s="8" t="s">
        <v>20</v>
      </c>
      <c r="D1228" s="8" t="s">
        <v>30</v>
      </c>
      <c r="F1228" s="17">
        <v>41996</v>
      </c>
      <c r="G1228" s="8" t="s">
        <v>5369</v>
      </c>
      <c r="H1228" s="8" t="s">
        <v>4046</v>
      </c>
      <c r="I1228" s="8" t="s">
        <v>62</v>
      </c>
      <c r="J1228" s="16">
        <v>33805</v>
      </c>
      <c r="K1228" s="2" t="s">
        <v>1867</v>
      </c>
      <c r="L1228" s="8" t="s">
        <v>4048</v>
      </c>
      <c r="M1228" s="8" t="s">
        <v>27</v>
      </c>
      <c r="N1228" s="2" t="s">
        <v>5370</v>
      </c>
      <c r="P1228" s="8" t="s">
        <v>401</v>
      </c>
      <c r="Q1228" s="12" t="s">
        <v>5371</v>
      </c>
      <c r="R1228" s="8" t="s">
        <v>555</v>
      </c>
      <c r="S1228" s="7" t="s">
        <v>28</v>
      </c>
      <c r="T1228" s="6"/>
      <c r="U1228" s="8"/>
    </row>
    <row r="1229" spans="1:21" ht="13" customHeight="1">
      <c r="A1229" s="8" t="s">
        <v>5372</v>
      </c>
      <c r="B1229" s="16">
        <v>29</v>
      </c>
      <c r="C1229" s="8" t="s">
        <v>20</v>
      </c>
      <c r="D1229" s="8" t="s">
        <v>48</v>
      </c>
      <c r="F1229" s="17">
        <v>41995</v>
      </c>
      <c r="G1229" s="8" t="s">
        <v>5373</v>
      </c>
      <c r="H1229" s="8" t="s">
        <v>974</v>
      </c>
      <c r="I1229" s="8" t="s">
        <v>195</v>
      </c>
      <c r="J1229" s="16">
        <v>88001</v>
      </c>
      <c r="K1229" s="2" t="s">
        <v>975</v>
      </c>
      <c r="L1229" s="8" t="s">
        <v>5374</v>
      </c>
      <c r="M1229" s="8" t="s">
        <v>27</v>
      </c>
      <c r="N1229" s="2" t="s">
        <v>5375</v>
      </c>
      <c r="O1229" s="8" t="s">
        <v>550</v>
      </c>
      <c r="P1229" s="8" t="s">
        <v>401</v>
      </c>
      <c r="Q1229" s="12" t="s">
        <v>5376</v>
      </c>
      <c r="S1229" s="7" t="s">
        <v>35</v>
      </c>
      <c r="T1229" s="6"/>
      <c r="U1229" s="8"/>
    </row>
    <row r="1230" spans="1:21" ht="13" customHeight="1">
      <c r="A1230" s="8" t="s">
        <v>5377</v>
      </c>
      <c r="B1230" s="16">
        <v>20</v>
      </c>
      <c r="C1230" s="8" t="s">
        <v>20</v>
      </c>
      <c r="D1230" s="8" t="s">
        <v>37</v>
      </c>
      <c r="F1230" s="17">
        <v>41995</v>
      </c>
      <c r="G1230" s="8" t="s">
        <v>5378</v>
      </c>
      <c r="H1230" s="8" t="s">
        <v>1037</v>
      </c>
      <c r="I1230" s="8" t="s">
        <v>173</v>
      </c>
      <c r="J1230" s="16">
        <v>30034</v>
      </c>
      <c r="K1230" s="2" t="s">
        <v>864</v>
      </c>
      <c r="L1230" s="8" t="s">
        <v>865</v>
      </c>
      <c r="M1230" s="8" t="s">
        <v>27</v>
      </c>
      <c r="N1230" s="2" t="s">
        <v>5379</v>
      </c>
      <c r="P1230" s="8" t="s">
        <v>401</v>
      </c>
      <c r="Q1230" s="12" t="s">
        <v>5380</v>
      </c>
      <c r="S1230" s="7" t="s">
        <v>28</v>
      </c>
      <c r="T1230" s="6"/>
      <c r="U1230" s="8"/>
    </row>
    <row r="1231" spans="1:21" ht="13" customHeight="1">
      <c r="A1231" s="8" t="s">
        <v>5386</v>
      </c>
      <c r="B1231" s="16">
        <v>27</v>
      </c>
      <c r="C1231" s="8" t="s">
        <v>20</v>
      </c>
      <c r="D1231" s="8" t="s">
        <v>37</v>
      </c>
      <c r="E1231" s="8" t="s">
        <v>5387</v>
      </c>
      <c r="F1231" s="17">
        <v>41995</v>
      </c>
      <c r="G1231" s="8" t="s">
        <v>5388</v>
      </c>
      <c r="H1231" s="8" t="s">
        <v>5389</v>
      </c>
      <c r="I1231" s="8" t="s">
        <v>315</v>
      </c>
      <c r="J1231" s="16" t="s">
        <v>5390</v>
      </c>
      <c r="K1231" s="2" t="s">
        <v>869</v>
      </c>
      <c r="L1231" s="8" t="s">
        <v>5391</v>
      </c>
      <c r="M1231" s="8" t="s">
        <v>27</v>
      </c>
      <c r="N1231" s="2" t="s">
        <v>5392</v>
      </c>
      <c r="O1231" s="8" t="s">
        <v>1013</v>
      </c>
      <c r="P1231" s="8" t="s">
        <v>401</v>
      </c>
      <c r="Q1231" s="12" t="s">
        <v>5393</v>
      </c>
      <c r="R1231" s="8" t="s">
        <v>100</v>
      </c>
      <c r="S1231" s="7" t="s">
        <v>28</v>
      </c>
      <c r="T1231" s="6"/>
      <c r="U1231" s="8"/>
    </row>
    <row r="1232" spans="1:21" ht="13" customHeight="1">
      <c r="A1232" s="8" t="s">
        <v>5381</v>
      </c>
      <c r="B1232" s="16">
        <v>62</v>
      </c>
      <c r="C1232" s="8" t="s">
        <v>20</v>
      </c>
      <c r="D1232" s="8" t="s">
        <v>37</v>
      </c>
      <c r="F1232" s="17">
        <v>41995</v>
      </c>
      <c r="G1232" s="8" t="s">
        <v>5382</v>
      </c>
      <c r="H1232" s="8" t="s">
        <v>5383</v>
      </c>
      <c r="I1232" s="8" t="s">
        <v>133</v>
      </c>
      <c r="J1232" s="16">
        <v>56531</v>
      </c>
      <c r="K1232" s="2" t="s">
        <v>397</v>
      </c>
      <c r="L1232" s="8" t="s">
        <v>5384</v>
      </c>
      <c r="M1232" s="8" t="s">
        <v>379</v>
      </c>
      <c r="N1232" s="2" t="s">
        <v>5385</v>
      </c>
      <c r="O1232" s="8" t="s">
        <v>400</v>
      </c>
      <c r="P1232" s="8" t="s">
        <v>401</v>
      </c>
      <c r="Q1232" s="12" t="str">
        <f>HYPERLINK("http://www.valleynewslive.com/home/headlines/Man-Dead-in-Otter-Tail-Police-Chase-286635971.html","http://www.valleynewslive.com/home/headlines/Man-Dead-in-Otter-Tail-Police-Chase-286635971.html")</f>
        <v>http://www.valleynewslive.com/home/headlines/Man-Dead-in-Otter-Tail-Police-Chase-286635971.html</v>
      </c>
      <c r="S1232" s="7" t="s">
        <v>379</v>
      </c>
      <c r="T1232" s="6"/>
      <c r="U1232" s="8"/>
    </row>
    <row r="1233" spans="1:24" ht="13" customHeight="1">
      <c r="A1233" s="8" t="s">
        <v>5406</v>
      </c>
      <c r="B1233" s="16">
        <v>53</v>
      </c>
      <c r="C1233" s="8" t="s">
        <v>20</v>
      </c>
      <c r="D1233" s="8" t="s">
        <v>37</v>
      </c>
      <c r="F1233" s="17">
        <v>41994</v>
      </c>
      <c r="G1233" s="8" t="s">
        <v>5407</v>
      </c>
      <c r="H1233" s="8" t="s">
        <v>5408</v>
      </c>
      <c r="I1233" s="8" t="s">
        <v>45</v>
      </c>
      <c r="J1233" s="16">
        <v>95603</v>
      </c>
      <c r="K1233" s="2" t="s">
        <v>1069</v>
      </c>
      <c r="L1233" s="8" t="s">
        <v>1070</v>
      </c>
      <c r="M1233" s="8" t="s">
        <v>27</v>
      </c>
      <c r="N1233" s="2" t="s">
        <v>5409</v>
      </c>
      <c r="P1233" s="8" t="s">
        <v>401</v>
      </c>
      <c r="Q1233" s="12" t="str">
        <f>HYPERLINK("http://www.sacbee.com/news/local/crime/article4774815.html","http://www.sacbee.com/news/local/crime/article4774815.html")</f>
        <v>http://www.sacbee.com/news/local/crime/article4774815.html</v>
      </c>
      <c r="S1233" s="7" t="s">
        <v>28</v>
      </c>
      <c r="T1233" s="6"/>
      <c r="U1233" s="8"/>
    </row>
    <row r="1234" spans="1:24" ht="13" customHeight="1">
      <c r="A1234" s="8" t="s">
        <v>5400</v>
      </c>
      <c r="B1234" s="16">
        <v>52</v>
      </c>
      <c r="C1234" s="8" t="s">
        <v>20</v>
      </c>
      <c r="D1234" s="8" t="s">
        <v>37</v>
      </c>
      <c r="E1234" s="8" t="s">
        <v>5401</v>
      </c>
      <c r="F1234" s="17">
        <v>41994</v>
      </c>
      <c r="G1234" s="8" t="s">
        <v>5402</v>
      </c>
      <c r="H1234" s="8" t="s">
        <v>5403</v>
      </c>
      <c r="I1234" s="8" t="s">
        <v>225</v>
      </c>
      <c r="J1234" s="16">
        <v>19904</v>
      </c>
      <c r="K1234" s="2" t="s">
        <v>2544</v>
      </c>
      <c r="L1234" s="8" t="s">
        <v>5404</v>
      </c>
      <c r="M1234" s="8" t="s">
        <v>27</v>
      </c>
      <c r="N1234" s="2" t="s">
        <v>5405</v>
      </c>
      <c r="P1234" s="8" t="s">
        <v>401</v>
      </c>
      <c r="Q1234" s="12" t="str">
        <f>HYPERLINK("http://www.doverpost.com/article/20141221/NEWS/141229971/13421/NEWS","http://www.doverpost.com/article/20141221/NEWS/141229971/13421/NEWS")</f>
        <v>http://www.doverpost.com/article/20141221/NEWS/141229971/13421/NEWS</v>
      </c>
      <c r="S1234" s="7" t="s">
        <v>18</v>
      </c>
      <c r="T1234" s="6"/>
      <c r="U1234" s="8"/>
    </row>
    <row r="1235" spans="1:24" ht="13" customHeight="1">
      <c r="A1235" s="8" t="s">
        <v>5394</v>
      </c>
      <c r="B1235" s="16">
        <v>28</v>
      </c>
      <c r="C1235" s="8" t="s">
        <v>20</v>
      </c>
      <c r="D1235" s="8" t="s">
        <v>37</v>
      </c>
      <c r="F1235" s="17">
        <v>41994</v>
      </c>
      <c r="H1235" s="8" t="s">
        <v>5395</v>
      </c>
      <c r="I1235" s="8" t="s">
        <v>857</v>
      </c>
      <c r="J1235" s="16">
        <v>59722</v>
      </c>
      <c r="K1235" s="2" t="s">
        <v>5396</v>
      </c>
      <c r="L1235" s="8" t="s">
        <v>5397</v>
      </c>
      <c r="M1235" s="8" t="s">
        <v>27</v>
      </c>
      <c r="N1235" s="2" t="s">
        <v>5398</v>
      </c>
      <c r="P1235" s="8" t="s">
        <v>401</v>
      </c>
      <c r="Q1235" s="12" t="s">
        <v>5399</v>
      </c>
      <c r="S1235" s="7" t="s">
        <v>35</v>
      </c>
      <c r="T1235" s="6"/>
      <c r="U1235" s="8"/>
    </row>
    <row r="1236" spans="1:24" ht="13" customHeight="1">
      <c r="A1236" s="8" t="s">
        <v>5410</v>
      </c>
      <c r="B1236" s="16">
        <v>39</v>
      </c>
      <c r="C1236" s="8" t="s">
        <v>20</v>
      </c>
      <c r="D1236" s="8" t="s">
        <v>37</v>
      </c>
      <c r="E1236" s="8" t="s">
        <v>5411</v>
      </c>
      <c r="F1236" s="17">
        <v>41994</v>
      </c>
      <c r="G1236" s="8" t="s">
        <v>5412</v>
      </c>
      <c r="H1236" s="8" t="s">
        <v>5413</v>
      </c>
      <c r="I1236" s="8" t="s">
        <v>62</v>
      </c>
      <c r="J1236" s="16" t="s">
        <v>5414</v>
      </c>
      <c r="K1236" s="2" t="s">
        <v>3916</v>
      </c>
      <c r="L1236" s="8" t="s">
        <v>5415</v>
      </c>
      <c r="M1236" s="8" t="s">
        <v>379</v>
      </c>
      <c r="N1236" s="2" t="s">
        <v>5416</v>
      </c>
      <c r="O1236" s="8" t="s">
        <v>400</v>
      </c>
      <c r="P1236" s="8" t="s">
        <v>401</v>
      </c>
      <c r="Q1236" s="12" t="s">
        <v>5417</v>
      </c>
      <c r="R1236" s="8" t="s">
        <v>100</v>
      </c>
      <c r="S1236" s="7" t="s">
        <v>18</v>
      </c>
      <c r="T1236" s="6"/>
      <c r="U1236" s="8"/>
    </row>
    <row r="1237" spans="1:24" ht="13" customHeight="1">
      <c r="A1237" s="8" t="s">
        <v>5418</v>
      </c>
      <c r="B1237" s="16">
        <v>30</v>
      </c>
      <c r="C1237" s="8" t="s">
        <v>20</v>
      </c>
      <c r="D1237" s="8" t="s">
        <v>139</v>
      </c>
      <c r="E1237" s="8" t="s">
        <v>5419</v>
      </c>
      <c r="F1237" s="17">
        <v>41993</v>
      </c>
      <c r="G1237" s="8" t="s">
        <v>5420</v>
      </c>
      <c r="H1237" s="8" t="s">
        <v>142</v>
      </c>
      <c r="I1237" s="8" t="s">
        <v>143</v>
      </c>
      <c r="J1237" s="16" t="s">
        <v>5421</v>
      </c>
      <c r="K1237" s="2" t="s">
        <v>144</v>
      </c>
      <c r="L1237" s="8" t="s">
        <v>5422</v>
      </c>
      <c r="M1237" s="8" t="s">
        <v>27</v>
      </c>
      <c r="N1237" s="2" t="s">
        <v>5423</v>
      </c>
      <c r="O1237" s="8" t="s">
        <v>400</v>
      </c>
      <c r="P1237" s="8" t="s">
        <v>401</v>
      </c>
      <c r="Q1237" s="12" t="s">
        <v>5424</v>
      </c>
      <c r="R1237" s="8" t="s">
        <v>100</v>
      </c>
      <c r="S1237" s="7" t="s">
        <v>28</v>
      </c>
      <c r="T1237" s="6"/>
      <c r="U1237" s="8"/>
    </row>
    <row r="1238" spans="1:24" ht="13" customHeight="1">
      <c r="A1238" s="8" t="s">
        <v>5425</v>
      </c>
      <c r="B1238" s="16">
        <v>28</v>
      </c>
      <c r="C1238" s="8" t="s">
        <v>20</v>
      </c>
      <c r="D1238" s="8" t="s">
        <v>85</v>
      </c>
      <c r="E1238" s="8" t="s">
        <v>5426</v>
      </c>
      <c r="F1238" s="17">
        <v>41992</v>
      </c>
      <c r="G1238" s="8" t="s">
        <v>5427</v>
      </c>
      <c r="H1238" s="8" t="s">
        <v>712</v>
      </c>
      <c r="I1238" s="8" t="s">
        <v>431</v>
      </c>
      <c r="J1238" s="16" t="s">
        <v>5428</v>
      </c>
      <c r="K1238" s="2" t="s">
        <v>712</v>
      </c>
      <c r="L1238" s="8" t="s">
        <v>4545</v>
      </c>
      <c r="M1238" s="8" t="s">
        <v>27</v>
      </c>
      <c r="N1238" s="2" t="s">
        <v>5429</v>
      </c>
      <c r="O1238" s="8" t="s">
        <v>1013</v>
      </c>
      <c r="P1238" s="8" t="s">
        <v>401</v>
      </c>
      <c r="Q1238" s="12" t="s">
        <v>5430</v>
      </c>
      <c r="R1238" s="8" t="s">
        <v>100</v>
      </c>
      <c r="S1238" s="7" t="s">
        <v>35</v>
      </c>
      <c r="T1238" s="6"/>
      <c r="U1238" s="8"/>
    </row>
    <row r="1239" spans="1:24" ht="13" customHeight="1">
      <c r="A1239" s="8" t="s">
        <v>5439</v>
      </c>
      <c r="B1239" s="16">
        <v>35</v>
      </c>
      <c r="C1239" s="8" t="s">
        <v>20</v>
      </c>
      <c r="D1239" s="8" t="s">
        <v>37</v>
      </c>
      <c r="F1239" s="17">
        <v>41992</v>
      </c>
      <c r="G1239" s="8" t="s">
        <v>5440</v>
      </c>
      <c r="H1239" s="8" t="s">
        <v>634</v>
      </c>
      <c r="I1239" s="8" t="s">
        <v>123</v>
      </c>
      <c r="J1239" s="16">
        <v>85023</v>
      </c>
      <c r="K1239" s="2" t="s">
        <v>635</v>
      </c>
      <c r="L1239" s="8" t="s">
        <v>636</v>
      </c>
      <c r="M1239" s="8" t="s">
        <v>27</v>
      </c>
      <c r="N1239" s="2" t="s">
        <v>5441</v>
      </c>
      <c r="P1239" s="8" t="s">
        <v>401</v>
      </c>
      <c r="Q1239" s="12" t="str">
        <f>HYPERLINK("http://www.kpho.com/story/27660383/pd-phoenix-officer-involved-in-shooting","http://www.kpho.com/story/27660383/pd-phoenix-officer-involved-in-shooting")</f>
        <v>http://www.kpho.com/story/27660383/pd-phoenix-officer-involved-in-shooting</v>
      </c>
      <c r="S1239" s="7" t="s">
        <v>28</v>
      </c>
      <c r="T1239" s="6"/>
      <c r="U1239" s="8"/>
    </row>
    <row r="1240" spans="1:24" ht="13" customHeight="1">
      <c r="A1240" s="8" t="s">
        <v>5431</v>
      </c>
      <c r="B1240" s="16">
        <v>41</v>
      </c>
      <c r="C1240" s="8" t="s">
        <v>20</v>
      </c>
      <c r="D1240" s="8" t="s">
        <v>37</v>
      </c>
      <c r="E1240" s="8" t="s">
        <v>5432</v>
      </c>
      <c r="F1240" s="17">
        <v>41992</v>
      </c>
      <c r="G1240" s="8" t="s">
        <v>5433</v>
      </c>
      <c r="H1240" s="8" t="s">
        <v>5434</v>
      </c>
      <c r="I1240" s="8" t="s">
        <v>62</v>
      </c>
      <c r="J1240" s="16" t="s">
        <v>5435</v>
      </c>
      <c r="K1240" s="2" t="s">
        <v>4381</v>
      </c>
      <c r="L1240" s="8" t="s">
        <v>5436</v>
      </c>
      <c r="M1240" s="8" t="s">
        <v>27</v>
      </c>
      <c r="N1240" s="2" t="s">
        <v>5437</v>
      </c>
      <c r="O1240" s="8" t="s">
        <v>1013</v>
      </c>
      <c r="P1240" s="8" t="s">
        <v>401</v>
      </c>
      <c r="Q1240" s="12" t="s">
        <v>5438</v>
      </c>
      <c r="R1240" s="8" t="s">
        <v>100</v>
      </c>
      <c r="S1240" s="7" t="s">
        <v>28</v>
      </c>
      <c r="T1240" s="6"/>
      <c r="U1240" s="8"/>
    </row>
    <row r="1241" spans="1:24" ht="13" customHeight="1">
      <c r="A1241" s="8" t="s">
        <v>5442</v>
      </c>
      <c r="B1241" s="16">
        <v>17</v>
      </c>
      <c r="C1241" s="8" t="s">
        <v>20</v>
      </c>
      <c r="D1241" s="8" t="s">
        <v>139</v>
      </c>
      <c r="E1241" s="8" t="s">
        <v>5443</v>
      </c>
      <c r="F1241" s="17">
        <v>41991</v>
      </c>
      <c r="H1241" s="8" t="s">
        <v>5444</v>
      </c>
      <c r="I1241" s="8" t="s">
        <v>45</v>
      </c>
      <c r="J1241" s="16" t="s">
        <v>5445</v>
      </c>
      <c r="K1241" s="2" t="s">
        <v>5446</v>
      </c>
      <c r="L1241" s="8" t="s">
        <v>960</v>
      </c>
      <c r="M1241" s="8" t="s">
        <v>5447</v>
      </c>
      <c r="N1241" s="2" t="s">
        <v>5448</v>
      </c>
      <c r="O1241" s="8" t="s">
        <v>400</v>
      </c>
      <c r="P1241" s="8" t="s">
        <v>401</v>
      </c>
      <c r="Q1241" s="12" t="s">
        <v>5449</v>
      </c>
      <c r="R1241" s="8" t="s">
        <v>29</v>
      </c>
      <c r="S1241" s="7" t="s">
        <v>28</v>
      </c>
      <c r="T1241" s="6"/>
      <c r="U1241" s="8"/>
      <c r="V1241" s="8"/>
      <c r="W1241" s="8"/>
      <c r="X1241" s="8"/>
    </row>
    <row r="1242" spans="1:24" ht="13" customHeight="1">
      <c r="A1242" s="8" t="s">
        <v>5450</v>
      </c>
      <c r="B1242" s="16">
        <v>39</v>
      </c>
      <c r="C1242" s="8" t="s">
        <v>20</v>
      </c>
      <c r="D1242" s="8" t="s">
        <v>37</v>
      </c>
      <c r="E1242" s="8" t="s">
        <v>5451</v>
      </c>
      <c r="F1242" s="17">
        <v>41991</v>
      </c>
      <c r="H1242" s="8" t="s">
        <v>5452</v>
      </c>
      <c r="I1242" s="8" t="s">
        <v>217</v>
      </c>
      <c r="J1242" s="16">
        <v>46166</v>
      </c>
      <c r="K1242" s="2" t="s">
        <v>5453</v>
      </c>
      <c r="L1242" s="8" t="s">
        <v>5454</v>
      </c>
      <c r="M1242" s="8" t="s">
        <v>27</v>
      </c>
      <c r="N1242" s="2" t="s">
        <v>5455</v>
      </c>
      <c r="P1242" s="8" t="s">
        <v>401</v>
      </c>
      <c r="Q1242" s="12" t="str">
        <f>HYPERLINK("http://www.wthr.com/story/27658447/police-pursuit-standoff-shuts-down-state-road-67-at-owen-morgan-county-line","http://www.wthr.com/story/27658447/police-pursuit-standoff-shuts-down-state-road-67-at-owen-morgan-county-line")</f>
        <v>http://www.wthr.com/story/27658447/police-pursuit-standoff-shuts-down-state-road-67-at-owen-morgan-county-line</v>
      </c>
      <c r="S1242" s="7" t="s">
        <v>28</v>
      </c>
      <c r="T1242" s="6"/>
      <c r="U1242" s="8"/>
    </row>
    <row r="1243" spans="1:24" ht="13" customHeight="1">
      <c r="A1243" s="8" t="s">
        <v>5456</v>
      </c>
      <c r="B1243" s="16">
        <v>34</v>
      </c>
      <c r="C1243" s="8" t="s">
        <v>20</v>
      </c>
      <c r="D1243" s="8" t="s">
        <v>48</v>
      </c>
      <c r="E1243" s="8" t="s">
        <v>5457</v>
      </c>
      <c r="F1243" s="17">
        <v>41990</v>
      </c>
      <c r="G1243" s="8" t="s">
        <v>5458</v>
      </c>
      <c r="H1243" s="8" t="s">
        <v>925</v>
      </c>
      <c r="I1243" s="8" t="s">
        <v>195</v>
      </c>
      <c r="J1243" s="16" t="s">
        <v>5459</v>
      </c>
      <c r="K1243" s="2" t="s">
        <v>467</v>
      </c>
      <c r="L1243" s="8" t="s">
        <v>5460</v>
      </c>
      <c r="M1243" s="8" t="s">
        <v>27</v>
      </c>
      <c r="N1243" s="2" t="s">
        <v>5461</v>
      </c>
      <c r="O1243" s="8" t="s">
        <v>1013</v>
      </c>
      <c r="P1243" s="8" t="s">
        <v>401</v>
      </c>
      <c r="Q1243" s="12" t="s">
        <v>5462</v>
      </c>
      <c r="R1243" s="8" t="s">
        <v>100</v>
      </c>
      <c r="S1243" s="7" t="s">
        <v>28</v>
      </c>
      <c r="T1243" s="6"/>
      <c r="U1243" s="8"/>
    </row>
    <row r="1244" spans="1:24" ht="13" customHeight="1">
      <c r="A1244" s="8" t="s">
        <v>5463</v>
      </c>
      <c r="B1244" s="16">
        <v>48</v>
      </c>
      <c r="C1244" s="8" t="s">
        <v>20</v>
      </c>
      <c r="D1244" s="8" t="s">
        <v>48</v>
      </c>
      <c r="F1244" s="17">
        <v>41990</v>
      </c>
      <c r="G1244" s="8" t="s">
        <v>5464</v>
      </c>
      <c r="H1244" s="8" t="s">
        <v>575</v>
      </c>
      <c r="I1244" s="8" t="s">
        <v>73</v>
      </c>
      <c r="J1244" s="16">
        <v>78228</v>
      </c>
      <c r="K1244" s="2" t="s">
        <v>576</v>
      </c>
      <c r="L1244" s="8" t="s">
        <v>577</v>
      </c>
      <c r="M1244" s="8" t="s">
        <v>27</v>
      </c>
      <c r="N1244" s="2" t="s">
        <v>5465</v>
      </c>
      <c r="P1244" s="8" t="s">
        <v>401</v>
      </c>
      <c r="Q1244" s="12" t="s">
        <v>5466</v>
      </c>
      <c r="S1244" s="7" t="s">
        <v>35</v>
      </c>
      <c r="T1244" s="6"/>
      <c r="U1244" s="8"/>
    </row>
    <row r="1245" spans="1:24" ht="13" customHeight="1">
      <c r="A1245" s="8" t="s">
        <v>3267</v>
      </c>
      <c r="B1245" s="16" t="s">
        <v>29</v>
      </c>
      <c r="C1245" s="8" t="s">
        <v>20</v>
      </c>
      <c r="D1245" s="8" t="s">
        <v>30</v>
      </c>
      <c r="F1245" s="17">
        <v>41990</v>
      </c>
      <c r="G1245" s="8" t="s">
        <v>5467</v>
      </c>
      <c r="H1245" s="8" t="s">
        <v>885</v>
      </c>
      <c r="I1245" s="8" t="s">
        <v>303</v>
      </c>
      <c r="J1245" s="16">
        <v>98444</v>
      </c>
      <c r="K1245" s="2" t="s">
        <v>886</v>
      </c>
      <c r="L1245" s="8" t="s">
        <v>887</v>
      </c>
      <c r="M1245" s="8" t="s">
        <v>27</v>
      </c>
      <c r="N1245" s="2" t="s">
        <v>5468</v>
      </c>
      <c r="P1245" s="8" t="s">
        <v>401</v>
      </c>
      <c r="Q1245" s="12" t="str">
        <f>HYPERLINK("http://www.kirotv.com/news/news/deputy-involved-shooting-tacoma/njTnD/","http://www.kirotv.com/news/news/deputy-involved-shooting-tacoma/njTnD/")</f>
        <v>http://www.kirotv.com/news/news/deputy-involved-shooting-tacoma/njTnD/</v>
      </c>
      <c r="S1245" s="7" t="s">
        <v>28</v>
      </c>
      <c r="T1245" s="6"/>
      <c r="U1245" s="8"/>
    </row>
    <row r="1246" spans="1:24" ht="13" customHeight="1">
      <c r="A1246" s="8" t="s">
        <v>5476</v>
      </c>
      <c r="B1246" s="16">
        <v>18</v>
      </c>
      <c r="C1246" s="8" t="s">
        <v>20</v>
      </c>
      <c r="D1246" s="8" t="s">
        <v>37</v>
      </c>
      <c r="F1246" s="17">
        <v>41990</v>
      </c>
      <c r="G1246" s="8" t="s">
        <v>5477</v>
      </c>
      <c r="H1246" s="8" t="s">
        <v>634</v>
      </c>
      <c r="I1246" s="8" t="s">
        <v>123</v>
      </c>
      <c r="J1246" s="16">
        <v>85054</v>
      </c>
      <c r="K1246" s="2" t="s">
        <v>635</v>
      </c>
      <c r="L1246" s="8" t="s">
        <v>636</v>
      </c>
      <c r="M1246" s="8" t="s">
        <v>27</v>
      </c>
      <c r="N1246" s="2" t="s">
        <v>5478</v>
      </c>
      <c r="O1246" s="8" t="s">
        <v>550</v>
      </c>
      <c r="P1246" s="8" t="s">
        <v>401</v>
      </c>
      <c r="Q1246" s="12" t="str">
        <f>HYPERLINK("http://www.azcentral.com/story/news/local/phoenix/2014/12/17/phoenix-officer-shooting-teen-dies-abrk/20530475/","http://www.azcentral.com/story/news/local/phoenix/2014/12/17/phoenix-officer-shooting-teen-dies-abrk/20530475/")</f>
        <v>http://www.azcentral.com/story/news/local/phoenix/2014/12/17/phoenix-officer-shooting-teen-dies-abrk/20530475/</v>
      </c>
      <c r="S1246" s="7" t="s">
        <v>28</v>
      </c>
      <c r="T1246" s="6"/>
      <c r="U1246" s="8"/>
      <c r="V1246" s="8"/>
      <c r="W1246" s="8"/>
      <c r="X1246" s="8"/>
    </row>
    <row r="1247" spans="1:24" ht="13" customHeight="1">
      <c r="A1247" s="8" t="s">
        <v>5479</v>
      </c>
      <c r="B1247" s="16">
        <v>18</v>
      </c>
      <c r="C1247" s="8" t="s">
        <v>20</v>
      </c>
      <c r="D1247" s="8" t="s">
        <v>37</v>
      </c>
      <c r="E1247" s="8" t="str">
        <f>HYPERLINK("http://www.muellersfuneralhomes.com/obituaries/Johnathon-Jd-Mar/Print/Wall","http://www.muellersfuneralhomes.com/obituaries/Johnathon-Jd-Mar/Print/Wall")</f>
        <v>http://www.muellersfuneralhomes.com/obituaries/Johnathon-Jd-Mar/Print/Wall</v>
      </c>
      <c r="F1247" s="17">
        <v>41990</v>
      </c>
      <c r="G1247" s="8" t="s">
        <v>5480</v>
      </c>
      <c r="H1247" s="8" t="s">
        <v>5481</v>
      </c>
      <c r="I1247" s="8" t="s">
        <v>133</v>
      </c>
      <c r="J1247" s="16" t="s">
        <v>5482</v>
      </c>
      <c r="K1247" s="2" t="s">
        <v>3615</v>
      </c>
      <c r="L1247" s="8" t="s">
        <v>5483</v>
      </c>
      <c r="M1247" s="8" t="s">
        <v>27</v>
      </c>
      <c r="N1247" s="2" t="s">
        <v>5484</v>
      </c>
      <c r="O1247" s="8" t="s">
        <v>400</v>
      </c>
      <c r="P1247" s="8" t="s">
        <v>401</v>
      </c>
      <c r="Q1247" s="12" t="s">
        <v>5485</v>
      </c>
      <c r="R1247" s="8" t="s">
        <v>555</v>
      </c>
      <c r="S1247" s="7" t="s">
        <v>28</v>
      </c>
      <c r="T1247" s="6"/>
      <c r="U1247" s="8"/>
    </row>
    <row r="1248" spans="1:24" ht="13" customHeight="1">
      <c r="A1248" s="8" t="s">
        <v>5492</v>
      </c>
      <c r="B1248" s="16">
        <v>25</v>
      </c>
      <c r="C1248" s="8" t="s">
        <v>20</v>
      </c>
      <c r="D1248" s="8" t="s">
        <v>37</v>
      </c>
      <c r="F1248" s="17">
        <v>41990</v>
      </c>
      <c r="G1248" s="8" t="s">
        <v>5493</v>
      </c>
      <c r="H1248" s="8" t="s">
        <v>5494</v>
      </c>
      <c r="I1248" s="8" t="s">
        <v>370</v>
      </c>
      <c r="J1248" s="16">
        <v>50158</v>
      </c>
      <c r="K1248" s="2" t="s">
        <v>661</v>
      </c>
      <c r="L1248" s="8" t="s">
        <v>5495</v>
      </c>
      <c r="M1248" s="8" t="s">
        <v>27</v>
      </c>
      <c r="N1248" s="2" t="s">
        <v>5496</v>
      </c>
      <c r="P1248" s="8" t="s">
        <v>401</v>
      </c>
      <c r="Q1248" s="12" t="str">
        <f>HYPERLINK("http://whotv.com/2014/12/17/marshalltown-police-critically-wound-armed-suspect-overnight/","http://whotv.com/2014/12/17/marshalltown-police-critically-wound-armed-suspect-overnight/")</f>
        <v>http://whotv.com/2014/12/17/marshalltown-police-critically-wound-armed-suspect-overnight/</v>
      </c>
      <c r="S1248" s="7" t="s">
        <v>28</v>
      </c>
      <c r="T1248" s="6"/>
      <c r="U1248" s="8"/>
    </row>
    <row r="1249" spans="1:39" ht="13" customHeight="1">
      <c r="A1249" s="8" t="s">
        <v>5486</v>
      </c>
      <c r="B1249" s="16">
        <v>48</v>
      </c>
      <c r="C1249" s="8" t="s">
        <v>20</v>
      </c>
      <c r="D1249" s="8" t="s">
        <v>37</v>
      </c>
      <c r="E1249" s="8" t="s">
        <v>5487</v>
      </c>
      <c r="F1249" s="17">
        <v>41990</v>
      </c>
      <c r="G1249" s="8" t="s">
        <v>5488</v>
      </c>
      <c r="H1249" s="8" t="s">
        <v>5489</v>
      </c>
      <c r="I1249" s="8" t="s">
        <v>45</v>
      </c>
      <c r="J1249" s="16">
        <v>92626</v>
      </c>
      <c r="K1249" s="2" t="s">
        <v>1064</v>
      </c>
      <c r="L1249" s="8" t="s">
        <v>5490</v>
      </c>
      <c r="M1249" s="8" t="s">
        <v>27</v>
      </c>
      <c r="N1249" s="2" t="s">
        <v>5491</v>
      </c>
      <c r="P1249" s="8" t="s">
        <v>401</v>
      </c>
      <c r="Q1249" s="12" t="str">
        <f>HYPERLINK("http://www.ocregister.com/articles/mesa-645510-costa-warrants.html","http://www.ocregister.com/articles/mesa-645510-costa-warrants.html")</f>
        <v>http://www.ocregister.com/articles/mesa-645510-costa-warrants.html</v>
      </c>
      <c r="S1249" s="7" t="s">
        <v>28</v>
      </c>
      <c r="T1249" s="6"/>
      <c r="U1249" s="8"/>
    </row>
    <row r="1250" spans="1:39" ht="13" customHeight="1">
      <c r="A1250" s="8" t="s">
        <v>5469</v>
      </c>
      <c r="B1250" s="16">
        <v>28</v>
      </c>
      <c r="C1250" s="8" t="s">
        <v>20</v>
      </c>
      <c r="D1250" s="8" t="s">
        <v>37</v>
      </c>
      <c r="E1250" s="8" t="s">
        <v>5470</v>
      </c>
      <c r="F1250" s="17">
        <v>41990</v>
      </c>
      <c r="G1250" s="8" t="s">
        <v>5471</v>
      </c>
      <c r="H1250" s="8" t="s">
        <v>5472</v>
      </c>
      <c r="I1250" s="8" t="s">
        <v>62</v>
      </c>
      <c r="J1250" s="16">
        <v>32506</v>
      </c>
      <c r="K1250" s="2" t="s">
        <v>5473</v>
      </c>
      <c r="L1250" s="8" t="s">
        <v>5474</v>
      </c>
      <c r="M1250" s="8" t="s">
        <v>391</v>
      </c>
      <c r="N1250" s="2" t="s">
        <v>5475</v>
      </c>
      <c r="P1250" s="8" t="s">
        <v>401</v>
      </c>
      <c r="Q1250" s="12" t="str">
        <f>HYPERLINK("http://www.pnj.com/story/news/crime/2014/12/17/man-dies-two-weeks-tased/20545199/","http://www.pnj.com/story/news/crime/2014/12/17/man-dies-two-weeks-tased/20545199/")</f>
        <v>http://www.pnj.com/story/news/crime/2014/12/17/man-dies-two-weeks-tased/20545199/</v>
      </c>
      <c r="S1250" s="7" t="s">
        <v>28</v>
      </c>
      <c r="T1250" s="6"/>
      <c r="U1250" s="8"/>
    </row>
    <row r="1251" spans="1:39" ht="13" customHeight="1">
      <c r="A1251" s="8" t="s">
        <v>5497</v>
      </c>
      <c r="B1251" s="16">
        <v>20</v>
      </c>
      <c r="C1251" s="8" t="s">
        <v>20</v>
      </c>
      <c r="D1251" s="8" t="s">
        <v>30</v>
      </c>
      <c r="F1251" s="17">
        <v>41989</v>
      </c>
      <c r="G1251" s="8" t="s">
        <v>5498</v>
      </c>
      <c r="H1251" s="8" t="s">
        <v>948</v>
      </c>
      <c r="I1251" s="8" t="s">
        <v>45</v>
      </c>
      <c r="J1251" s="16" t="s">
        <v>5499</v>
      </c>
      <c r="K1251" s="2" t="s">
        <v>948</v>
      </c>
      <c r="L1251" s="8" t="s">
        <v>960</v>
      </c>
      <c r="M1251" s="8" t="s">
        <v>379</v>
      </c>
      <c r="N1251" s="2" t="s">
        <v>5500</v>
      </c>
      <c r="O1251" s="8" t="s">
        <v>1013</v>
      </c>
      <c r="P1251" s="8" t="s">
        <v>401</v>
      </c>
      <c r="Q1251" s="12" t="s">
        <v>5501</v>
      </c>
      <c r="R1251" s="8" t="s">
        <v>100</v>
      </c>
      <c r="S1251" s="7" t="s">
        <v>379</v>
      </c>
      <c r="T1251" s="6"/>
      <c r="U1251" s="8"/>
    </row>
    <row r="1252" spans="1:39" ht="13" customHeight="1">
      <c r="A1252" s="8" t="s">
        <v>5505</v>
      </c>
      <c r="B1252" s="16">
        <v>16</v>
      </c>
      <c r="C1252" s="8" t="s">
        <v>20</v>
      </c>
      <c r="D1252" s="8" t="s">
        <v>85</v>
      </c>
      <c r="F1252" s="17">
        <v>41988</v>
      </c>
      <c r="G1252" s="8" t="s">
        <v>5506</v>
      </c>
      <c r="H1252" s="8" t="s">
        <v>2031</v>
      </c>
      <c r="I1252" s="8" t="s">
        <v>319</v>
      </c>
      <c r="J1252" s="16">
        <v>37217</v>
      </c>
      <c r="K1252" s="2" t="s">
        <v>882</v>
      </c>
      <c r="L1252" s="8" t="s">
        <v>883</v>
      </c>
      <c r="M1252" s="8" t="s">
        <v>27</v>
      </c>
      <c r="N1252" s="2" t="s">
        <v>5507</v>
      </c>
      <c r="P1252" s="8" t="s">
        <v>401</v>
      </c>
      <c r="Q1252" s="12" t="str">
        <f>HYPERLINK("http://www.tennessean.com/story/news/crime/2014/12/14/suspect-killed-officer-injured-south-nashville/20418519/","http://www.tennessean.com/story/news/crime/2014/12/14/suspect-killed-officer-injured-south-nashville/20418519/")</f>
        <v>http://www.tennessean.com/story/news/crime/2014/12/14/suspect-killed-officer-injured-south-nashville/20418519/</v>
      </c>
      <c r="R1252" s="8" t="s">
        <v>100</v>
      </c>
      <c r="S1252" s="7" t="s">
        <v>28</v>
      </c>
      <c r="T1252" s="6"/>
      <c r="U1252" s="8"/>
    </row>
    <row r="1253" spans="1:39" ht="13" customHeight="1">
      <c r="A1253" s="8" t="s">
        <v>5502</v>
      </c>
      <c r="B1253" s="16">
        <v>26</v>
      </c>
      <c r="C1253" s="8" t="s">
        <v>20</v>
      </c>
      <c r="D1253" s="8" t="s">
        <v>85</v>
      </c>
      <c r="F1253" s="17">
        <v>41988</v>
      </c>
      <c r="G1253" s="8" t="s">
        <v>5503</v>
      </c>
      <c r="H1253" s="8" t="s">
        <v>1103</v>
      </c>
      <c r="I1253" s="8" t="s">
        <v>404</v>
      </c>
      <c r="J1253" s="16">
        <v>19135</v>
      </c>
      <c r="K1253" s="2" t="s">
        <v>1103</v>
      </c>
      <c r="L1253" s="8" t="s">
        <v>1104</v>
      </c>
      <c r="M1253" s="8" t="s">
        <v>27</v>
      </c>
      <c r="N1253" s="2" t="s">
        <v>5504</v>
      </c>
      <c r="P1253" s="8" t="s">
        <v>401</v>
      </c>
      <c r="Q1253" s="12" t="str">
        <f>HYPERLINK("http://www.nbcphiladelphia.com/news/local/Mayfair-Police-Shooting-285796911.html","http://www.nbcphiladelphia.com/news/local/Mayfair-Police-Shooting-285796911.html")</f>
        <v>http://www.nbcphiladelphia.com/news/local/Mayfair-Police-Shooting-285796911.html</v>
      </c>
      <c r="R1253" s="8" t="s">
        <v>100</v>
      </c>
      <c r="S1253" s="7" t="s">
        <v>28</v>
      </c>
      <c r="T1253" s="6"/>
      <c r="U1253" s="8"/>
    </row>
    <row r="1254" spans="1:39" ht="13" customHeight="1">
      <c r="A1254" s="8" t="s">
        <v>5508</v>
      </c>
      <c r="B1254" s="16">
        <v>35</v>
      </c>
      <c r="C1254" s="8" t="s">
        <v>20</v>
      </c>
      <c r="D1254" s="8" t="s">
        <v>85</v>
      </c>
      <c r="E1254" s="8" t="str">
        <f>HYPERLINK("http://www.arklatexhomepage.com/media/lib/186/8/4/d/84d8a85a-cc51-4371-b6d1-6a6fb81977f1/Story.jpg","http://www.arklatexhomepage.com/media/lib/186/8/4/d/84d8a85a-cc51-4371-b6d1-6a6fb81977f1/Story.jpg")</f>
        <v>http://www.arklatexhomepage.com/media/lib/186/8/4/d/84d8a85a-cc51-4371-b6d1-6a6fb81977f1/Story.jpg</v>
      </c>
      <c r="F1254" s="17">
        <v>41988</v>
      </c>
      <c r="G1254" s="8" t="s">
        <v>5509</v>
      </c>
      <c r="H1254" s="8" t="s">
        <v>1091</v>
      </c>
      <c r="I1254" s="8" t="s">
        <v>73</v>
      </c>
      <c r="J1254" s="16">
        <v>75501</v>
      </c>
      <c r="K1254" s="2" t="s">
        <v>5510</v>
      </c>
      <c r="L1254" s="8" t="s">
        <v>5511</v>
      </c>
      <c r="M1254" s="8" t="s">
        <v>27</v>
      </c>
      <c r="N1254" s="2" t="s">
        <v>5512</v>
      </c>
      <c r="O1254" s="8" t="s">
        <v>550</v>
      </c>
      <c r="P1254" s="8" t="s">
        <v>401</v>
      </c>
      <c r="Q1254" s="12" t="s">
        <v>5513</v>
      </c>
      <c r="R1254" s="8" t="s">
        <v>555</v>
      </c>
      <c r="S1254" s="7" t="s">
        <v>18</v>
      </c>
      <c r="T1254" s="6"/>
      <c r="U1254" s="8"/>
    </row>
    <row r="1255" spans="1:39" ht="13" customHeight="1">
      <c r="A1255" s="8" t="s">
        <v>5514</v>
      </c>
      <c r="B1255" s="16">
        <v>32</v>
      </c>
      <c r="C1255" s="8" t="s">
        <v>114</v>
      </c>
      <c r="D1255" s="8" t="s">
        <v>30</v>
      </c>
      <c r="E1255" s="8" t="str">
        <f>HYPERLINK("http://www.everythinglubbock.com/media/lib/197/b/e/9/be97488a-220f-42d4-a656-82afae53b037/Story.jpg","http://www.everythinglubbock.com/media/lib/197/b/e/9/be97488a-220f-42d4-a656-82afae53b037/Story.jpg")</f>
        <v>http://www.everythinglubbock.com/media/lib/197/b/e/9/be97488a-220f-42d4-a656-82afae53b037/Story.jpg</v>
      </c>
      <c r="F1255" s="17">
        <v>41988</v>
      </c>
      <c r="G1255" s="8" t="s">
        <v>5515</v>
      </c>
      <c r="H1255" s="8" t="s">
        <v>1944</v>
      </c>
      <c r="I1255" s="8" t="s">
        <v>73</v>
      </c>
      <c r="J1255" s="16">
        <v>79705</v>
      </c>
      <c r="K1255" s="2" t="s">
        <v>1944</v>
      </c>
      <c r="L1255" s="8" t="s">
        <v>1946</v>
      </c>
      <c r="M1255" s="8" t="s">
        <v>27</v>
      </c>
      <c r="N1255" s="2" t="s">
        <v>5516</v>
      </c>
      <c r="O1255" s="8" t="s">
        <v>400</v>
      </c>
      <c r="P1255" s="8" t="s">
        <v>401</v>
      </c>
      <c r="Q1255" s="12" t="str">
        <f>HYPERLINK("http://www.newswest9.com/story/27643563/midland-police-identify-officer-killed-in-murder-suicide","http://www.newswest9.com/story/27643563/midland-police-identify-officer-killed-in-murder-suicide")</f>
        <v>http://www.newswest9.com/story/27643563/midland-police-identify-officer-killed-in-murder-suicide</v>
      </c>
      <c r="R1255" s="8" t="s">
        <v>29</v>
      </c>
      <c r="S1255" s="7" t="s">
        <v>18</v>
      </c>
      <c r="T1255" s="6"/>
      <c r="U1255" s="8"/>
    </row>
    <row r="1256" spans="1:39" ht="13" customHeight="1">
      <c r="A1256" s="8" t="s">
        <v>5517</v>
      </c>
      <c r="B1256" s="16">
        <v>23</v>
      </c>
      <c r="C1256" s="8" t="s">
        <v>20</v>
      </c>
      <c r="D1256" s="8" t="s">
        <v>85</v>
      </c>
      <c r="F1256" s="17">
        <v>41987</v>
      </c>
      <c r="G1256" s="8" t="s">
        <v>5518</v>
      </c>
      <c r="H1256" s="8" t="s">
        <v>5519</v>
      </c>
      <c r="I1256" s="8" t="s">
        <v>671</v>
      </c>
      <c r="J1256" s="16">
        <v>39157</v>
      </c>
      <c r="K1256" s="2" t="s">
        <v>2165</v>
      </c>
      <c r="L1256" s="8" t="s">
        <v>5520</v>
      </c>
      <c r="M1256" s="8" t="s">
        <v>27</v>
      </c>
      <c r="N1256" s="2" t="s">
        <v>5521</v>
      </c>
      <c r="O1256" s="8" t="s">
        <v>550</v>
      </c>
      <c r="P1256" s="8" t="s">
        <v>401</v>
      </c>
      <c r="Q1256" s="12" t="str">
        <f>HYPERLINK("http://www.msnewsnow.com/story/27625936/madison-coroner-called-to-hwy-51-for-officer-involved-shooting","http://www.msnewsnow.com/story/27625936/madison-coroner-called-to-hwy-51-for-officer-involved-shooting")</f>
        <v>http://www.msnewsnow.com/story/27625936/madison-coroner-called-to-hwy-51-for-officer-involved-shooting</v>
      </c>
      <c r="R1256" s="8" t="s">
        <v>100</v>
      </c>
      <c r="S1256" s="7" t="s">
        <v>28</v>
      </c>
      <c r="T1256" s="6"/>
      <c r="U1256" s="8"/>
    </row>
    <row r="1257" spans="1:39" ht="13" customHeight="1">
      <c r="A1257" s="8" t="s">
        <v>20649</v>
      </c>
      <c r="B1257" s="16">
        <v>25</v>
      </c>
      <c r="C1257" s="8" t="s">
        <v>114</v>
      </c>
      <c r="D1257" s="8" t="s">
        <v>85</v>
      </c>
      <c r="F1257" s="17">
        <v>41987</v>
      </c>
      <c r="G1257" s="8" t="s">
        <v>20650</v>
      </c>
      <c r="H1257" s="8" t="s">
        <v>444</v>
      </c>
      <c r="I1257" s="8" t="s">
        <v>57</v>
      </c>
      <c r="J1257" s="3" t="s">
        <v>20651</v>
      </c>
      <c r="K1257" s="3" t="s">
        <v>1132</v>
      </c>
      <c r="L1257" s="3" t="s">
        <v>2182</v>
      </c>
      <c r="M1257" s="3" t="s">
        <v>379</v>
      </c>
      <c r="N1257" s="3" t="s">
        <v>20652</v>
      </c>
      <c r="O1257" s="3" t="s">
        <v>1013</v>
      </c>
      <c r="P1257" s="8" t="s">
        <v>401</v>
      </c>
      <c r="Q1257" s="20" t="s">
        <v>20653</v>
      </c>
      <c r="R1257" s="3" t="s">
        <v>100</v>
      </c>
      <c r="S1257" s="3" t="s">
        <v>18</v>
      </c>
      <c r="T1257" s="3"/>
      <c r="U1257" s="3"/>
      <c r="V1257" s="23"/>
      <c r="W1257" s="23"/>
      <c r="X1257" s="23"/>
      <c r="Y1257" s="23"/>
      <c r="Z1257" s="23"/>
      <c r="AA1257" s="23"/>
      <c r="AB1257" s="23"/>
      <c r="AC1257" s="23"/>
      <c r="AD1257" s="23"/>
      <c r="AE1257" s="23"/>
      <c r="AF1257" s="23"/>
      <c r="AG1257" s="23"/>
      <c r="AH1257" s="23"/>
      <c r="AI1257" s="23"/>
      <c r="AJ1257" s="23"/>
      <c r="AK1257" s="23"/>
      <c r="AL1257" s="23"/>
      <c r="AM1257" s="23"/>
    </row>
    <row r="1258" spans="1:39" ht="13" customHeight="1">
      <c r="A1258" s="8" t="s">
        <v>5522</v>
      </c>
      <c r="B1258" s="16">
        <v>51</v>
      </c>
      <c r="C1258" s="8" t="s">
        <v>20</v>
      </c>
      <c r="D1258" s="8" t="s">
        <v>48</v>
      </c>
      <c r="F1258" s="17">
        <v>41987</v>
      </c>
      <c r="G1258" s="8" t="s">
        <v>5523</v>
      </c>
      <c r="I1258" s="8" t="s">
        <v>62</v>
      </c>
      <c r="J1258" s="16">
        <v>32259</v>
      </c>
      <c r="K1258" s="2" t="s">
        <v>2407</v>
      </c>
      <c r="L1258" s="8" t="s">
        <v>5524</v>
      </c>
      <c r="M1258" s="8" t="s">
        <v>27</v>
      </c>
      <c r="N1258" s="2" t="s">
        <v>5525</v>
      </c>
      <c r="P1258" s="8" t="s">
        <v>401</v>
      </c>
      <c r="Q1258" s="12" t="s">
        <v>5526</v>
      </c>
      <c r="S1258" s="7" t="s">
        <v>35</v>
      </c>
      <c r="T1258" s="6"/>
      <c r="U1258" s="8"/>
    </row>
    <row r="1259" spans="1:39" ht="13" customHeight="1">
      <c r="A1259" s="8" t="s">
        <v>5527</v>
      </c>
      <c r="B1259" s="16">
        <v>65</v>
      </c>
      <c r="C1259" s="8" t="s">
        <v>20</v>
      </c>
      <c r="D1259" s="8" t="s">
        <v>30</v>
      </c>
      <c r="F1259" s="17">
        <v>41987</v>
      </c>
      <c r="G1259" s="8" t="s">
        <v>5528</v>
      </c>
      <c r="H1259" s="8" t="s">
        <v>5529</v>
      </c>
      <c r="I1259" s="8" t="s">
        <v>45</v>
      </c>
      <c r="J1259" s="16">
        <v>92570</v>
      </c>
      <c r="K1259" s="2" t="s">
        <v>786</v>
      </c>
      <c r="L1259" s="8" t="s">
        <v>787</v>
      </c>
      <c r="M1259" s="8" t="s">
        <v>27</v>
      </c>
      <c r="N1259" s="2" t="s">
        <v>5530</v>
      </c>
      <c r="P1259" s="8" t="s">
        <v>401</v>
      </c>
      <c r="Q1259" s="12" t="s">
        <v>5531</v>
      </c>
      <c r="S1259" s="7" t="s">
        <v>35</v>
      </c>
      <c r="T1259" s="6"/>
      <c r="U1259" s="8"/>
    </row>
    <row r="1260" spans="1:39" ht="13" customHeight="1">
      <c r="A1260" s="8" t="s">
        <v>20654</v>
      </c>
      <c r="B1260" s="16">
        <v>46</v>
      </c>
      <c r="C1260" s="8" t="s">
        <v>20</v>
      </c>
      <c r="D1260" s="8" t="s">
        <v>85</v>
      </c>
      <c r="F1260" s="17">
        <v>41986</v>
      </c>
      <c r="G1260" s="8" t="s">
        <v>20655</v>
      </c>
      <c r="H1260" s="8" t="s">
        <v>712</v>
      </c>
      <c r="I1260" s="8" t="s">
        <v>431</v>
      </c>
      <c r="J1260" s="3" t="s">
        <v>4774</v>
      </c>
      <c r="K1260" s="3" t="s">
        <v>20656</v>
      </c>
      <c r="L1260" s="3" t="s">
        <v>4545</v>
      </c>
      <c r="M1260" s="3" t="s">
        <v>379</v>
      </c>
      <c r="N1260" s="3" t="s">
        <v>21627</v>
      </c>
      <c r="O1260" s="3" t="s">
        <v>1013</v>
      </c>
      <c r="P1260" s="8" t="s">
        <v>401</v>
      </c>
      <c r="Q1260" s="20" t="s">
        <v>20657</v>
      </c>
      <c r="R1260" s="3" t="s">
        <v>100</v>
      </c>
      <c r="S1260" s="3" t="s">
        <v>18</v>
      </c>
      <c r="T1260" s="3"/>
      <c r="U1260" s="3"/>
      <c r="V1260" s="23"/>
      <c r="W1260" s="23"/>
      <c r="X1260" s="23"/>
      <c r="Y1260" s="23"/>
      <c r="Z1260" s="23"/>
      <c r="AA1260" s="23"/>
      <c r="AB1260" s="23"/>
      <c r="AC1260" s="23"/>
      <c r="AD1260" s="23"/>
      <c r="AE1260" s="23"/>
      <c r="AF1260" s="23"/>
      <c r="AG1260" s="23"/>
      <c r="AH1260" s="23"/>
      <c r="AI1260" s="23"/>
      <c r="AJ1260" s="23"/>
      <c r="AK1260" s="23"/>
      <c r="AL1260" s="23"/>
      <c r="AM1260" s="23"/>
    </row>
    <row r="1261" spans="1:39" ht="13" customHeight="1">
      <c r="A1261" s="8" t="s">
        <v>5532</v>
      </c>
      <c r="B1261" s="16">
        <v>19</v>
      </c>
      <c r="C1261" s="8" t="s">
        <v>20</v>
      </c>
      <c r="D1261" s="8" t="s">
        <v>48</v>
      </c>
      <c r="F1261" s="17">
        <v>41986</v>
      </c>
      <c r="G1261" s="8" t="s">
        <v>5533</v>
      </c>
      <c r="H1261" s="8" t="s">
        <v>2800</v>
      </c>
      <c r="I1261" s="8" t="s">
        <v>363</v>
      </c>
      <c r="J1261" s="16">
        <v>66606</v>
      </c>
      <c r="K1261" s="2" t="s">
        <v>2802</v>
      </c>
      <c r="L1261" s="8" t="s">
        <v>2803</v>
      </c>
      <c r="M1261" s="8" t="s">
        <v>27</v>
      </c>
      <c r="N1261" s="2" t="s">
        <v>5534</v>
      </c>
      <c r="O1261" s="8" t="s">
        <v>550</v>
      </c>
      <c r="P1261" s="8" t="s">
        <v>401</v>
      </c>
      <c r="Q1261" s="12" t="s">
        <v>5535</v>
      </c>
      <c r="S1261" s="7" t="s">
        <v>28</v>
      </c>
      <c r="T1261" s="6"/>
      <c r="U1261" s="8"/>
    </row>
    <row r="1262" spans="1:39" ht="13" customHeight="1">
      <c r="A1262" s="8" t="s">
        <v>5536</v>
      </c>
      <c r="B1262" s="16">
        <v>27</v>
      </c>
      <c r="C1262" s="8" t="s">
        <v>20</v>
      </c>
      <c r="D1262" s="8" t="s">
        <v>30</v>
      </c>
      <c r="F1262" s="17">
        <v>41986</v>
      </c>
      <c r="G1262" s="8" t="s">
        <v>5537</v>
      </c>
      <c r="H1262" s="8" t="s">
        <v>5538</v>
      </c>
      <c r="I1262" s="8" t="s">
        <v>319</v>
      </c>
      <c r="J1262" s="16">
        <v>37862</v>
      </c>
      <c r="K1262" s="2" t="s">
        <v>5539</v>
      </c>
      <c r="L1262" s="8" t="s">
        <v>5540</v>
      </c>
      <c r="M1262" s="8" t="s">
        <v>27</v>
      </c>
      <c r="N1262" s="2" t="s">
        <v>5541</v>
      </c>
      <c r="P1262" s="8" t="s">
        <v>401</v>
      </c>
      <c r="Q1262" s="12" t="str">
        <f>HYPERLINK("http://www.wbir.com/story/news/local/sevierville-sevier/2014/12/13/spd-officer-shoots-kills-man-standoff/20349589/","http://www.wbir.com/story/news/local/sevierville-sevier/2014/12/13/spd-officer-shoots-kills-man-standoff/20349589/")</f>
        <v>http://www.wbir.com/story/news/local/sevierville-sevier/2014/12/13/spd-officer-shoots-kills-man-standoff/20349589/</v>
      </c>
      <c r="S1262" s="7" t="s">
        <v>28</v>
      </c>
      <c r="T1262" s="6"/>
      <c r="U1262" s="8"/>
    </row>
    <row r="1263" spans="1:39" ht="13" customHeight="1">
      <c r="A1263" s="8" t="s">
        <v>5542</v>
      </c>
      <c r="B1263" s="16">
        <v>22</v>
      </c>
      <c r="C1263" s="8" t="s">
        <v>20</v>
      </c>
      <c r="D1263" s="8" t="s">
        <v>37</v>
      </c>
      <c r="F1263" s="17">
        <v>41986</v>
      </c>
      <c r="G1263" s="8" t="s">
        <v>5543</v>
      </c>
      <c r="H1263" s="8" t="s">
        <v>580</v>
      </c>
      <c r="I1263" s="8" t="s">
        <v>69</v>
      </c>
      <c r="J1263" s="16">
        <v>43050</v>
      </c>
      <c r="K1263" s="2" t="s">
        <v>2692</v>
      </c>
      <c r="L1263" s="8" t="s">
        <v>5544</v>
      </c>
      <c r="M1263" s="8" t="s">
        <v>27</v>
      </c>
      <c r="N1263" s="2" t="s">
        <v>5545</v>
      </c>
      <c r="P1263" s="8" t="s">
        <v>401</v>
      </c>
      <c r="Q1263" s="12" t="s">
        <v>5546</v>
      </c>
      <c r="S1263" s="7" t="s">
        <v>35</v>
      </c>
      <c r="T1263" s="6"/>
      <c r="U1263" s="8"/>
    </row>
    <row r="1264" spans="1:39" ht="13" customHeight="1">
      <c r="A1264" s="8" t="s">
        <v>5547</v>
      </c>
      <c r="B1264" s="16">
        <v>22</v>
      </c>
      <c r="C1264" s="8" t="s">
        <v>20</v>
      </c>
      <c r="D1264" s="8" t="s">
        <v>85</v>
      </c>
      <c r="E1264" s="8" t="s">
        <v>5548</v>
      </c>
      <c r="F1264" s="17">
        <v>41985</v>
      </c>
      <c r="G1264" s="8" t="s">
        <v>5549</v>
      </c>
      <c r="H1264" s="8" t="s">
        <v>5550</v>
      </c>
      <c r="I1264" s="8" t="s">
        <v>431</v>
      </c>
      <c r="J1264" s="16" t="s">
        <v>5551</v>
      </c>
      <c r="K1264" s="2" t="s">
        <v>5552</v>
      </c>
      <c r="L1264" s="8" t="s">
        <v>5553</v>
      </c>
      <c r="M1264" s="8" t="s">
        <v>27</v>
      </c>
      <c r="N1264" s="2" t="s">
        <v>5554</v>
      </c>
      <c r="P1264" s="8" t="s">
        <v>401</v>
      </c>
      <c r="Q1264" s="12" t="s">
        <v>5555</v>
      </c>
      <c r="R1264" s="8" t="s">
        <v>100</v>
      </c>
      <c r="S1264" s="7" t="s">
        <v>28</v>
      </c>
      <c r="T1264" s="6"/>
      <c r="U1264" s="8"/>
    </row>
    <row r="1265" spans="1:24" ht="13" customHeight="1">
      <c r="A1265" s="8" t="s">
        <v>5562</v>
      </c>
      <c r="B1265" s="16">
        <v>27</v>
      </c>
      <c r="C1265" s="8" t="s">
        <v>20</v>
      </c>
      <c r="D1265" s="8" t="s">
        <v>37</v>
      </c>
      <c r="E1265" s="8" t="s">
        <v>5563</v>
      </c>
      <c r="F1265" s="17">
        <v>41984</v>
      </c>
      <c r="G1265" s="8" t="s">
        <v>5564</v>
      </c>
      <c r="H1265" s="8" t="s">
        <v>5565</v>
      </c>
      <c r="I1265" s="8" t="s">
        <v>62</v>
      </c>
      <c r="J1265" s="16" t="s">
        <v>5566</v>
      </c>
      <c r="K1265" s="2" t="s">
        <v>5354</v>
      </c>
      <c r="L1265" s="8" t="s">
        <v>5567</v>
      </c>
      <c r="M1265" s="8" t="s">
        <v>27</v>
      </c>
      <c r="N1265" s="2" t="s">
        <v>5568</v>
      </c>
      <c r="P1265" s="8" t="s">
        <v>401</v>
      </c>
      <c r="Q1265" s="12" t="s">
        <v>5569</v>
      </c>
      <c r="R1265" s="8" t="s">
        <v>100</v>
      </c>
      <c r="S1265" s="7" t="s">
        <v>28</v>
      </c>
      <c r="T1265" s="6"/>
      <c r="U1265" s="8"/>
    </row>
    <row r="1266" spans="1:24" ht="13" customHeight="1">
      <c r="A1266" s="8" t="s">
        <v>5556</v>
      </c>
      <c r="B1266" s="16">
        <v>28</v>
      </c>
      <c r="C1266" s="8" t="s">
        <v>20</v>
      </c>
      <c r="D1266" s="8" t="s">
        <v>37</v>
      </c>
      <c r="E1266" s="8" t="s">
        <v>5557</v>
      </c>
      <c r="F1266" s="17">
        <v>41984</v>
      </c>
      <c r="G1266" s="8" t="s">
        <v>5558</v>
      </c>
      <c r="H1266" s="8" t="s">
        <v>5559</v>
      </c>
      <c r="I1266" s="8" t="s">
        <v>209</v>
      </c>
      <c r="J1266" s="16" t="s">
        <v>2906</v>
      </c>
      <c r="K1266" s="2" t="s">
        <v>1144</v>
      </c>
      <c r="L1266" s="8" t="s">
        <v>5560</v>
      </c>
      <c r="M1266" s="8" t="s">
        <v>27</v>
      </c>
      <c r="N1266" s="2" t="s">
        <v>5561</v>
      </c>
      <c r="P1266" s="8" t="s">
        <v>401</v>
      </c>
      <c r="Q1266" s="12" t="str">
        <f>HYPERLINK("http://www.kktv.com/home/headlines/One-Man-Hospialized-After-Officer-Involved-Shooting-285508201.html","http://www.kktv.com/home/headlines/One-Man-Hospialized-After-Officer-Involved-Shooting-285508201.html")</f>
        <v>http://www.kktv.com/home/headlines/One-Man-Hospialized-After-Officer-Involved-Shooting-285508201.html</v>
      </c>
      <c r="R1266" s="8" t="s">
        <v>555</v>
      </c>
      <c r="S1266" s="7" t="s">
        <v>28</v>
      </c>
      <c r="T1266" s="6"/>
      <c r="U1266" s="8"/>
    </row>
    <row r="1267" spans="1:24" ht="13" customHeight="1">
      <c r="A1267" s="8" t="s">
        <v>5570</v>
      </c>
      <c r="B1267" s="16">
        <v>24</v>
      </c>
      <c r="C1267" s="8" t="s">
        <v>20</v>
      </c>
      <c r="D1267" s="8" t="s">
        <v>85</v>
      </c>
      <c r="E1267" s="8" t="s">
        <v>5571</v>
      </c>
      <c r="F1267" s="17">
        <v>41983</v>
      </c>
      <c r="G1267" s="8" t="s">
        <v>5572</v>
      </c>
      <c r="H1267" s="8" t="s">
        <v>5573</v>
      </c>
      <c r="I1267" s="8" t="s">
        <v>366</v>
      </c>
      <c r="J1267" s="16" t="s">
        <v>5574</v>
      </c>
      <c r="K1267" s="2" t="s">
        <v>5575</v>
      </c>
      <c r="L1267" s="8" t="s">
        <v>9243</v>
      </c>
      <c r="M1267" s="8" t="s">
        <v>27</v>
      </c>
      <c r="N1267" s="2" t="s">
        <v>5576</v>
      </c>
      <c r="P1267" s="8" t="s">
        <v>401</v>
      </c>
      <c r="Q1267" s="12" t="str">
        <f>HYPERLINK("http://wvtm.membercenter.worldnow.com/story/27598792/1-dead-in-sanford-officer-involved-shooting","http://wvtm.membercenter.worldnow.com/story/27598792/1-dead-in-sanford-officer-involved-shooting")</f>
        <v>http://wvtm.membercenter.worldnow.com/story/27598792/1-dead-in-sanford-officer-involved-shooting</v>
      </c>
      <c r="R1267" s="8" t="s">
        <v>100</v>
      </c>
      <c r="S1267" s="7" t="s">
        <v>35</v>
      </c>
      <c r="T1267" s="6"/>
      <c r="U1267" s="8"/>
    </row>
    <row r="1268" spans="1:24" ht="13" customHeight="1">
      <c r="A1268" s="8" t="s">
        <v>5577</v>
      </c>
      <c r="B1268" s="16">
        <v>38</v>
      </c>
      <c r="C1268" s="8" t="s">
        <v>20</v>
      </c>
      <c r="D1268" s="8" t="s">
        <v>30</v>
      </c>
      <c r="F1268" s="17">
        <v>41983</v>
      </c>
      <c r="G1268" s="8" t="s">
        <v>5578</v>
      </c>
      <c r="H1268" s="8" t="s">
        <v>5579</v>
      </c>
      <c r="I1268" s="8" t="s">
        <v>45</v>
      </c>
      <c r="J1268" s="16" t="s">
        <v>5580</v>
      </c>
      <c r="K1268" s="2" t="s">
        <v>786</v>
      </c>
      <c r="L1268" s="8" t="s">
        <v>4807</v>
      </c>
      <c r="M1268" s="8" t="s">
        <v>27</v>
      </c>
      <c r="N1268" s="2" t="s">
        <v>5581</v>
      </c>
      <c r="O1268" s="8" t="s">
        <v>400</v>
      </c>
      <c r="P1268" s="8" t="s">
        <v>401</v>
      </c>
      <c r="Q1268" s="12" t="s">
        <v>5582</v>
      </c>
      <c r="R1268" s="8" t="s">
        <v>100</v>
      </c>
      <c r="S1268" s="7" t="s">
        <v>28</v>
      </c>
      <c r="T1268" s="6"/>
      <c r="U1268" s="8"/>
      <c r="V1268" s="8"/>
      <c r="W1268" s="8"/>
      <c r="X1268" s="8"/>
    </row>
    <row r="1269" spans="1:24" ht="13" customHeight="1">
      <c r="A1269" s="8" t="s">
        <v>3267</v>
      </c>
      <c r="B1269" s="16" t="s">
        <v>29</v>
      </c>
      <c r="C1269" s="8" t="s">
        <v>20</v>
      </c>
      <c r="D1269" s="8" t="s">
        <v>30</v>
      </c>
      <c r="F1269" s="17">
        <v>41983</v>
      </c>
      <c r="G1269" s="8" t="s">
        <v>5578</v>
      </c>
      <c r="H1269" s="8" t="s">
        <v>5579</v>
      </c>
      <c r="I1269" s="8" t="s">
        <v>45</v>
      </c>
      <c r="J1269" s="16">
        <v>92595</v>
      </c>
      <c r="K1269" s="2" t="s">
        <v>786</v>
      </c>
      <c r="L1269" s="8" t="s">
        <v>787</v>
      </c>
      <c r="M1269" s="8" t="s">
        <v>27</v>
      </c>
      <c r="N1269" s="2" t="s">
        <v>5583</v>
      </c>
      <c r="P1269" s="8" t="s">
        <v>401</v>
      </c>
      <c r="Q1269" s="12" t="s">
        <v>5582</v>
      </c>
      <c r="S1269" s="7" t="s">
        <v>35</v>
      </c>
      <c r="T1269" s="6"/>
      <c r="U1269" s="8"/>
      <c r="V1269" s="8"/>
      <c r="W1269" s="8"/>
      <c r="X1269" s="8"/>
    </row>
    <row r="1270" spans="1:24" ht="13" customHeight="1">
      <c r="A1270" s="8" t="s">
        <v>5584</v>
      </c>
      <c r="B1270" s="16">
        <v>49</v>
      </c>
      <c r="C1270" s="8" t="s">
        <v>20</v>
      </c>
      <c r="D1270" s="8" t="s">
        <v>85</v>
      </c>
      <c r="F1270" s="17">
        <v>41982</v>
      </c>
      <c r="G1270" s="8" t="s">
        <v>5585</v>
      </c>
      <c r="H1270" s="8" t="s">
        <v>757</v>
      </c>
      <c r="I1270" s="8" t="s">
        <v>423</v>
      </c>
      <c r="J1270" s="16" t="s">
        <v>5586</v>
      </c>
      <c r="K1270" s="2" t="s">
        <v>1716</v>
      </c>
      <c r="L1270" s="8" t="s">
        <v>582</v>
      </c>
      <c r="M1270" s="8" t="s">
        <v>27</v>
      </c>
      <c r="N1270" s="2" t="s">
        <v>5587</v>
      </c>
      <c r="O1270" s="8" t="s">
        <v>400</v>
      </c>
      <c r="P1270" s="8" t="s">
        <v>401</v>
      </c>
      <c r="Q1270" s="12" t="s">
        <v>5588</v>
      </c>
      <c r="R1270" s="8" t="s">
        <v>555</v>
      </c>
      <c r="S1270" s="7" t="s">
        <v>28</v>
      </c>
      <c r="T1270" s="6"/>
      <c r="U1270" s="8"/>
    </row>
    <row r="1271" spans="1:24" ht="13" customHeight="1">
      <c r="A1271" s="8" t="s">
        <v>5596</v>
      </c>
      <c r="B1271" s="16">
        <v>84</v>
      </c>
      <c r="C1271" s="8" t="s">
        <v>20</v>
      </c>
      <c r="D1271" s="8" t="s">
        <v>37</v>
      </c>
      <c r="E1271" s="8" t="s">
        <v>5597</v>
      </c>
      <c r="F1271" s="17">
        <v>41982</v>
      </c>
      <c r="G1271" s="8" t="s">
        <v>5598</v>
      </c>
      <c r="H1271" s="8" t="s">
        <v>5592</v>
      </c>
      <c r="I1271" s="8" t="s">
        <v>217</v>
      </c>
      <c r="J1271" s="16" t="s">
        <v>5593</v>
      </c>
      <c r="K1271" s="2" t="s">
        <v>1259</v>
      </c>
      <c r="L1271" s="8" t="s">
        <v>5594</v>
      </c>
      <c r="M1271" s="8" t="s">
        <v>27</v>
      </c>
      <c r="N1271" s="2" t="s">
        <v>5599</v>
      </c>
      <c r="O1271" s="8" t="s">
        <v>550</v>
      </c>
      <c r="P1271" s="8" t="s">
        <v>401</v>
      </c>
      <c r="Q1271" s="12" t="s">
        <v>5600</v>
      </c>
      <c r="R1271" s="8" t="s">
        <v>100</v>
      </c>
      <c r="S1271" s="7" t="s">
        <v>28</v>
      </c>
      <c r="T1271" s="6"/>
      <c r="U1271" s="8"/>
    </row>
    <row r="1272" spans="1:24" ht="13" customHeight="1">
      <c r="A1272" s="8" t="s">
        <v>5589</v>
      </c>
      <c r="B1272" s="16">
        <v>84</v>
      </c>
      <c r="C1272" s="8" t="s">
        <v>20</v>
      </c>
      <c r="D1272" s="8" t="s">
        <v>37</v>
      </c>
      <c r="E1272" s="8" t="s">
        <v>5590</v>
      </c>
      <c r="F1272" s="17">
        <v>41982</v>
      </c>
      <c r="G1272" s="8" t="s">
        <v>5591</v>
      </c>
      <c r="H1272" s="8" t="s">
        <v>5592</v>
      </c>
      <c r="I1272" s="8" t="s">
        <v>217</v>
      </c>
      <c r="J1272" s="16" t="s">
        <v>5593</v>
      </c>
      <c r="K1272" s="2" t="s">
        <v>1259</v>
      </c>
      <c r="L1272" s="8" t="s">
        <v>5594</v>
      </c>
      <c r="M1272" s="8" t="s">
        <v>27</v>
      </c>
      <c r="N1272" s="2" t="s">
        <v>5595</v>
      </c>
      <c r="O1272" s="8" t="s">
        <v>550</v>
      </c>
      <c r="P1272" s="8" t="s">
        <v>401</v>
      </c>
      <c r="Q1272" s="12" t="str">
        <f>HYPERLINK("http://abc7chicago.com/news/armed-man-84-fatally-shot-by-police-in-lake-station-ind/428887/","http://abc7chicago.com/news/armed-man-84-fatally-shot-by-police-in-lake-station-ind/428887/")</f>
        <v>http://abc7chicago.com/news/armed-man-84-fatally-shot-by-police-in-lake-station-ind/428887/</v>
      </c>
      <c r="R1272" s="8" t="s">
        <v>29</v>
      </c>
      <c r="S1272" s="7" t="s">
        <v>28</v>
      </c>
      <c r="T1272" s="6"/>
      <c r="U1272" s="8"/>
    </row>
    <row r="1273" spans="1:24" ht="13" customHeight="1">
      <c r="A1273" s="8" t="s">
        <v>5601</v>
      </c>
      <c r="B1273" s="16">
        <v>31</v>
      </c>
      <c r="C1273" s="8" t="s">
        <v>20</v>
      </c>
      <c r="D1273" s="8" t="s">
        <v>85</v>
      </c>
      <c r="F1273" s="17">
        <v>41981</v>
      </c>
      <c r="G1273" s="8" t="s">
        <v>5602</v>
      </c>
      <c r="H1273" s="8" t="s">
        <v>575</v>
      </c>
      <c r="I1273" s="8" t="s">
        <v>73</v>
      </c>
      <c r="J1273" s="16" t="s">
        <v>5603</v>
      </c>
      <c r="K1273" s="2" t="s">
        <v>576</v>
      </c>
      <c r="L1273" s="8" t="s">
        <v>585</v>
      </c>
      <c r="M1273" s="8" t="s">
        <v>27</v>
      </c>
      <c r="N1273" s="2" t="s">
        <v>5604</v>
      </c>
      <c r="P1273" s="8" t="s">
        <v>401</v>
      </c>
      <c r="Q1273" s="12" t="s">
        <v>5605</v>
      </c>
      <c r="R1273" s="8" t="s">
        <v>100</v>
      </c>
      <c r="S1273" s="7" t="s">
        <v>28</v>
      </c>
      <c r="T1273" s="6"/>
      <c r="U1273" s="8"/>
    </row>
    <row r="1274" spans="1:24" ht="13" customHeight="1">
      <c r="A1274" s="8" t="s">
        <v>5606</v>
      </c>
      <c r="B1274" s="16">
        <v>27</v>
      </c>
      <c r="C1274" s="8" t="s">
        <v>20</v>
      </c>
      <c r="D1274" s="8" t="s">
        <v>48</v>
      </c>
      <c r="E1274" s="8" t="s">
        <v>5607</v>
      </c>
      <c r="F1274" s="17">
        <v>41981</v>
      </c>
      <c r="G1274" s="8" t="s">
        <v>5608</v>
      </c>
      <c r="H1274" s="8" t="s">
        <v>5609</v>
      </c>
      <c r="I1274" s="8" t="s">
        <v>57</v>
      </c>
      <c r="J1274" s="16">
        <v>48917</v>
      </c>
      <c r="K1274" s="2" t="s">
        <v>5610</v>
      </c>
      <c r="L1274" s="8" t="s">
        <v>5611</v>
      </c>
      <c r="M1274" s="8" t="s">
        <v>27</v>
      </c>
      <c r="N1274" s="2" t="s">
        <v>5612</v>
      </c>
      <c r="P1274" s="8" t="s">
        <v>401</v>
      </c>
      <c r="Q1274" s="12" t="str">
        <f>HYPERLINK("http://www.lansingstatejournal.com/story/news/local/2014/12/08/shooting-lansing-township/20101031/","http://www.lansingstatejournal.com/story/news/local/2014/12/08/shooting-lansing-township/20101031/")</f>
        <v>http://www.lansingstatejournal.com/story/news/local/2014/12/08/shooting-lansing-township/20101031/</v>
      </c>
      <c r="S1274" s="7" t="s">
        <v>28</v>
      </c>
      <c r="T1274" s="6"/>
      <c r="U1274" s="8"/>
    </row>
    <row r="1275" spans="1:24" ht="13" customHeight="1">
      <c r="A1275" s="8" t="s">
        <v>5613</v>
      </c>
      <c r="B1275" s="16">
        <v>39</v>
      </c>
      <c r="C1275" s="8" t="s">
        <v>20</v>
      </c>
      <c r="D1275" s="8" t="s">
        <v>85</v>
      </c>
      <c r="E1275" s="8" t="s">
        <v>5614</v>
      </c>
      <c r="F1275" s="17">
        <v>41980</v>
      </c>
      <c r="G1275" s="8" t="s">
        <v>5615</v>
      </c>
      <c r="H1275" s="8" t="s">
        <v>1097</v>
      </c>
      <c r="I1275" s="8" t="s">
        <v>395</v>
      </c>
      <c r="J1275" s="16" t="s">
        <v>5616</v>
      </c>
      <c r="K1275" s="2" t="s">
        <v>1098</v>
      </c>
      <c r="L1275" s="8" t="s">
        <v>1099</v>
      </c>
      <c r="M1275" s="8" t="s">
        <v>27</v>
      </c>
      <c r="N1275" s="2" t="s">
        <v>5617</v>
      </c>
      <c r="O1275" s="8" t="s">
        <v>400</v>
      </c>
      <c r="P1275" s="8" t="s">
        <v>401</v>
      </c>
      <c r="Q1275" s="12" t="s">
        <v>5618</v>
      </c>
      <c r="R1275" s="8" t="s">
        <v>100</v>
      </c>
      <c r="S1275" s="7" t="s">
        <v>28</v>
      </c>
      <c r="T1275" s="6"/>
      <c r="U1275" s="8"/>
    </row>
    <row r="1276" spans="1:24" ht="13" customHeight="1">
      <c r="A1276" s="8" t="s">
        <v>5628</v>
      </c>
      <c r="B1276" s="16">
        <v>27</v>
      </c>
      <c r="C1276" s="8" t="s">
        <v>114</v>
      </c>
      <c r="D1276" s="8" t="s">
        <v>48</v>
      </c>
      <c r="F1276" s="17">
        <v>41980</v>
      </c>
      <c r="G1276" s="8" t="s">
        <v>5629</v>
      </c>
      <c r="H1276" s="8" t="s">
        <v>603</v>
      </c>
      <c r="I1276" s="8" t="s">
        <v>45</v>
      </c>
      <c r="J1276" s="16" t="s">
        <v>5630</v>
      </c>
      <c r="K1276" s="2" t="s">
        <v>604</v>
      </c>
      <c r="L1276" s="8" t="s">
        <v>5631</v>
      </c>
      <c r="M1276" s="8" t="s">
        <v>27</v>
      </c>
      <c r="N1276" s="2" t="s">
        <v>5632</v>
      </c>
      <c r="O1276" s="8" t="s">
        <v>1013</v>
      </c>
      <c r="P1276" s="8" t="s">
        <v>401</v>
      </c>
      <c r="Q1276" s="12" t="s">
        <v>5633</v>
      </c>
      <c r="R1276" s="8" t="s">
        <v>100</v>
      </c>
      <c r="S1276" s="7" t="s">
        <v>28</v>
      </c>
      <c r="T1276" s="6"/>
      <c r="U1276" s="8"/>
    </row>
    <row r="1277" spans="1:24" ht="13" customHeight="1">
      <c r="A1277" s="8" t="s">
        <v>5619</v>
      </c>
      <c r="B1277" s="16">
        <v>32</v>
      </c>
      <c r="C1277" s="8" t="s">
        <v>20</v>
      </c>
      <c r="D1277" s="8" t="s">
        <v>48</v>
      </c>
      <c r="E1277" s="8" t="s">
        <v>5620</v>
      </c>
      <c r="F1277" s="17">
        <v>41980</v>
      </c>
      <c r="G1277" s="8" t="s">
        <v>5621</v>
      </c>
      <c r="H1277" s="8" t="s">
        <v>5622</v>
      </c>
      <c r="I1277" s="8" t="s">
        <v>62</v>
      </c>
      <c r="J1277" s="16" t="s">
        <v>5623</v>
      </c>
      <c r="K1277" s="2" t="s">
        <v>5624</v>
      </c>
      <c r="L1277" s="8" t="s">
        <v>5625</v>
      </c>
      <c r="M1277" s="8" t="s">
        <v>27</v>
      </c>
      <c r="N1277" s="2" t="s">
        <v>5626</v>
      </c>
      <c r="O1277" s="8" t="s">
        <v>1013</v>
      </c>
      <c r="P1277" s="8" t="s">
        <v>401</v>
      </c>
      <c r="Q1277" s="12" t="s">
        <v>5627</v>
      </c>
      <c r="R1277" s="8" t="s">
        <v>100</v>
      </c>
      <c r="S1277" s="7" t="s">
        <v>28</v>
      </c>
      <c r="T1277" s="6"/>
      <c r="U1277" s="8"/>
      <c r="V1277" s="8"/>
      <c r="W1277" s="8"/>
      <c r="X1277" s="8"/>
    </row>
    <row r="1278" spans="1:24" ht="13" customHeight="1">
      <c r="A1278" s="8" t="s">
        <v>5634</v>
      </c>
      <c r="B1278" s="16">
        <v>45</v>
      </c>
      <c r="C1278" s="8" t="s">
        <v>20</v>
      </c>
      <c r="D1278" s="8" t="s">
        <v>30</v>
      </c>
      <c r="F1278" s="17">
        <v>41980</v>
      </c>
      <c r="G1278" s="8" t="s">
        <v>5635</v>
      </c>
      <c r="H1278" s="8" t="s">
        <v>87</v>
      </c>
      <c r="I1278" s="8" t="s">
        <v>44</v>
      </c>
      <c r="J1278" s="16">
        <v>60655</v>
      </c>
      <c r="K1278" s="2" t="s">
        <v>88</v>
      </c>
      <c r="L1278" s="8" t="s">
        <v>89</v>
      </c>
      <c r="M1278" s="8" t="s">
        <v>27</v>
      </c>
      <c r="N1278" s="2" t="s">
        <v>5636</v>
      </c>
      <c r="P1278" s="8" t="s">
        <v>401</v>
      </c>
      <c r="Q1278" s="12" t="s">
        <v>5637</v>
      </c>
      <c r="S1278" s="7" t="s">
        <v>28</v>
      </c>
      <c r="T1278" s="6"/>
      <c r="U1278" s="8"/>
    </row>
    <row r="1279" spans="1:24" ht="13" customHeight="1">
      <c r="A1279" s="8" t="s">
        <v>5642</v>
      </c>
      <c r="B1279" s="16">
        <v>29</v>
      </c>
      <c r="C1279" s="8" t="s">
        <v>20</v>
      </c>
      <c r="D1279" s="8" t="s">
        <v>37</v>
      </c>
      <c r="E1279" s="8" t="s">
        <v>5643</v>
      </c>
      <c r="F1279" s="17">
        <v>41980</v>
      </c>
      <c r="G1279" s="8" t="s">
        <v>5644</v>
      </c>
      <c r="H1279" s="8" t="s">
        <v>5645</v>
      </c>
      <c r="I1279" s="8" t="s">
        <v>366</v>
      </c>
      <c r="J1279" s="16" t="s">
        <v>5646</v>
      </c>
      <c r="K1279" s="2" t="s">
        <v>5647</v>
      </c>
      <c r="L1279" s="8" t="s">
        <v>5648</v>
      </c>
      <c r="M1279" s="8" t="s">
        <v>27</v>
      </c>
      <c r="N1279" s="2" t="s">
        <v>5649</v>
      </c>
      <c r="O1279" s="8" t="s">
        <v>400</v>
      </c>
      <c r="P1279" s="8" t="s">
        <v>401</v>
      </c>
      <c r="Q1279" s="12" t="s">
        <v>5650</v>
      </c>
      <c r="R1279" s="8" t="s">
        <v>29</v>
      </c>
      <c r="S1279" s="7" t="s">
        <v>28</v>
      </c>
      <c r="T1279" s="6"/>
      <c r="U1279" s="8"/>
    </row>
    <row r="1280" spans="1:24" ht="13" customHeight="1">
      <c r="A1280" s="8" t="s">
        <v>5638</v>
      </c>
      <c r="B1280" s="16">
        <v>31</v>
      </c>
      <c r="C1280" s="8" t="s">
        <v>20</v>
      </c>
      <c r="D1280" s="8" t="s">
        <v>37</v>
      </c>
      <c r="E1280" s="8" t="s">
        <v>5639</v>
      </c>
      <c r="F1280" s="17">
        <v>41980</v>
      </c>
      <c r="G1280" s="8" t="s">
        <v>5640</v>
      </c>
      <c r="H1280" s="8" t="s">
        <v>657</v>
      </c>
      <c r="I1280" s="8" t="s">
        <v>269</v>
      </c>
      <c r="J1280" s="16">
        <v>89103</v>
      </c>
      <c r="K1280" s="2" t="s">
        <v>570</v>
      </c>
      <c r="L1280" s="8" t="s">
        <v>571</v>
      </c>
      <c r="M1280" s="8" t="s">
        <v>27</v>
      </c>
      <c r="N1280" s="2" t="s">
        <v>5641</v>
      </c>
      <c r="P1280" s="8" t="s">
        <v>401</v>
      </c>
      <c r="Q1280" s="12" t="str">
        <f>HYPERLINK("http://www.mynews3.com/content/specials/crimetracker/story/One-dead-in-shooting-inside-Rio-casino-early-today/cN46O5Q68ky6b5gwzcAquQ.cspx","http://www.mynews3.com/content/specials/crimetracker/story/One-dead-in-shooting-inside-Rio-casino-early-today/cN46O5Q68ky6b5gwzcAquQ.cspx")</f>
        <v>http://www.mynews3.com/content/specials/crimetracker/story/One-dead-in-shooting-inside-Rio-casino-early-today/cN46O5Q68ky6b5gwzcAquQ.cspx</v>
      </c>
      <c r="S1280" s="7" t="s">
        <v>28</v>
      </c>
      <c r="T1280" s="6"/>
      <c r="U1280" s="8"/>
    </row>
    <row r="1281" spans="1:39" ht="13" customHeight="1">
      <c r="A1281" s="8" t="s">
        <v>5651</v>
      </c>
      <c r="B1281" s="16">
        <v>21</v>
      </c>
      <c r="C1281" s="8" t="s">
        <v>20</v>
      </c>
      <c r="D1281" s="8" t="s">
        <v>48</v>
      </c>
      <c r="E1281" s="8" t="s">
        <v>5652</v>
      </c>
      <c r="F1281" s="17">
        <v>41978</v>
      </c>
      <c r="G1281" s="8" t="s">
        <v>5653</v>
      </c>
      <c r="H1281" s="8" t="s">
        <v>213</v>
      </c>
      <c r="I1281" s="8" t="s">
        <v>62</v>
      </c>
      <c r="J1281" s="16" t="s">
        <v>5654</v>
      </c>
      <c r="K1281" s="2" t="s">
        <v>161</v>
      </c>
      <c r="L1281" s="8" t="s">
        <v>456</v>
      </c>
      <c r="M1281" s="8" t="s">
        <v>379</v>
      </c>
      <c r="N1281" s="2" t="s">
        <v>5655</v>
      </c>
      <c r="O1281" s="8" t="s">
        <v>400</v>
      </c>
      <c r="P1281" s="8" t="s">
        <v>401</v>
      </c>
      <c r="Q1281" s="12" t="s">
        <v>5656</v>
      </c>
      <c r="R1281" s="8" t="s">
        <v>100</v>
      </c>
      <c r="S1281" s="7" t="s">
        <v>18</v>
      </c>
      <c r="T1281" s="6"/>
      <c r="U1281" s="8"/>
    </row>
    <row r="1282" spans="1:39" ht="13" customHeight="1">
      <c r="A1282" s="8" t="s">
        <v>5657</v>
      </c>
      <c r="B1282" s="16">
        <v>42</v>
      </c>
      <c r="C1282" s="8" t="s">
        <v>20</v>
      </c>
      <c r="D1282" s="8" t="s">
        <v>37</v>
      </c>
      <c r="F1282" s="17">
        <v>41978</v>
      </c>
      <c r="G1282" s="8" t="s">
        <v>5658</v>
      </c>
      <c r="H1282" s="8" t="s">
        <v>98</v>
      </c>
      <c r="I1282" s="8" t="s">
        <v>45</v>
      </c>
      <c r="J1282" s="16">
        <v>90028</v>
      </c>
      <c r="K1282" s="2" t="s">
        <v>98</v>
      </c>
      <c r="L1282" s="8" t="s">
        <v>99</v>
      </c>
      <c r="M1282" s="8" t="s">
        <v>27</v>
      </c>
      <c r="N1282" s="2" t="s">
        <v>5659</v>
      </c>
      <c r="P1282" s="8" t="s">
        <v>401</v>
      </c>
      <c r="Q1282" s="12" t="str">
        <f>HYPERLINK("http://ktla.com/2014/12/05/armed-man-shot-by-officers-near-hollywood-and-highland-lapd/","http://ktla.com/2014/12/05/armed-man-shot-by-officers-near-hollywood-and-highland-lapd/")</f>
        <v>http://ktla.com/2014/12/05/armed-man-shot-by-officers-near-hollywood-and-highland-lapd/</v>
      </c>
      <c r="S1282" s="7" t="s">
        <v>28</v>
      </c>
      <c r="T1282" s="6"/>
      <c r="U1282" s="8"/>
    </row>
    <row r="1283" spans="1:39" ht="13" customHeight="1">
      <c r="A1283" s="8" t="s">
        <v>5668</v>
      </c>
      <c r="B1283" s="16">
        <v>61</v>
      </c>
      <c r="C1283" s="8" t="s">
        <v>20</v>
      </c>
      <c r="D1283" s="8" t="s">
        <v>37</v>
      </c>
      <c r="E1283" s="8" t="str">
        <f>HYPERLINK("http://wistv.images.worldnow.com/images/6145354_G.jpg","http://wistv.images.worldnow.com/images/6145354_G.jpg")</f>
        <v>http://wistv.images.worldnow.com/images/6145354_G.jpg</v>
      </c>
      <c r="F1283" s="17">
        <v>41978</v>
      </c>
      <c r="G1283" s="8" t="s">
        <v>5669</v>
      </c>
      <c r="H1283" s="8" t="s">
        <v>1509</v>
      </c>
      <c r="I1283" s="8" t="s">
        <v>32</v>
      </c>
      <c r="J1283" s="16">
        <v>29020</v>
      </c>
      <c r="K1283" s="2" t="s">
        <v>5670</v>
      </c>
      <c r="L1283" s="8" t="s">
        <v>5671</v>
      </c>
      <c r="M1283" s="8" t="s">
        <v>27</v>
      </c>
      <c r="N1283" s="2" t="s">
        <v>5672</v>
      </c>
      <c r="O1283" s="8" t="s">
        <v>1013</v>
      </c>
      <c r="P1283" s="8" t="s">
        <v>401</v>
      </c>
      <c r="Q1283" s="12" t="str">
        <f>HYPERLINK("http://www.wltx.com/story/news/local/2014/12/05/sled-investigating-officer-involved-shooting/19980013/","http://www.wltx.com/story/news/local/2014/12/05/sled-investigating-officer-involved-shooting/19980013/")</f>
        <v>http://www.wltx.com/story/news/local/2014/12/05/sled-investigating-officer-involved-shooting/19980013/</v>
      </c>
      <c r="R1283" s="8" t="s">
        <v>100</v>
      </c>
      <c r="S1283" s="7" t="s">
        <v>28</v>
      </c>
      <c r="T1283" s="6"/>
      <c r="U1283" s="8"/>
    </row>
    <row r="1284" spans="1:39" ht="13" customHeight="1">
      <c r="A1284" s="8" t="s">
        <v>5660</v>
      </c>
      <c r="B1284" s="16">
        <v>58</v>
      </c>
      <c r="C1284" s="8" t="s">
        <v>20</v>
      </c>
      <c r="D1284" s="8" t="s">
        <v>37</v>
      </c>
      <c r="F1284" s="17">
        <v>41978</v>
      </c>
      <c r="G1284" s="8" t="s">
        <v>5661</v>
      </c>
      <c r="H1284" s="8" t="s">
        <v>5662</v>
      </c>
      <c r="I1284" s="8" t="s">
        <v>173</v>
      </c>
      <c r="J1284" s="16" t="s">
        <v>5663</v>
      </c>
      <c r="K1284" s="2" t="s">
        <v>2577</v>
      </c>
      <c r="L1284" s="8" t="s">
        <v>5664</v>
      </c>
      <c r="M1284" s="8" t="s">
        <v>5665</v>
      </c>
      <c r="N1284" s="2" t="s">
        <v>5666</v>
      </c>
      <c r="P1284" s="8" t="s">
        <v>401</v>
      </c>
      <c r="Q1284" s="12" t="s">
        <v>5667</v>
      </c>
      <c r="R1284" s="8" t="s">
        <v>967</v>
      </c>
      <c r="S1284" s="7" t="s">
        <v>18</v>
      </c>
      <c r="T1284" s="6"/>
      <c r="U1284" s="8"/>
    </row>
    <row r="1285" spans="1:39" ht="13" customHeight="1">
      <c r="A1285" s="8" t="s">
        <v>5673</v>
      </c>
      <c r="B1285" s="16">
        <v>32</v>
      </c>
      <c r="C1285" s="8" t="s">
        <v>20</v>
      </c>
      <c r="D1285" s="8" t="s">
        <v>48</v>
      </c>
      <c r="E1285" s="8" t="s">
        <v>5674</v>
      </c>
      <c r="F1285" s="17">
        <v>41977</v>
      </c>
      <c r="G1285" s="8" t="s">
        <v>5675</v>
      </c>
      <c r="H1285" s="8" t="s">
        <v>1063</v>
      </c>
      <c r="I1285" s="8" t="s">
        <v>62</v>
      </c>
      <c r="J1285" s="16" t="s">
        <v>5676</v>
      </c>
      <c r="K1285" s="2" t="s">
        <v>1064</v>
      </c>
      <c r="L1285" s="8" t="s">
        <v>1065</v>
      </c>
      <c r="M1285" s="8" t="s">
        <v>27</v>
      </c>
      <c r="N1285" s="2" t="s">
        <v>5677</v>
      </c>
      <c r="O1285" s="8" t="s">
        <v>1013</v>
      </c>
      <c r="P1285" s="8" t="s">
        <v>401</v>
      </c>
      <c r="Q1285" s="12" t="s">
        <v>5678</v>
      </c>
      <c r="R1285" s="8" t="s">
        <v>100</v>
      </c>
      <c r="S1285" s="7" t="s">
        <v>28</v>
      </c>
      <c r="T1285" s="6"/>
      <c r="U1285" s="8"/>
    </row>
    <row r="1286" spans="1:39" ht="13" customHeight="1">
      <c r="A1286" s="8" t="s">
        <v>5679</v>
      </c>
      <c r="B1286" s="16">
        <v>51</v>
      </c>
      <c r="C1286" s="8" t="s">
        <v>20</v>
      </c>
      <c r="D1286" s="8" t="s">
        <v>37</v>
      </c>
      <c r="E1286" s="8" t="s">
        <v>5680</v>
      </c>
      <c r="F1286" s="17">
        <v>41977</v>
      </c>
      <c r="G1286" s="8" t="s">
        <v>5681</v>
      </c>
      <c r="H1286" s="8" t="s">
        <v>5682</v>
      </c>
      <c r="I1286" s="8" t="s">
        <v>25</v>
      </c>
      <c r="J1286" s="16" t="s">
        <v>5683</v>
      </c>
      <c r="K1286" s="2" t="s">
        <v>5684</v>
      </c>
      <c r="L1286" s="8" t="s">
        <v>5685</v>
      </c>
      <c r="M1286" s="8" t="s">
        <v>27</v>
      </c>
      <c r="N1286" s="2" t="s">
        <v>5686</v>
      </c>
      <c r="O1286" s="8" t="s">
        <v>5687</v>
      </c>
      <c r="P1286" s="8" t="s">
        <v>1162</v>
      </c>
      <c r="Q1286" s="12" t="str">
        <f>HYPERLINK("http://www.thenewsstar.com/story/news/local/2014/12/23/officer-involved-shooting-named-separate-case/20814039/","http://www.thenewsstar.com/story/news/local/2014/12/23/officer-involved-shooting-named-separate-case/20814039/")</f>
        <v>http://www.thenewsstar.com/story/news/local/2014/12/23/officer-involved-shooting-named-separate-case/20814039/</v>
      </c>
      <c r="R1286" s="8" t="s">
        <v>29</v>
      </c>
      <c r="S1286" s="7" t="s">
        <v>18</v>
      </c>
      <c r="T1286" s="6"/>
      <c r="U1286" s="8"/>
    </row>
    <row r="1287" spans="1:39" ht="13" customHeight="1">
      <c r="A1287" s="8" t="s">
        <v>5696</v>
      </c>
      <c r="B1287" s="16">
        <v>33</v>
      </c>
      <c r="C1287" s="8" t="s">
        <v>20</v>
      </c>
      <c r="D1287" s="8" t="s">
        <v>37</v>
      </c>
      <c r="E1287" s="8" t="s">
        <v>5697</v>
      </c>
      <c r="F1287" s="17">
        <v>41977</v>
      </c>
      <c r="G1287" s="8" t="s">
        <v>5698</v>
      </c>
      <c r="H1287" s="8" t="s">
        <v>397</v>
      </c>
      <c r="I1287" s="8" t="s">
        <v>395</v>
      </c>
      <c r="J1287" s="16">
        <v>74738</v>
      </c>
      <c r="K1287" s="2" t="s">
        <v>1148</v>
      </c>
      <c r="L1287" s="8" t="s">
        <v>5699</v>
      </c>
      <c r="M1287" s="8" t="s">
        <v>27</v>
      </c>
      <c r="N1287" s="2" t="s">
        <v>5700</v>
      </c>
      <c r="P1287" s="8" t="s">
        <v>401</v>
      </c>
      <c r="Q1287" s="12" t="s">
        <v>5701</v>
      </c>
      <c r="S1287" s="7" t="s">
        <v>28</v>
      </c>
      <c r="T1287" s="6"/>
      <c r="U1287" s="8"/>
    </row>
    <row r="1288" spans="1:39" ht="13" customHeight="1">
      <c r="A1288" s="8" t="s">
        <v>5688</v>
      </c>
      <c r="B1288" s="16">
        <v>55</v>
      </c>
      <c r="C1288" s="8" t="s">
        <v>114</v>
      </c>
      <c r="D1288" s="8" t="s">
        <v>37</v>
      </c>
      <c r="E1288" s="8" t="s">
        <v>5689</v>
      </c>
      <c r="F1288" s="17">
        <v>41977</v>
      </c>
      <c r="G1288" s="8" t="s">
        <v>5690</v>
      </c>
      <c r="H1288" s="8" t="s">
        <v>5691</v>
      </c>
      <c r="I1288" s="8" t="s">
        <v>4399</v>
      </c>
      <c r="J1288" s="16" t="s">
        <v>5692</v>
      </c>
      <c r="K1288" s="2" t="s">
        <v>1608</v>
      </c>
      <c r="L1288" s="8" t="s">
        <v>5693</v>
      </c>
      <c r="M1288" s="8" t="s">
        <v>27</v>
      </c>
      <c r="N1288" s="2" t="s">
        <v>5694</v>
      </c>
      <c r="O1288" s="8" t="s">
        <v>400</v>
      </c>
      <c r="P1288" s="8" t="s">
        <v>401</v>
      </c>
      <c r="Q1288" s="12" t="s">
        <v>5695</v>
      </c>
      <c r="R1288" s="8" t="s">
        <v>100</v>
      </c>
      <c r="S1288" s="7" t="s">
        <v>28</v>
      </c>
      <c r="T1288" s="6"/>
      <c r="U1288" s="8"/>
    </row>
    <row r="1289" spans="1:39" ht="13" customHeight="1">
      <c r="A1289" s="8" t="s">
        <v>5702</v>
      </c>
      <c r="B1289" s="16">
        <v>68</v>
      </c>
      <c r="C1289" s="8" t="s">
        <v>20</v>
      </c>
      <c r="D1289" s="8" t="s">
        <v>85</v>
      </c>
      <c r="F1289" s="17">
        <v>41976</v>
      </c>
      <c r="G1289" s="8" t="s">
        <v>5703</v>
      </c>
      <c r="H1289" s="8" t="s">
        <v>98</v>
      </c>
      <c r="I1289" s="8" t="s">
        <v>45</v>
      </c>
      <c r="J1289" s="16">
        <v>90014</v>
      </c>
      <c r="K1289" s="2" t="s">
        <v>98</v>
      </c>
      <c r="L1289" s="8" t="s">
        <v>99</v>
      </c>
      <c r="M1289" s="8" t="s">
        <v>27</v>
      </c>
      <c r="N1289" s="2" t="s">
        <v>5704</v>
      </c>
      <c r="P1289" s="8" t="s">
        <v>401</v>
      </c>
      <c r="Q1289" s="12" t="s">
        <v>5705</v>
      </c>
      <c r="R1289" s="8" t="s">
        <v>29</v>
      </c>
      <c r="S1289" s="7" t="s">
        <v>28</v>
      </c>
      <c r="T1289" s="6"/>
      <c r="U1289" s="8"/>
    </row>
    <row r="1290" spans="1:39" ht="13" customHeight="1">
      <c r="A1290" s="8" t="s">
        <v>5706</v>
      </c>
      <c r="B1290" s="16">
        <v>55</v>
      </c>
      <c r="C1290" s="8" t="s">
        <v>20</v>
      </c>
      <c r="D1290" s="8" t="s">
        <v>30</v>
      </c>
      <c r="F1290" s="17">
        <v>41976</v>
      </c>
      <c r="G1290" s="8" t="s">
        <v>5707</v>
      </c>
      <c r="H1290" s="8" t="s">
        <v>929</v>
      </c>
      <c r="I1290" s="8" t="s">
        <v>73</v>
      </c>
      <c r="J1290" s="16">
        <v>76116</v>
      </c>
      <c r="K1290" s="2" t="s">
        <v>74</v>
      </c>
      <c r="L1290" s="8" t="s">
        <v>930</v>
      </c>
      <c r="M1290" s="8" t="s">
        <v>27</v>
      </c>
      <c r="N1290" s="2" t="s">
        <v>5708</v>
      </c>
      <c r="P1290" s="8" t="s">
        <v>401</v>
      </c>
      <c r="Q1290" s="12" t="str">
        <f>HYPERLINK("http://www.star-telegram.com/2014/12/03/6335890/fort-worth-police-fatally-shoot.html?rh=1","http://www.star-telegram.com/2014/12/03/6335890/fort-worth-police-fatally-shoot.html?rh=1")</f>
        <v>http://www.star-telegram.com/2014/12/03/6335890/fort-worth-police-fatally-shoot.html?rh=1</v>
      </c>
      <c r="S1290" s="7" t="s">
        <v>28</v>
      </c>
      <c r="T1290" s="6"/>
      <c r="U1290" s="8"/>
    </row>
    <row r="1291" spans="1:39" ht="13" customHeight="1">
      <c r="A1291" s="8" t="s">
        <v>5709</v>
      </c>
      <c r="B1291" s="16">
        <v>24</v>
      </c>
      <c r="C1291" s="8" t="s">
        <v>20</v>
      </c>
      <c r="D1291" s="8" t="s">
        <v>85</v>
      </c>
      <c r="E1291" s="8" t="str">
        <f>HYPERLINK("https://encrypted-tbn1.gstatic.com/images?q=tbn:ANd9GcReseSA89ykdECqZfgRZGCtXTy03nbwQN7mgVVimHD6HxveTuXMkCVC4Q","https://encrypted-tbn1.gstatic.com/images?q=tbn:ANd9GcReseSA89ykdECqZfgRZGCtXTy03nbwQN7mgVVimHD6HxveTuXMkCVC4Q")</f>
        <v>https://encrypted-tbn1.gstatic.com/images?q=tbn:ANd9GcReseSA89ykdECqZfgRZGCtXTy03nbwQN7mgVVimHD6HxveTuXMkCVC4Q</v>
      </c>
      <c r="F1291" s="17">
        <v>41975</v>
      </c>
      <c r="G1291" s="8" t="s">
        <v>5710</v>
      </c>
      <c r="H1291" s="8" t="s">
        <v>1097</v>
      </c>
      <c r="I1291" s="8" t="s">
        <v>395</v>
      </c>
      <c r="J1291" s="16">
        <v>73127</v>
      </c>
      <c r="K1291" s="2" t="s">
        <v>1098</v>
      </c>
      <c r="L1291" s="8" t="s">
        <v>1099</v>
      </c>
      <c r="M1291" s="8" t="s">
        <v>27</v>
      </c>
      <c r="N1291" s="2" t="s">
        <v>5711</v>
      </c>
      <c r="P1291" s="8" t="s">
        <v>401</v>
      </c>
      <c r="Q1291" s="12" t="str">
        <f>HYPERLINK("http://newsok.com/officer-involved-shooting-reported-in-northwest-oklahoma-city/article/5372084","http://newsok.com/officer-involved-shooting-reported-in-northwest-oklahoma-city/article/5372084")</f>
        <v>http://newsok.com/officer-involved-shooting-reported-in-northwest-oklahoma-city/article/5372084</v>
      </c>
      <c r="R1291" s="8" t="s">
        <v>100</v>
      </c>
      <c r="S1291" s="7" t="s">
        <v>28</v>
      </c>
      <c r="T1291" s="6"/>
      <c r="U1291" s="8"/>
    </row>
    <row r="1292" spans="1:39" ht="13" customHeight="1">
      <c r="A1292" s="8" t="s">
        <v>5712</v>
      </c>
      <c r="B1292" s="16">
        <v>34</v>
      </c>
      <c r="C1292" s="8" t="s">
        <v>20</v>
      </c>
      <c r="D1292" s="8" t="s">
        <v>85</v>
      </c>
      <c r="E1292" s="8" t="s">
        <v>5713</v>
      </c>
      <c r="F1292" s="17">
        <v>41975</v>
      </c>
      <c r="G1292" s="8" t="s">
        <v>5714</v>
      </c>
      <c r="H1292" s="8" t="s">
        <v>634</v>
      </c>
      <c r="I1292" s="8" t="s">
        <v>123</v>
      </c>
      <c r="J1292" s="16" t="s">
        <v>5715</v>
      </c>
      <c r="K1292" s="2" t="s">
        <v>635</v>
      </c>
      <c r="L1292" s="8" t="s">
        <v>636</v>
      </c>
      <c r="M1292" s="8" t="s">
        <v>27</v>
      </c>
      <c r="N1292" s="2" t="s">
        <v>5716</v>
      </c>
      <c r="O1292" s="8" t="s">
        <v>400</v>
      </c>
      <c r="P1292" s="8" t="s">
        <v>401</v>
      </c>
      <c r="Q1292" s="12" t="s">
        <v>5717</v>
      </c>
      <c r="R1292" s="8" t="s">
        <v>100</v>
      </c>
      <c r="S1292" s="7" t="s">
        <v>18</v>
      </c>
      <c r="T1292" s="6"/>
      <c r="U1292" s="8"/>
      <c r="V1292" s="8"/>
      <c r="W1292" s="8"/>
      <c r="X1292" s="8"/>
    </row>
    <row r="1293" spans="1:39" ht="13" customHeight="1">
      <c r="A1293" s="8" t="s">
        <v>5718</v>
      </c>
      <c r="B1293" s="16">
        <v>50</v>
      </c>
      <c r="C1293" s="8" t="s">
        <v>20</v>
      </c>
      <c r="D1293" s="8" t="s">
        <v>37</v>
      </c>
      <c r="E1293" s="8" t="s">
        <v>5719</v>
      </c>
      <c r="F1293" s="17">
        <v>41975</v>
      </c>
      <c r="G1293" s="8" t="s">
        <v>5720</v>
      </c>
      <c r="H1293" s="8" t="s">
        <v>5721</v>
      </c>
      <c r="I1293" s="8" t="s">
        <v>366</v>
      </c>
      <c r="J1293" s="16">
        <v>28377</v>
      </c>
      <c r="K1293" s="2" t="s">
        <v>5722</v>
      </c>
      <c r="L1293" s="8" t="s">
        <v>5723</v>
      </c>
      <c r="M1293" s="8" t="s">
        <v>391</v>
      </c>
      <c r="N1293" s="2" t="s">
        <v>5724</v>
      </c>
      <c r="P1293" s="8" t="s">
        <v>401</v>
      </c>
      <c r="Q1293" s="12" t="s">
        <v>5725</v>
      </c>
      <c r="S1293" s="7" t="s">
        <v>18</v>
      </c>
      <c r="T1293" s="6"/>
      <c r="U1293" s="8"/>
    </row>
    <row r="1294" spans="1:39" ht="13" customHeight="1">
      <c r="A1294" s="8" t="s">
        <v>5726</v>
      </c>
      <c r="B1294" s="16">
        <v>16</v>
      </c>
      <c r="C1294" s="8" t="s">
        <v>20</v>
      </c>
      <c r="D1294" s="8" t="s">
        <v>21</v>
      </c>
      <c r="F1294" s="17">
        <v>41974</v>
      </c>
      <c r="G1294" s="8" t="s">
        <v>5727</v>
      </c>
      <c r="H1294" s="8" t="s">
        <v>726</v>
      </c>
      <c r="I1294" s="8" t="s">
        <v>73</v>
      </c>
      <c r="J1294" s="16">
        <v>77068</v>
      </c>
      <c r="K1294" s="2" t="s">
        <v>558</v>
      </c>
      <c r="L1294" s="8" t="s">
        <v>559</v>
      </c>
      <c r="M1294" s="8" t="s">
        <v>27</v>
      </c>
      <c r="N1294" s="2" t="s">
        <v>5728</v>
      </c>
      <c r="P1294" s="8" t="s">
        <v>401</v>
      </c>
      <c r="Q1294" s="12"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S1294" s="7" t="s">
        <v>28</v>
      </c>
      <c r="T1294" s="6"/>
      <c r="U1294" s="8"/>
      <c r="AI1294" s="8"/>
      <c r="AJ1294" s="8"/>
      <c r="AK1294" s="8"/>
      <c r="AL1294" s="8"/>
      <c r="AM1294" s="8"/>
    </row>
    <row r="1295" spans="1:39" ht="13" customHeight="1">
      <c r="A1295" s="8" t="s">
        <v>5729</v>
      </c>
      <c r="B1295" s="16">
        <v>49</v>
      </c>
      <c r="C1295" s="8" t="s">
        <v>20</v>
      </c>
      <c r="D1295" s="8" t="s">
        <v>48</v>
      </c>
      <c r="F1295" s="17">
        <v>41974</v>
      </c>
      <c r="G1295" s="8" t="s">
        <v>5730</v>
      </c>
      <c r="H1295" s="8" t="s">
        <v>1944</v>
      </c>
      <c r="I1295" s="8" t="s">
        <v>73</v>
      </c>
      <c r="J1295" s="16">
        <v>79701</v>
      </c>
      <c r="K1295" s="2" t="s">
        <v>1944</v>
      </c>
      <c r="L1295" s="8" t="s">
        <v>1946</v>
      </c>
      <c r="M1295" s="8" t="s">
        <v>27</v>
      </c>
      <c r="N1295" s="2" t="s">
        <v>5731</v>
      </c>
      <c r="P1295" s="8" t="s">
        <v>401</v>
      </c>
      <c r="Q1295" s="12" t="s">
        <v>5732</v>
      </c>
      <c r="S1295" s="7" t="s">
        <v>28</v>
      </c>
      <c r="T1295" s="6"/>
      <c r="U1295" s="8"/>
    </row>
    <row r="1296" spans="1:39" ht="13" customHeight="1">
      <c r="A1296" s="8" t="s">
        <v>5733</v>
      </c>
      <c r="B1296" s="16">
        <v>45</v>
      </c>
      <c r="C1296" s="8" t="s">
        <v>20</v>
      </c>
      <c r="D1296" s="8" t="s">
        <v>37</v>
      </c>
      <c r="E1296" s="8" t="s">
        <v>5734</v>
      </c>
      <c r="F1296" s="17">
        <v>41974</v>
      </c>
      <c r="G1296" s="8" t="s">
        <v>5735</v>
      </c>
      <c r="H1296" s="8" t="s">
        <v>252</v>
      </c>
      <c r="I1296" s="8" t="s">
        <v>32</v>
      </c>
      <c r="J1296" s="16" t="s">
        <v>5736</v>
      </c>
      <c r="K1296" s="2" t="s">
        <v>252</v>
      </c>
      <c r="L1296" s="8" t="s">
        <v>5737</v>
      </c>
      <c r="M1296" s="8" t="s">
        <v>27</v>
      </c>
      <c r="N1296" s="2" t="s">
        <v>5738</v>
      </c>
      <c r="O1296" s="8" t="s">
        <v>400</v>
      </c>
      <c r="P1296" s="8" t="s">
        <v>401</v>
      </c>
      <c r="Q1296" s="12" t="s">
        <v>5739</v>
      </c>
      <c r="R1296" s="8" t="s">
        <v>555</v>
      </c>
      <c r="S1296" s="7" t="s">
        <v>28</v>
      </c>
      <c r="T1296" s="6"/>
      <c r="U1296" s="8"/>
      <c r="Y1296" s="8"/>
      <c r="Z1296" s="8"/>
      <c r="AA1296" s="8"/>
      <c r="AB1296" s="8"/>
      <c r="AC1296" s="8"/>
      <c r="AD1296" s="8"/>
      <c r="AE1296" s="8"/>
      <c r="AF1296" s="8"/>
      <c r="AG1296" s="8"/>
      <c r="AH1296" s="8"/>
    </row>
    <row r="1297" spans="1:34" ht="13" customHeight="1">
      <c r="A1297" s="8" t="s">
        <v>5740</v>
      </c>
      <c r="B1297" s="16" t="s">
        <v>29</v>
      </c>
      <c r="C1297" s="8" t="s">
        <v>114</v>
      </c>
      <c r="D1297" s="8" t="s">
        <v>37</v>
      </c>
      <c r="E1297" s="8" t="s">
        <v>5741</v>
      </c>
      <c r="F1297" s="17">
        <v>41974</v>
      </c>
      <c r="G1297" s="8" t="s">
        <v>5742</v>
      </c>
      <c r="H1297" s="8" t="s">
        <v>5743</v>
      </c>
      <c r="I1297" s="8" t="s">
        <v>315</v>
      </c>
      <c r="J1297" s="16">
        <v>41030</v>
      </c>
      <c r="K1297" s="2" t="s">
        <v>397</v>
      </c>
      <c r="L1297" s="8" t="s">
        <v>3385</v>
      </c>
      <c r="M1297" s="8" t="s">
        <v>391</v>
      </c>
      <c r="N1297" s="2" t="s">
        <v>5744</v>
      </c>
      <c r="P1297" s="8" t="s">
        <v>401</v>
      </c>
      <c r="Q1297" s="12" t="s">
        <v>5745</v>
      </c>
      <c r="S1297" s="7" t="s">
        <v>28</v>
      </c>
      <c r="T1297" s="6"/>
      <c r="U1297" s="8"/>
    </row>
    <row r="1298" spans="1:34" ht="13" customHeight="1">
      <c r="A1298" s="8" t="s">
        <v>5746</v>
      </c>
      <c r="B1298" s="16">
        <v>19</v>
      </c>
      <c r="C1298" s="8" t="s">
        <v>20</v>
      </c>
      <c r="D1298" s="8" t="s">
        <v>48</v>
      </c>
      <c r="E1298" s="8" t="s">
        <v>5747</v>
      </c>
      <c r="F1298" s="17">
        <v>41973</v>
      </c>
      <c r="G1298" s="8" t="s">
        <v>5748</v>
      </c>
      <c r="H1298" s="8" t="s">
        <v>5749</v>
      </c>
      <c r="I1298" s="8" t="s">
        <v>45</v>
      </c>
      <c r="J1298" s="16" t="s">
        <v>5750</v>
      </c>
      <c r="K1298" s="2" t="s">
        <v>98</v>
      </c>
      <c r="L1298" s="8" t="s">
        <v>414</v>
      </c>
      <c r="M1298" s="8" t="s">
        <v>27</v>
      </c>
      <c r="N1298" s="2" t="s">
        <v>5751</v>
      </c>
      <c r="O1298" s="8" t="s">
        <v>1013</v>
      </c>
      <c r="P1298" s="8" t="s">
        <v>401</v>
      </c>
      <c r="Q1298" s="12" t="s">
        <v>5752</v>
      </c>
      <c r="R1298" s="8" t="s">
        <v>555</v>
      </c>
      <c r="S1298" s="7" t="s">
        <v>28</v>
      </c>
      <c r="T1298" s="6"/>
      <c r="U1298" s="8"/>
    </row>
    <row r="1299" spans="1:34" ht="13" customHeight="1">
      <c r="A1299" s="8" t="s">
        <v>5753</v>
      </c>
      <c r="B1299" s="16">
        <v>24</v>
      </c>
      <c r="C1299" s="8" t="s">
        <v>20</v>
      </c>
      <c r="D1299" s="8" t="s">
        <v>37</v>
      </c>
      <c r="E1299" s="8" t="s">
        <v>5754</v>
      </c>
      <c r="F1299" s="17">
        <v>41973</v>
      </c>
      <c r="G1299" s="8" t="s">
        <v>5755</v>
      </c>
      <c r="H1299" s="8" t="s">
        <v>5756</v>
      </c>
      <c r="I1299" s="8" t="s">
        <v>269</v>
      </c>
      <c r="J1299" s="16" t="s">
        <v>5757</v>
      </c>
      <c r="K1299" s="2" t="s">
        <v>5756</v>
      </c>
      <c r="L1299" s="8" t="s">
        <v>5758</v>
      </c>
      <c r="M1299" s="8" t="s">
        <v>27</v>
      </c>
      <c r="N1299" s="2" t="s">
        <v>5759</v>
      </c>
      <c r="O1299" s="8" t="s">
        <v>550</v>
      </c>
      <c r="P1299" s="8" t="s">
        <v>401</v>
      </c>
      <c r="Q1299" s="12" t="s">
        <v>5760</v>
      </c>
      <c r="R1299" s="8" t="s">
        <v>29</v>
      </c>
      <c r="S1299" s="7" t="s">
        <v>28</v>
      </c>
      <c r="T1299" s="6"/>
      <c r="U1299" s="8"/>
    </row>
    <row r="1300" spans="1:34" ht="13" customHeight="1">
      <c r="A1300" s="8" t="s">
        <v>5761</v>
      </c>
      <c r="B1300" s="16">
        <v>52</v>
      </c>
      <c r="C1300" s="8" t="s">
        <v>20</v>
      </c>
      <c r="D1300" s="8" t="s">
        <v>48</v>
      </c>
      <c r="F1300" s="17">
        <v>41971</v>
      </c>
      <c r="G1300" s="8" t="s">
        <v>5762</v>
      </c>
      <c r="H1300" s="8" t="s">
        <v>5763</v>
      </c>
      <c r="I1300" s="8" t="s">
        <v>57</v>
      </c>
      <c r="J1300" s="16" t="s">
        <v>5764</v>
      </c>
      <c r="K1300" s="2" t="s">
        <v>1132</v>
      </c>
      <c r="L1300" s="8" t="s">
        <v>2182</v>
      </c>
      <c r="M1300" s="8" t="s">
        <v>27</v>
      </c>
      <c r="N1300" s="2" t="s">
        <v>5766</v>
      </c>
      <c r="O1300" s="8" t="s">
        <v>1013</v>
      </c>
      <c r="P1300" s="8" t="s">
        <v>401</v>
      </c>
      <c r="Q1300" s="12" t="s">
        <v>5767</v>
      </c>
      <c r="R1300" s="8" t="s">
        <v>100</v>
      </c>
      <c r="S1300" s="7" t="s">
        <v>28</v>
      </c>
      <c r="T1300" s="6"/>
      <c r="U1300" s="8"/>
    </row>
    <row r="1301" spans="1:34" ht="13" customHeight="1">
      <c r="A1301" s="8" t="s">
        <v>5768</v>
      </c>
      <c r="B1301" s="16">
        <v>27</v>
      </c>
      <c r="C1301" s="8" t="s">
        <v>20</v>
      </c>
      <c r="D1301" s="8" t="s">
        <v>139</v>
      </c>
      <c r="E1301" s="8" t="s">
        <v>5769</v>
      </c>
      <c r="F1301" s="17">
        <v>41971</v>
      </c>
      <c r="G1301" s="8" t="s">
        <v>5770</v>
      </c>
      <c r="H1301" s="8" t="s">
        <v>5771</v>
      </c>
      <c r="I1301" s="8" t="s">
        <v>195</v>
      </c>
      <c r="J1301" s="16" t="s">
        <v>5772</v>
      </c>
      <c r="K1301" s="2" t="s">
        <v>5773</v>
      </c>
      <c r="L1301" s="8" t="s">
        <v>3098</v>
      </c>
      <c r="M1301" s="8" t="s">
        <v>27</v>
      </c>
      <c r="N1301" s="2" t="s">
        <v>5774</v>
      </c>
      <c r="O1301" s="8" t="s">
        <v>1013</v>
      </c>
      <c r="P1301" s="8" t="s">
        <v>401</v>
      </c>
      <c r="Q1301" s="12" t="s">
        <v>5775</v>
      </c>
      <c r="R1301" s="8" t="s">
        <v>100</v>
      </c>
      <c r="S1301" s="7" t="s">
        <v>28</v>
      </c>
      <c r="T1301" s="6"/>
      <c r="U1301" s="8"/>
    </row>
    <row r="1302" spans="1:34" ht="13" customHeight="1">
      <c r="A1302" s="8" t="s">
        <v>5782</v>
      </c>
      <c r="B1302" s="16">
        <v>42</v>
      </c>
      <c r="C1302" s="8" t="s">
        <v>20</v>
      </c>
      <c r="D1302" s="8" t="s">
        <v>37</v>
      </c>
      <c r="E1302" s="8" t="s">
        <v>5783</v>
      </c>
      <c r="F1302" s="17">
        <v>41971</v>
      </c>
      <c r="G1302" s="8" t="s">
        <v>5784</v>
      </c>
      <c r="H1302" s="8" t="s">
        <v>433</v>
      </c>
      <c r="I1302" s="8" t="s">
        <v>671</v>
      </c>
      <c r="J1302" s="16" t="s">
        <v>5785</v>
      </c>
      <c r="K1302" s="2" t="s">
        <v>5786</v>
      </c>
      <c r="L1302" s="8" t="s">
        <v>5787</v>
      </c>
      <c r="M1302" s="8" t="s">
        <v>27</v>
      </c>
      <c r="N1302" s="2" t="s">
        <v>5788</v>
      </c>
      <c r="O1302" s="8" t="s">
        <v>1013</v>
      </c>
      <c r="P1302" s="8" t="s">
        <v>401</v>
      </c>
      <c r="Q1302" s="12" t="s">
        <v>5789</v>
      </c>
      <c r="R1302" s="8" t="s">
        <v>100</v>
      </c>
      <c r="S1302" s="7" t="s">
        <v>28</v>
      </c>
      <c r="T1302" s="6"/>
      <c r="U1302" s="8"/>
    </row>
    <row r="1303" spans="1:34" ht="13" customHeight="1">
      <c r="A1303" s="8" t="s">
        <v>5776</v>
      </c>
      <c r="B1303" s="16">
        <v>49</v>
      </c>
      <c r="C1303" s="8" t="s">
        <v>20</v>
      </c>
      <c r="D1303" s="8" t="s">
        <v>37</v>
      </c>
      <c r="E1303" s="8" t="s">
        <v>5777</v>
      </c>
      <c r="F1303" s="17">
        <v>41971</v>
      </c>
      <c r="G1303" s="8" t="s">
        <v>5778</v>
      </c>
      <c r="H1303" s="8" t="s">
        <v>1316</v>
      </c>
      <c r="I1303" s="8" t="s">
        <v>73</v>
      </c>
      <c r="J1303" s="16" t="s">
        <v>5779</v>
      </c>
      <c r="K1303" s="2" t="s">
        <v>1317</v>
      </c>
      <c r="L1303" s="8" t="s">
        <v>1318</v>
      </c>
      <c r="M1303" s="8" t="s">
        <v>27</v>
      </c>
      <c r="N1303" s="2" t="s">
        <v>5780</v>
      </c>
      <c r="O1303" s="8" t="s">
        <v>1013</v>
      </c>
      <c r="P1303" s="8" t="s">
        <v>401</v>
      </c>
      <c r="Q1303" s="12" t="s">
        <v>5781</v>
      </c>
      <c r="R1303" s="8" t="s">
        <v>29</v>
      </c>
      <c r="S1303" s="7" t="s">
        <v>28</v>
      </c>
      <c r="T1303" s="6"/>
      <c r="U1303" s="8"/>
      <c r="Y1303" s="8"/>
      <c r="Z1303" s="8"/>
      <c r="AA1303" s="8"/>
      <c r="AB1303" s="8"/>
      <c r="AC1303" s="8"/>
      <c r="AD1303" s="8"/>
      <c r="AE1303" s="8"/>
      <c r="AF1303" s="8"/>
      <c r="AG1303" s="8"/>
      <c r="AH1303" s="8"/>
    </row>
    <row r="1304" spans="1:34" ht="13" customHeight="1">
      <c r="A1304" s="8" t="s">
        <v>5790</v>
      </c>
      <c r="B1304" s="16">
        <v>45</v>
      </c>
      <c r="C1304" s="8" t="s">
        <v>20</v>
      </c>
      <c r="D1304" s="8" t="s">
        <v>30</v>
      </c>
      <c r="F1304" s="17">
        <v>41970</v>
      </c>
      <c r="G1304" s="8" t="s">
        <v>5791</v>
      </c>
      <c r="H1304" s="8" t="s">
        <v>5792</v>
      </c>
      <c r="I1304" s="8" t="s">
        <v>62</v>
      </c>
      <c r="J1304" s="16" t="s">
        <v>5793</v>
      </c>
      <c r="K1304" s="2" t="s">
        <v>640</v>
      </c>
      <c r="L1304" s="8" t="s">
        <v>641</v>
      </c>
      <c r="M1304" s="8" t="s">
        <v>27</v>
      </c>
      <c r="N1304" s="2" t="s">
        <v>5794</v>
      </c>
      <c r="O1304" s="8" t="s">
        <v>1013</v>
      </c>
      <c r="P1304" s="8" t="s">
        <v>401</v>
      </c>
      <c r="Q1304" s="12" t="s">
        <v>5795</v>
      </c>
      <c r="R1304" s="8" t="s">
        <v>100</v>
      </c>
      <c r="S1304" s="7" t="s">
        <v>28</v>
      </c>
      <c r="T1304" s="6"/>
      <c r="U1304" s="8"/>
    </row>
    <row r="1305" spans="1:34" ht="13" customHeight="1">
      <c r="A1305" s="8" t="s">
        <v>5804</v>
      </c>
      <c r="B1305" s="16">
        <v>22</v>
      </c>
      <c r="C1305" s="8" t="s">
        <v>20</v>
      </c>
      <c r="D1305" s="8" t="s">
        <v>37</v>
      </c>
      <c r="E1305" s="8" t="s">
        <v>5805</v>
      </c>
      <c r="F1305" s="17">
        <v>41969</v>
      </c>
      <c r="G1305" s="8" t="s">
        <v>5806</v>
      </c>
      <c r="H1305" s="8" t="s">
        <v>5807</v>
      </c>
      <c r="I1305" s="8" t="s">
        <v>73</v>
      </c>
      <c r="J1305" s="16" t="s">
        <v>5808</v>
      </c>
      <c r="K1305" s="2" t="s">
        <v>166</v>
      </c>
      <c r="L1305" s="8" t="s">
        <v>5809</v>
      </c>
      <c r="M1305" s="8" t="s">
        <v>27</v>
      </c>
      <c r="N1305" s="2" t="s">
        <v>5810</v>
      </c>
      <c r="O1305" s="8" t="s">
        <v>400</v>
      </c>
      <c r="P1305" s="8" t="s">
        <v>401</v>
      </c>
      <c r="Q1305" s="12" t="s">
        <v>5811</v>
      </c>
      <c r="R1305" s="8" t="s">
        <v>100</v>
      </c>
      <c r="S1305" s="7" t="s">
        <v>28</v>
      </c>
      <c r="T1305" s="6"/>
      <c r="U1305" s="8"/>
    </row>
    <row r="1306" spans="1:34" ht="13" customHeight="1">
      <c r="A1306" s="8" t="s">
        <v>5812</v>
      </c>
      <c r="B1306" s="16">
        <v>41</v>
      </c>
      <c r="C1306" s="8" t="s">
        <v>20</v>
      </c>
      <c r="D1306" s="8" t="s">
        <v>37</v>
      </c>
      <c r="E1306" s="8" t="s">
        <v>5813</v>
      </c>
      <c r="F1306" s="17">
        <v>41969</v>
      </c>
      <c r="G1306" s="8" t="s">
        <v>5814</v>
      </c>
      <c r="H1306" s="8" t="s">
        <v>5815</v>
      </c>
      <c r="I1306" s="8" t="s">
        <v>431</v>
      </c>
      <c r="J1306" s="16" t="s">
        <v>5816</v>
      </c>
      <c r="K1306" s="2" t="s">
        <v>5453</v>
      </c>
      <c r="L1306" s="8" t="s">
        <v>5817</v>
      </c>
      <c r="M1306" s="8" t="s">
        <v>27</v>
      </c>
      <c r="N1306" s="2" t="s">
        <v>5818</v>
      </c>
      <c r="O1306" s="8" t="s">
        <v>1013</v>
      </c>
      <c r="P1306" s="8" t="s">
        <v>401</v>
      </c>
      <c r="Q1306" s="12" t="s">
        <v>5819</v>
      </c>
      <c r="R1306" s="8" t="s">
        <v>29</v>
      </c>
      <c r="S1306" s="7" t="s">
        <v>28</v>
      </c>
      <c r="T1306" s="6"/>
      <c r="U1306" s="8"/>
    </row>
    <row r="1307" spans="1:34" ht="13" customHeight="1">
      <c r="A1307" s="8" t="s">
        <v>5796</v>
      </c>
      <c r="B1307" s="16">
        <v>39</v>
      </c>
      <c r="C1307" s="8" t="s">
        <v>20</v>
      </c>
      <c r="D1307" s="8" t="s">
        <v>37</v>
      </c>
      <c r="E1307" s="8" t="s">
        <v>5797</v>
      </c>
      <c r="F1307" s="17">
        <v>41969</v>
      </c>
      <c r="G1307" s="8" t="s">
        <v>5798</v>
      </c>
      <c r="H1307" s="8" t="s">
        <v>5799</v>
      </c>
      <c r="I1307" s="8" t="s">
        <v>45</v>
      </c>
      <c r="J1307" s="16" t="s">
        <v>5800</v>
      </c>
      <c r="K1307" s="2" t="s">
        <v>5801</v>
      </c>
      <c r="L1307" s="8" t="s">
        <v>5802</v>
      </c>
      <c r="M1307" s="8" t="s">
        <v>391</v>
      </c>
      <c r="N1307" s="2" t="s">
        <v>5803</v>
      </c>
      <c r="O1307" s="8" t="s">
        <v>400</v>
      </c>
      <c r="P1307" s="8" t="s">
        <v>401</v>
      </c>
      <c r="Q1307" s="12" t="s">
        <v>21440</v>
      </c>
      <c r="R1307" s="8" t="s">
        <v>29</v>
      </c>
      <c r="S1307" s="7" t="s">
        <v>18</v>
      </c>
      <c r="T1307" s="6"/>
      <c r="U1307" s="8"/>
    </row>
    <row r="1308" spans="1:34" ht="13" customHeight="1">
      <c r="A1308" s="8" t="s">
        <v>5820</v>
      </c>
      <c r="B1308" s="16">
        <v>30</v>
      </c>
      <c r="C1308" s="8" t="s">
        <v>20</v>
      </c>
      <c r="D1308" s="8" t="s">
        <v>85</v>
      </c>
      <c r="E1308" s="8" t="s">
        <v>5821</v>
      </c>
      <c r="F1308" s="17">
        <v>41968</v>
      </c>
      <c r="G1308" s="8" t="s">
        <v>5822</v>
      </c>
      <c r="H1308" s="8" t="s">
        <v>5823</v>
      </c>
      <c r="I1308" s="8" t="s">
        <v>73</v>
      </c>
      <c r="J1308" s="16" t="s">
        <v>5824</v>
      </c>
      <c r="K1308" s="2" t="s">
        <v>285</v>
      </c>
      <c r="L1308" s="8" t="s">
        <v>5825</v>
      </c>
      <c r="M1308" s="8" t="s">
        <v>391</v>
      </c>
      <c r="N1308" s="2" t="s">
        <v>5826</v>
      </c>
      <c r="O1308" s="8" t="s">
        <v>1013</v>
      </c>
      <c r="P1308" s="8" t="s">
        <v>401</v>
      </c>
      <c r="Q1308" s="59" t="str">
        <f>HYPERLINK("http://crimeblog.dallasnews.com/2014/11/balch-springs-police-say-man-died-in-custody-tuesday-after-he-fought-arresting-officers.html/","http://crimeblog.dallasnews.com/2014/11/balch-springs-police-say-man-died-in-custody-tuesday-after-he-fought-arresting-officers.html/")</f>
        <v>http://crimeblog.dallasnews.com/2014/11/balch-springs-police-say-man-died-in-custody-tuesday-after-he-fought-arresting-officers.html/</v>
      </c>
      <c r="R1308" s="8" t="s">
        <v>967</v>
      </c>
      <c r="S1308" s="7" t="s">
        <v>18</v>
      </c>
      <c r="T1308" s="6"/>
      <c r="U1308" s="8"/>
    </row>
    <row r="1309" spans="1:34" ht="13" customHeight="1">
      <c r="A1309" s="8" t="s">
        <v>5833</v>
      </c>
      <c r="B1309" s="16">
        <v>26</v>
      </c>
      <c r="C1309" s="8" t="s">
        <v>20</v>
      </c>
      <c r="D1309" s="8" t="s">
        <v>37</v>
      </c>
      <c r="E1309" s="8" t="s">
        <v>5834</v>
      </c>
      <c r="F1309" s="17">
        <v>41968</v>
      </c>
      <c r="G1309" s="8" t="s">
        <v>5835</v>
      </c>
      <c r="H1309" s="8" t="s">
        <v>4710</v>
      </c>
      <c r="I1309" s="8" t="s">
        <v>209</v>
      </c>
      <c r="J1309" s="16" t="s">
        <v>4711</v>
      </c>
      <c r="K1309" s="2" t="s">
        <v>4710</v>
      </c>
      <c r="L1309" s="8" t="s">
        <v>4712</v>
      </c>
      <c r="M1309" s="8" t="s">
        <v>27</v>
      </c>
      <c r="N1309" s="2" t="s">
        <v>5836</v>
      </c>
      <c r="O1309" s="8" t="s">
        <v>1013</v>
      </c>
      <c r="P1309" s="8" t="s">
        <v>401</v>
      </c>
      <c r="Q1309" s="12" t="s">
        <v>5837</v>
      </c>
      <c r="R1309" s="8" t="s">
        <v>100</v>
      </c>
      <c r="S1309" s="7" t="s">
        <v>28</v>
      </c>
      <c r="T1309" s="6"/>
      <c r="U1309" s="8"/>
    </row>
    <row r="1310" spans="1:34" ht="13" customHeight="1">
      <c r="A1310" s="8" t="s">
        <v>5827</v>
      </c>
      <c r="B1310" s="16">
        <v>52</v>
      </c>
      <c r="C1310" s="8" t="s">
        <v>20</v>
      </c>
      <c r="D1310" s="8" t="s">
        <v>37</v>
      </c>
      <c r="E1310" s="8" t="s">
        <v>5828</v>
      </c>
      <c r="F1310" s="17">
        <v>41968</v>
      </c>
      <c r="G1310" s="8" t="s">
        <v>5829</v>
      </c>
      <c r="H1310" s="8" t="s">
        <v>987</v>
      </c>
      <c r="I1310" s="8" t="s">
        <v>319</v>
      </c>
      <c r="J1310" s="16" t="s">
        <v>5830</v>
      </c>
      <c r="K1310" s="2" t="s">
        <v>988</v>
      </c>
      <c r="L1310" s="8" t="s">
        <v>19720</v>
      </c>
      <c r="M1310" s="8" t="s">
        <v>27</v>
      </c>
      <c r="N1310" s="2" t="s">
        <v>5831</v>
      </c>
      <c r="O1310" s="8" t="s">
        <v>1013</v>
      </c>
      <c r="P1310" s="8" t="s">
        <v>401</v>
      </c>
      <c r="Q1310" s="12" t="s">
        <v>5832</v>
      </c>
      <c r="R1310" s="8" t="s">
        <v>100</v>
      </c>
      <c r="S1310" s="7" t="s">
        <v>28</v>
      </c>
      <c r="T1310" s="6"/>
      <c r="U1310" s="8"/>
    </row>
    <row r="1311" spans="1:34" ht="13" customHeight="1">
      <c r="A1311" s="8" t="s">
        <v>5838</v>
      </c>
      <c r="B1311" s="16">
        <v>31</v>
      </c>
      <c r="C1311" s="8" t="s">
        <v>20</v>
      </c>
      <c r="D1311" s="8" t="s">
        <v>37</v>
      </c>
      <c r="F1311" s="17">
        <v>41968</v>
      </c>
      <c r="G1311" s="8" t="s">
        <v>5839</v>
      </c>
      <c r="H1311" s="8" t="s">
        <v>3362</v>
      </c>
      <c r="I1311" s="8" t="s">
        <v>303</v>
      </c>
      <c r="J1311" s="16" t="s">
        <v>5840</v>
      </c>
      <c r="K1311" s="2" t="s">
        <v>570</v>
      </c>
      <c r="L1311" s="8" t="s">
        <v>5841</v>
      </c>
      <c r="M1311" s="8" t="s">
        <v>27</v>
      </c>
      <c r="N1311" s="2" t="s">
        <v>5842</v>
      </c>
      <c r="O1311" s="8" t="s">
        <v>1013</v>
      </c>
      <c r="P1311" s="8" t="s">
        <v>401</v>
      </c>
      <c r="Q1311" s="12" t="s">
        <v>5843</v>
      </c>
      <c r="R1311" s="8" t="s">
        <v>29</v>
      </c>
      <c r="S1311" s="7" t="s">
        <v>18</v>
      </c>
      <c r="T1311" s="6"/>
      <c r="U1311" s="8"/>
    </row>
    <row r="1312" spans="1:34" ht="13" customHeight="1">
      <c r="A1312" s="8" t="s">
        <v>5844</v>
      </c>
      <c r="B1312" s="16">
        <v>33</v>
      </c>
      <c r="C1312" s="8" t="s">
        <v>20</v>
      </c>
      <c r="D1312" s="8" t="s">
        <v>85</v>
      </c>
      <c r="E1312" s="8" t="s">
        <v>5845</v>
      </c>
      <c r="F1312" s="17">
        <v>41967</v>
      </c>
      <c r="G1312" s="8" t="s">
        <v>5846</v>
      </c>
      <c r="H1312" s="8" t="s">
        <v>653</v>
      </c>
      <c r="I1312" s="8" t="s">
        <v>62</v>
      </c>
      <c r="J1312" s="16" t="s">
        <v>5847</v>
      </c>
      <c r="K1312" s="2" t="s">
        <v>654</v>
      </c>
      <c r="L1312" s="8" t="s">
        <v>655</v>
      </c>
      <c r="M1312" s="8" t="s">
        <v>27</v>
      </c>
      <c r="N1312" s="2" t="s">
        <v>5848</v>
      </c>
      <c r="O1312" s="8" t="s">
        <v>1013</v>
      </c>
      <c r="P1312" s="8" t="s">
        <v>401</v>
      </c>
      <c r="Q1312" s="12" t="str">
        <f>HYPERLINK("http://www.firstcoastnews.com/story/news/local/2014/11/24/jso-involved-incident-gate-gas-station/70068030/","http://www.firstcoastnews.com/story/news/local/2014/11/24/jso-involved-incident-gate-gas-station/70068030/")</f>
        <v>http://www.firstcoastnews.com/story/news/local/2014/11/24/jso-involved-incident-gate-gas-station/70068030/</v>
      </c>
      <c r="R1312" s="8" t="s">
        <v>100</v>
      </c>
      <c r="S1312" s="7" t="s">
        <v>28</v>
      </c>
      <c r="T1312" s="6"/>
      <c r="U1312" s="8"/>
    </row>
    <row r="1313" spans="1:24" ht="13" customHeight="1">
      <c r="A1313" s="8" t="s">
        <v>5849</v>
      </c>
      <c r="B1313" s="16">
        <v>35</v>
      </c>
      <c r="C1313" s="8" t="s">
        <v>20</v>
      </c>
      <c r="D1313" s="8" t="s">
        <v>85</v>
      </c>
      <c r="E1313" s="8" t="s">
        <v>5850</v>
      </c>
      <c r="F1313" s="17">
        <v>41967</v>
      </c>
      <c r="G1313" s="8" t="s">
        <v>5851</v>
      </c>
      <c r="H1313" s="8" t="s">
        <v>3115</v>
      </c>
      <c r="I1313" s="8" t="s">
        <v>45</v>
      </c>
      <c r="J1313" s="16" t="s">
        <v>5852</v>
      </c>
      <c r="K1313" s="2" t="s">
        <v>786</v>
      </c>
      <c r="L1313" s="8" t="s">
        <v>787</v>
      </c>
      <c r="M1313" s="8" t="s">
        <v>27</v>
      </c>
      <c r="N1313" s="2" t="s">
        <v>5853</v>
      </c>
      <c r="O1313" s="8" t="s">
        <v>1013</v>
      </c>
      <c r="P1313" s="8" t="s">
        <v>401</v>
      </c>
      <c r="Q1313" s="12" t="s">
        <v>5854</v>
      </c>
      <c r="R1313" s="8" t="s">
        <v>100</v>
      </c>
      <c r="S1313" s="7" t="s">
        <v>28</v>
      </c>
      <c r="T1313" s="6"/>
      <c r="U1313" s="8"/>
      <c r="V1313" s="8"/>
      <c r="W1313" s="8"/>
      <c r="X1313" s="8"/>
    </row>
    <row r="1314" spans="1:24" ht="13" customHeight="1">
      <c r="A1314" s="8" t="s">
        <v>5855</v>
      </c>
      <c r="B1314" s="16">
        <v>27</v>
      </c>
      <c r="C1314" s="8" t="s">
        <v>20</v>
      </c>
      <c r="D1314" s="8" t="s">
        <v>48</v>
      </c>
      <c r="F1314" s="17">
        <v>41966</v>
      </c>
      <c r="G1314" s="8" t="s">
        <v>5856</v>
      </c>
      <c r="H1314" s="8" t="s">
        <v>5857</v>
      </c>
      <c r="I1314" s="8" t="s">
        <v>45</v>
      </c>
      <c r="J1314" s="16" t="s">
        <v>5858</v>
      </c>
      <c r="K1314" s="2" t="s">
        <v>98</v>
      </c>
      <c r="L1314" s="8" t="s">
        <v>1501</v>
      </c>
      <c r="M1314" s="8" t="s">
        <v>27</v>
      </c>
      <c r="N1314" s="2" t="s">
        <v>5859</v>
      </c>
      <c r="O1314" s="8" t="s">
        <v>1013</v>
      </c>
      <c r="P1314" s="8" t="s">
        <v>401</v>
      </c>
      <c r="Q1314" s="12" t="s">
        <v>5860</v>
      </c>
      <c r="R1314" s="8" t="s">
        <v>100</v>
      </c>
      <c r="S1314" s="7" t="s">
        <v>28</v>
      </c>
      <c r="T1314" s="6"/>
      <c r="U1314" s="8"/>
    </row>
    <row r="1315" spans="1:24" ht="13" customHeight="1">
      <c r="A1315" s="8" t="s">
        <v>5868</v>
      </c>
      <c r="B1315" s="16">
        <v>33</v>
      </c>
      <c r="C1315" s="8" t="s">
        <v>20</v>
      </c>
      <c r="D1315" s="8" t="s">
        <v>37</v>
      </c>
      <c r="E1315" s="8" t="s">
        <v>5869</v>
      </c>
      <c r="F1315" s="17">
        <v>41966</v>
      </c>
      <c r="G1315" s="8" t="s">
        <v>5870</v>
      </c>
      <c r="H1315" s="8" t="s">
        <v>5871</v>
      </c>
      <c r="I1315" s="8" t="s">
        <v>123</v>
      </c>
      <c r="J1315" s="16" t="s">
        <v>5872</v>
      </c>
      <c r="K1315" s="2" t="s">
        <v>5873</v>
      </c>
      <c r="L1315" s="8" t="s">
        <v>5874</v>
      </c>
      <c r="M1315" s="8" t="s">
        <v>27</v>
      </c>
      <c r="N1315" s="2" t="s">
        <v>5875</v>
      </c>
      <c r="O1315" s="8" t="s">
        <v>550</v>
      </c>
      <c r="P1315" s="8" t="s">
        <v>401</v>
      </c>
      <c r="Q1315" s="12" t="s">
        <v>5876</v>
      </c>
      <c r="R1315" s="8" t="s">
        <v>967</v>
      </c>
      <c r="S1315" s="7" t="s">
        <v>28</v>
      </c>
      <c r="T1315" s="6"/>
      <c r="U1315" s="8"/>
    </row>
    <row r="1316" spans="1:24" ht="13" customHeight="1">
      <c r="A1316" s="8" t="s">
        <v>5861</v>
      </c>
      <c r="B1316" s="16">
        <v>50</v>
      </c>
      <c r="C1316" s="8" t="s">
        <v>20</v>
      </c>
      <c r="D1316" s="8" t="s">
        <v>37</v>
      </c>
      <c r="E1316" s="8" t="s">
        <v>5862</v>
      </c>
      <c r="F1316" s="17">
        <v>41966</v>
      </c>
      <c r="G1316" s="8" t="s">
        <v>5863</v>
      </c>
      <c r="H1316" s="8" t="s">
        <v>3593</v>
      </c>
      <c r="I1316" s="8" t="s">
        <v>62</v>
      </c>
      <c r="J1316" s="16" t="s">
        <v>5864</v>
      </c>
      <c r="K1316" s="2" t="s">
        <v>3595</v>
      </c>
      <c r="L1316" s="8" t="s">
        <v>5865</v>
      </c>
      <c r="M1316" s="8" t="s">
        <v>27</v>
      </c>
      <c r="N1316" s="2" t="s">
        <v>5866</v>
      </c>
      <c r="O1316" s="8" t="s">
        <v>1013</v>
      </c>
      <c r="P1316" s="8" t="s">
        <v>401</v>
      </c>
      <c r="Q1316" s="12" t="s">
        <v>5867</v>
      </c>
      <c r="R1316" s="8" t="s">
        <v>100</v>
      </c>
      <c r="S1316" s="7" t="s">
        <v>28</v>
      </c>
      <c r="T1316" s="6"/>
      <c r="U1316" s="8"/>
    </row>
    <row r="1317" spans="1:24" ht="13" customHeight="1">
      <c r="A1317" s="8" t="s">
        <v>5877</v>
      </c>
      <c r="B1317" s="16">
        <v>12</v>
      </c>
      <c r="C1317" s="8" t="s">
        <v>20</v>
      </c>
      <c r="D1317" s="8" t="s">
        <v>85</v>
      </c>
      <c r="E1317" s="8" t="s">
        <v>5878</v>
      </c>
      <c r="F1317" s="17">
        <v>41965</v>
      </c>
      <c r="G1317" s="8" t="s">
        <v>5879</v>
      </c>
      <c r="H1317" s="8" t="s">
        <v>987</v>
      </c>
      <c r="I1317" s="8" t="s">
        <v>69</v>
      </c>
      <c r="J1317" s="16" t="s">
        <v>5880</v>
      </c>
      <c r="K1317" s="2" t="s">
        <v>105</v>
      </c>
      <c r="L1317" s="8" t="s">
        <v>3471</v>
      </c>
      <c r="M1317" s="8" t="s">
        <v>27</v>
      </c>
      <c r="N1317" s="2" t="s">
        <v>5881</v>
      </c>
      <c r="O1317" s="8" t="s">
        <v>400</v>
      </c>
      <c r="P1317" s="8" t="s">
        <v>401</v>
      </c>
      <c r="Q1317" s="12" t="s">
        <v>5882</v>
      </c>
      <c r="R1317" s="8" t="s">
        <v>100</v>
      </c>
      <c r="S1317" s="7" t="s">
        <v>18</v>
      </c>
      <c r="T1317" s="6"/>
      <c r="U1317" s="8"/>
    </row>
    <row r="1318" spans="1:24" ht="13" customHeight="1">
      <c r="A1318" s="8" t="s">
        <v>5883</v>
      </c>
      <c r="B1318" s="16">
        <v>27</v>
      </c>
      <c r="C1318" s="8" t="s">
        <v>20</v>
      </c>
      <c r="D1318" s="8" t="s">
        <v>48</v>
      </c>
      <c r="E1318" s="8" t="s">
        <v>5884</v>
      </c>
      <c r="F1318" s="17">
        <v>41965</v>
      </c>
      <c r="G1318" s="8" t="s">
        <v>5885</v>
      </c>
      <c r="H1318" s="8" t="s">
        <v>5886</v>
      </c>
      <c r="I1318" s="8" t="s">
        <v>45</v>
      </c>
      <c r="J1318" s="16" t="s">
        <v>5887</v>
      </c>
      <c r="K1318" s="2" t="s">
        <v>65</v>
      </c>
      <c r="L1318" s="8" t="s">
        <v>5888</v>
      </c>
      <c r="M1318" s="8" t="s">
        <v>27</v>
      </c>
      <c r="N1318" s="2" t="s">
        <v>5889</v>
      </c>
      <c r="O1318" s="8" t="s">
        <v>1013</v>
      </c>
      <c r="P1318" s="8" t="s">
        <v>401</v>
      </c>
      <c r="Q1318" s="12" t="s">
        <v>5890</v>
      </c>
      <c r="R1318" s="8" t="s">
        <v>100</v>
      </c>
      <c r="S1318" s="7" t="s">
        <v>28</v>
      </c>
      <c r="T1318" s="6"/>
      <c r="U1318" s="8"/>
    </row>
    <row r="1319" spans="1:24" ht="13" customHeight="1">
      <c r="A1319" s="8" t="s">
        <v>5891</v>
      </c>
      <c r="B1319" s="16">
        <v>26</v>
      </c>
      <c r="C1319" s="8" t="s">
        <v>20</v>
      </c>
      <c r="D1319" s="8" t="s">
        <v>37</v>
      </c>
      <c r="E1319" s="8" t="s">
        <v>5892</v>
      </c>
      <c r="F1319" s="17">
        <v>41965</v>
      </c>
      <c r="G1319" s="8" t="s">
        <v>5893</v>
      </c>
      <c r="H1319" s="8" t="s">
        <v>5894</v>
      </c>
      <c r="I1319" s="8" t="s">
        <v>240</v>
      </c>
      <c r="J1319" s="16" t="s">
        <v>5895</v>
      </c>
      <c r="K1319" s="2" t="s">
        <v>613</v>
      </c>
      <c r="L1319" s="8" t="s">
        <v>5896</v>
      </c>
      <c r="M1319" s="8" t="s">
        <v>27</v>
      </c>
      <c r="N1319" s="2" t="s">
        <v>5897</v>
      </c>
      <c r="O1319" s="8" t="s">
        <v>400</v>
      </c>
      <c r="P1319" s="8" t="s">
        <v>401</v>
      </c>
      <c r="Q1319" s="12" t="str">
        <f>HYPERLINK("http://www.kutv.com/news/features/top-stories/stories/South-Jordan-police-give-more-details-in-shooting-death-of-1-man-59617.shtml#.VHT3q4vF9R4","http://www.kutv.com/news/features/top-stories/stories/South-Jordan-police-give-more-details-in-shooting-death-of-1-man-59617.shtml#.VHT3q4vF9R4")</f>
        <v>http://www.kutv.com/news/features/top-stories/stories/South-Jordan-police-give-more-details-in-shooting-death-of-1-man-59617.shtml#.VHT3q4vF9R4</v>
      </c>
      <c r="R1319" s="8" t="s">
        <v>29</v>
      </c>
      <c r="S1319" s="7" t="s">
        <v>28</v>
      </c>
      <c r="T1319" s="6"/>
      <c r="U1319" s="8"/>
    </row>
    <row r="1320" spans="1:24" ht="13" customHeight="1">
      <c r="A1320" s="8" t="s">
        <v>5912</v>
      </c>
      <c r="B1320" s="16">
        <v>29</v>
      </c>
      <c r="C1320" s="8" t="s">
        <v>20</v>
      </c>
      <c r="D1320" s="8" t="s">
        <v>37</v>
      </c>
      <c r="E1320" s="8" t="s">
        <v>5913</v>
      </c>
      <c r="F1320" s="17">
        <v>41965</v>
      </c>
      <c r="G1320" s="8" t="s">
        <v>5914</v>
      </c>
      <c r="H1320" s="8" t="s">
        <v>5915</v>
      </c>
      <c r="I1320" s="8" t="s">
        <v>45</v>
      </c>
      <c r="J1320" s="16" t="s">
        <v>5916</v>
      </c>
      <c r="K1320" s="2" t="s">
        <v>5917</v>
      </c>
      <c r="L1320" s="8" t="s">
        <v>5918</v>
      </c>
      <c r="M1320" s="8" t="s">
        <v>27</v>
      </c>
      <c r="N1320" s="2" t="s">
        <v>5919</v>
      </c>
      <c r="O1320" s="8" t="s">
        <v>1013</v>
      </c>
      <c r="P1320" s="8" t="s">
        <v>401</v>
      </c>
      <c r="Q1320" s="12" t="str">
        <f>HYPERLINK("http://sacramento.cbslocal.com/2014/11/23/suspect-dead-after-shootout-in-downtown-sonora-officer-bystander-hurt/","http://sacramento.cbslocal.com/2014/11/23/suspect-dead-after-shootout-in-downtown-sonora-officer-bystander-hurt/")</f>
        <v>http://sacramento.cbslocal.com/2014/11/23/suspect-dead-after-shootout-in-downtown-sonora-officer-bystander-hurt/</v>
      </c>
      <c r="R1320" s="8" t="s">
        <v>100</v>
      </c>
      <c r="S1320" s="7" t="s">
        <v>28</v>
      </c>
      <c r="T1320" s="6"/>
      <c r="U1320" s="8"/>
    </row>
    <row r="1321" spans="1:24" ht="13" customHeight="1">
      <c r="A1321" s="8" t="s">
        <v>5898</v>
      </c>
      <c r="B1321" s="16">
        <v>40</v>
      </c>
      <c r="C1321" s="8" t="s">
        <v>114</v>
      </c>
      <c r="D1321" s="8" t="s">
        <v>37</v>
      </c>
      <c r="E1321" s="8" t="s">
        <v>5899</v>
      </c>
      <c r="F1321" s="17">
        <v>41965</v>
      </c>
      <c r="G1321" s="8" t="s">
        <v>5900</v>
      </c>
      <c r="H1321" s="8" t="s">
        <v>5901</v>
      </c>
      <c r="I1321" s="8" t="s">
        <v>62</v>
      </c>
      <c r="J1321" s="16" t="s">
        <v>5902</v>
      </c>
      <c r="K1321" s="2" t="s">
        <v>1259</v>
      </c>
      <c r="L1321" s="8" t="s">
        <v>5903</v>
      </c>
      <c r="M1321" s="8" t="s">
        <v>27</v>
      </c>
      <c r="N1321" s="2" t="s">
        <v>5904</v>
      </c>
      <c r="O1321" s="8" t="s">
        <v>1013</v>
      </c>
      <c r="P1321" s="8" t="s">
        <v>401</v>
      </c>
      <c r="Q1321" s="12" t="s">
        <v>5905</v>
      </c>
      <c r="R1321" s="8" t="s">
        <v>100</v>
      </c>
      <c r="S1321" s="7" t="s">
        <v>28</v>
      </c>
      <c r="T1321" s="6"/>
      <c r="U1321" s="8"/>
    </row>
    <row r="1322" spans="1:24" ht="13" customHeight="1">
      <c r="A1322" s="8" t="s">
        <v>5906</v>
      </c>
      <c r="B1322" s="16">
        <v>53</v>
      </c>
      <c r="C1322" s="8" t="s">
        <v>20</v>
      </c>
      <c r="D1322" s="8" t="s">
        <v>37</v>
      </c>
      <c r="E1322" s="8" t="s">
        <v>5907</v>
      </c>
      <c r="F1322" s="17">
        <v>41965</v>
      </c>
      <c r="G1322" s="8" t="s">
        <v>5908</v>
      </c>
      <c r="H1322" s="8" t="s">
        <v>3518</v>
      </c>
      <c r="I1322" s="8" t="s">
        <v>62</v>
      </c>
      <c r="J1322" s="16" t="s">
        <v>3519</v>
      </c>
      <c r="K1322" s="2" t="s">
        <v>3520</v>
      </c>
      <c r="L1322" s="8" t="s">
        <v>5909</v>
      </c>
      <c r="M1322" s="8" t="s">
        <v>27</v>
      </c>
      <c r="N1322" s="2" t="s">
        <v>5910</v>
      </c>
      <c r="O1322" s="8" t="s">
        <v>400</v>
      </c>
      <c r="P1322" s="8" t="s">
        <v>401</v>
      </c>
      <c r="Q1322" s="12" t="s">
        <v>5911</v>
      </c>
      <c r="R1322" s="8" t="s">
        <v>100</v>
      </c>
      <c r="S1322" s="7" t="s">
        <v>28</v>
      </c>
      <c r="T1322" s="6"/>
      <c r="U1322" s="8"/>
    </row>
    <row r="1323" spans="1:24" ht="13" customHeight="1">
      <c r="A1323" s="8" t="s">
        <v>5920</v>
      </c>
      <c r="B1323" s="16">
        <v>18</v>
      </c>
      <c r="C1323" s="8" t="s">
        <v>20</v>
      </c>
      <c r="D1323" s="8" t="s">
        <v>48</v>
      </c>
      <c r="E1323" s="8" t="s">
        <v>5921</v>
      </c>
      <c r="F1323" s="17">
        <v>41964</v>
      </c>
      <c r="G1323" s="8" t="s">
        <v>5922</v>
      </c>
      <c r="H1323" s="8" t="s">
        <v>489</v>
      </c>
      <c r="I1323" s="8" t="s">
        <v>45</v>
      </c>
      <c r="J1323" s="16" t="s">
        <v>5923</v>
      </c>
      <c r="K1323" s="2" t="s">
        <v>98</v>
      </c>
      <c r="L1323" s="8" t="s">
        <v>490</v>
      </c>
      <c r="M1323" s="8" t="s">
        <v>27</v>
      </c>
      <c r="N1323" s="2" t="s">
        <v>5924</v>
      </c>
      <c r="O1323" s="8" t="s">
        <v>1013</v>
      </c>
      <c r="P1323" s="8" t="s">
        <v>401</v>
      </c>
      <c r="Q1323" s="12" t="s">
        <v>5925</v>
      </c>
      <c r="R1323" s="8" t="s">
        <v>100</v>
      </c>
      <c r="S1323" s="7" t="s">
        <v>28</v>
      </c>
      <c r="T1323" s="6"/>
      <c r="U1323" s="8"/>
    </row>
    <row r="1324" spans="1:24" ht="13" customHeight="1">
      <c r="A1324" s="8" t="s">
        <v>5932</v>
      </c>
      <c r="B1324" s="16">
        <v>28</v>
      </c>
      <c r="C1324" s="8" t="s">
        <v>20</v>
      </c>
      <c r="D1324" s="8" t="s">
        <v>85</v>
      </c>
      <c r="E1324" s="8" t="s">
        <v>5933</v>
      </c>
      <c r="F1324" s="17">
        <v>41963</v>
      </c>
      <c r="G1324" s="8" t="s">
        <v>5934</v>
      </c>
      <c r="H1324" s="8" t="s">
        <v>757</v>
      </c>
      <c r="I1324" s="8" t="s">
        <v>423</v>
      </c>
      <c r="J1324" s="16" t="s">
        <v>5935</v>
      </c>
      <c r="K1324" s="2" t="s">
        <v>5936</v>
      </c>
      <c r="L1324" s="8" t="s">
        <v>582</v>
      </c>
      <c r="M1324" s="8" t="s">
        <v>27</v>
      </c>
      <c r="N1324" s="2" t="s">
        <v>5937</v>
      </c>
      <c r="O1324" s="8" t="s">
        <v>1790</v>
      </c>
      <c r="P1324" s="8" t="s">
        <v>1162</v>
      </c>
      <c r="Q1324" s="12" t="s">
        <v>5938</v>
      </c>
      <c r="R1324" s="8" t="s">
        <v>100</v>
      </c>
      <c r="S1324" s="7" t="s">
        <v>18</v>
      </c>
      <c r="T1324" s="6"/>
      <c r="U1324" s="8"/>
    </row>
    <row r="1325" spans="1:24" ht="13" customHeight="1">
      <c r="A1325" s="8" t="s">
        <v>5926</v>
      </c>
      <c r="B1325" s="16">
        <v>31</v>
      </c>
      <c r="C1325" s="8" t="s">
        <v>20</v>
      </c>
      <c r="D1325" s="8" t="s">
        <v>85</v>
      </c>
      <c r="F1325" s="17">
        <v>41963</v>
      </c>
      <c r="G1325" s="8" t="s">
        <v>5927</v>
      </c>
      <c r="H1325" s="8" t="s">
        <v>3518</v>
      </c>
      <c r="I1325" s="8" t="s">
        <v>62</v>
      </c>
      <c r="J1325" s="16" t="s">
        <v>5928</v>
      </c>
      <c r="K1325" s="2" t="s">
        <v>3520</v>
      </c>
      <c r="L1325" s="8" t="s">
        <v>5929</v>
      </c>
      <c r="M1325" s="8" t="s">
        <v>27</v>
      </c>
      <c r="N1325" s="2" t="s">
        <v>5930</v>
      </c>
      <c r="O1325" s="8" t="s">
        <v>400</v>
      </c>
      <c r="P1325" s="8" t="s">
        <v>401</v>
      </c>
      <c r="Q1325" s="12" t="s">
        <v>5931</v>
      </c>
      <c r="R1325" s="8" t="s">
        <v>100</v>
      </c>
      <c r="S1325" s="7" t="s">
        <v>28</v>
      </c>
      <c r="T1325" s="6"/>
      <c r="U1325" s="8"/>
    </row>
    <row r="1326" spans="1:24" ht="13" customHeight="1">
      <c r="A1326" s="8" t="s">
        <v>5948</v>
      </c>
      <c r="B1326" s="16">
        <v>29</v>
      </c>
      <c r="C1326" s="8" t="s">
        <v>114</v>
      </c>
      <c r="D1326" s="8" t="s">
        <v>37</v>
      </c>
      <c r="E1326" s="8" t="s">
        <v>5949</v>
      </c>
      <c r="F1326" s="17">
        <v>41963</v>
      </c>
      <c r="G1326" s="8" t="s">
        <v>5950</v>
      </c>
      <c r="H1326" s="8" t="s">
        <v>325</v>
      </c>
      <c r="I1326" s="8" t="s">
        <v>117</v>
      </c>
      <c r="J1326" s="16" t="s">
        <v>5951</v>
      </c>
      <c r="K1326" s="2" t="s">
        <v>118</v>
      </c>
      <c r="L1326" s="8" t="s">
        <v>1385</v>
      </c>
      <c r="M1326" s="8" t="s">
        <v>27</v>
      </c>
      <c r="N1326" s="2" t="s">
        <v>5952</v>
      </c>
      <c r="O1326" s="8" t="s">
        <v>400</v>
      </c>
      <c r="P1326" s="8" t="s">
        <v>401</v>
      </c>
      <c r="Q1326" s="12" t="s">
        <v>5953</v>
      </c>
      <c r="R1326" s="8" t="s">
        <v>555</v>
      </c>
      <c r="S1326" s="7" t="s">
        <v>28</v>
      </c>
      <c r="T1326" s="6"/>
      <c r="U1326" s="8"/>
    </row>
    <row r="1327" spans="1:24" ht="13" customHeight="1">
      <c r="A1327" s="8" t="s">
        <v>5939</v>
      </c>
      <c r="B1327" s="16">
        <v>35</v>
      </c>
      <c r="C1327" s="8" t="s">
        <v>20</v>
      </c>
      <c r="D1327" s="8" t="s">
        <v>37</v>
      </c>
      <c r="E1327" s="8" t="s">
        <v>5940</v>
      </c>
      <c r="F1327" s="17">
        <v>41963</v>
      </c>
      <c r="G1327" s="8" t="s">
        <v>5941</v>
      </c>
      <c r="H1327" s="8" t="s">
        <v>5942</v>
      </c>
      <c r="I1327" s="8" t="s">
        <v>25</v>
      </c>
      <c r="J1327" s="16" t="s">
        <v>5943</v>
      </c>
      <c r="K1327" s="2" t="s">
        <v>5944</v>
      </c>
      <c r="L1327" s="8" t="s">
        <v>5945</v>
      </c>
      <c r="M1327" s="8" t="s">
        <v>27</v>
      </c>
      <c r="N1327" s="2" t="s">
        <v>5946</v>
      </c>
      <c r="O1327" s="8" t="s">
        <v>550</v>
      </c>
      <c r="P1327" s="8" t="s">
        <v>401</v>
      </c>
      <c r="Q1327" s="12" t="s">
        <v>5947</v>
      </c>
      <c r="R1327" s="8" t="s">
        <v>29</v>
      </c>
      <c r="S1327" s="7" t="s">
        <v>28</v>
      </c>
      <c r="T1327" s="6"/>
      <c r="U1327" s="8"/>
    </row>
    <row r="1328" spans="1:24" ht="13" customHeight="1">
      <c r="A1328" s="8" t="s">
        <v>5954</v>
      </c>
      <c r="B1328" s="16">
        <v>29</v>
      </c>
      <c r="C1328" s="8" t="s">
        <v>114</v>
      </c>
      <c r="D1328" s="8" t="s">
        <v>85</v>
      </c>
      <c r="E1328" s="8" t="s">
        <v>5955</v>
      </c>
      <c r="F1328" s="17">
        <v>41962</v>
      </c>
      <c r="G1328" s="8" t="s">
        <v>5956</v>
      </c>
      <c r="H1328" s="8" t="s">
        <v>1195</v>
      </c>
      <c r="I1328" s="8" t="s">
        <v>319</v>
      </c>
      <c r="J1328" s="16" t="s">
        <v>5957</v>
      </c>
      <c r="K1328" s="2" t="s">
        <v>1196</v>
      </c>
      <c r="L1328" s="8" t="s">
        <v>1197</v>
      </c>
      <c r="M1328" s="8" t="s">
        <v>27</v>
      </c>
      <c r="N1328" s="2" t="s">
        <v>5958</v>
      </c>
      <c r="O1328" s="8" t="s">
        <v>1161</v>
      </c>
      <c r="P1328" s="8" t="s">
        <v>1162</v>
      </c>
      <c r="Q1328" s="12" t="s">
        <v>5959</v>
      </c>
      <c r="R1328" s="8" t="s">
        <v>29</v>
      </c>
      <c r="S1328" s="7" t="s">
        <v>18</v>
      </c>
      <c r="T1328" s="6"/>
      <c r="U1328" s="8"/>
    </row>
    <row r="1329" spans="1:21" ht="13" customHeight="1">
      <c r="A1329" s="8" t="s">
        <v>5960</v>
      </c>
      <c r="B1329" s="16">
        <v>41</v>
      </c>
      <c r="C1329" s="8" t="s">
        <v>20</v>
      </c>
      <c r="D1329" s="8" t="s">
        <v>37</v>
      </c>
      <c r="E1329" s="8" t="s">
        <v>5961</v>
      </c>
      <c r="F1329" s="17">
        <v>41962</v>
      </c>
      <c r="G1329" s="8" t="s">
        <v>5962</v>
      </c>
      <c r="H1329" s="8" t="s">
        <v>5963</v>
      </c>
      <c r="I1329" s="8" t="s">
        <v>431</v>
      </c>
      <c r="J1329" s="16" t="s">
        <v>5964</v>
      </c>
      <c r="K1329" s="2" t="s">
        <v>5965</v>
      </c>
      <c r="L1329" s="8" t="s">
        <v>5966</v>
      </c>
      <c r="M1329" s="8" t="s">
        <v>27</v>
      </c>
      <c r="N1329" s="2" t="s">
        <v>5967</v>
      </c>
      <c r="O1329" s="8" t="s">
        <v>1013</v>
      </c>
      <c r="P1329" s="8" t="s">
        <v>401</v>
      </c>
      <c r="Q1329" s="12" t="s">
        <v>5968</v>
      </c>
      <c r="R1329" s="8" t="s">
        <v>100</v>
      </c>
      <c r="S1329" s="7" t="s">
        <v>28</v>
      </c>
      <c r="T1329" s="6"/>
      <c r="U1329" s="8"/>
    </row>
    <row r="1330" spans="1:21" ht="13" customHeight="1">
      <c r="A1330" s="8" t="s">
        <v>5969</v>
      </c>
      <c r="B1330" s="16">
        <v>34</v>
      </c>
      <c r="C1330" s="8" t="s">
        <v>20</v>
      </c>
      <c r="D1330" s="8" t="s">
        <v>48</v>
      </c>
      <c r="E1330" s="8" t="s">
        <v>5970</v>
      </c>
      <c r="F1330" s="17">
        <v>41961</v>
      </c>
      <c r="G1330" s="8" t="s">
        <v>5971</v>
      </c>
      <c r="H1330" s="8" t="s">
        <v>786</v>
      </c>
      <c r="I1330" s="8" t="s">
        <v>45</v>
      </c>
      <c r="J1330" s="16" t="s">
        <v>5972</v>
      </c>
      <c r="K1330" s="2" t="s">
        <v>786</v>
      </c>
      <c r="L1330" s="8" t="s">
        <v>5973</v>
      </c>
      <c r="M1330" s="8" t="s">
        <v>27</v>
      </c>
      <c r="N1330" s="2" t="s">
        <v>5974</v>
      </c>
      <c r="O1330" s="8" t="s">
        <v>1013</v>
      </c>
      <c r="P1330" s="8" t="s">
        <v>401</v>
      </c>
      <c r="Q1330" s="12" t="s">
        <v>5975</v>
      </c>
      <c r="R1330" s="8" t="s">
        <v>100</v>
      </c>
      <c r="S1330" s="7" t="s">
        <v>28</v>
      </c>
      <c r="T1330" s="6"/>
      <c r="U1330" s="8"/>
    </row>
    <row r="1331" spans="1:21" ht="13" customHeight="1">
      <c r="A1331" s="8" t="s">
        <v>5976</v>
      </c>
      <c r="B1331" s="16">
        <v>34</v>
      </c>
      <c r="C1331" s="8" t="s">
        <v>20</v>
      </c>
      <c r="D1331" s="8" t="s">
        <v>37</v>
      </c>
      <c r="F1331" s="17">
        <v>41961</v>
      </c>
      <c r="G1331" s="8" t="s">
        <v>5977</v>
      </c>
      <c r="H1331" s="8" t="s">
        <v>5978</v>
      </c>
      <c r="I1331" s="8" t="s">
        <v>62</v>
      </c>
      <c r="J1331" s="16" t="s">
        <v>5979</v>
      </c>
      <c r="K1331" s="2" t="s">
        <v>2316</v>
      </c>
      <c r="L1331" s="8" t="s">
        <v>5980</v>
      </c>
      <c r="M1331" s="8" t="s">
        <v>27</v>
      </c>
      <c r="N1331" s="2" t="s">
        <v>5981</v>
      </c>
      <c r="O1331" s="8" t="s">
        <v>1013</v>
      </c>
      <c r="P1331" s="8" t="s">
        <v>401</v>
      </c>
      <c r="Q1331" s="12" t="s">
        <v>5982</v>
      </c>
      <c r="R1331" s="8" t="s">
        <v>100</v>
      </c>
      <c r="S1331" s="7" t="s">
        <v>28</v>
      </c>
      <c r="T1331" s="6"/>
      <c r="U1331" s="8"/>
    </row>
    <row r="1332" spans="1:21" ht="13" customHeight="1">
      <c r="A1332" s="8" t="s">
        <v>5983</v>
      </c>
      <c r="B1332" s="16">
        <v>45</v>
      </c>
      <c r="C1332" s="8" t="s">
        <v>20</v>
      </c>
      <c r="D1332" s="8" t="s">
        <v>37</v>
      </c>
      <c r="E1332" s="8" t="s">
        <v>5984</v>
      </c>
      <c r="F1332" s="17">
        <v>41961</v>
      </c>
      <c r="G1332" s="8" t="s">
        <v>5985</v>
      </c>
      <c r="H1332" s="8" t="s">
        <v>5986</v>
      </c>
      <c r="I1332" s="8" t="s">
        <v>366</v>
      </c>
      <c r="J1332" s="16" t="s">
        <v>5987</v>
      </c>
      <c r="K1332" s="2" t="s">
        <v>3167</v>
      </c>
      <c r="L1332" s="8" t="s">
        <v>5988</v>
      </c>
      <c r="M1332" s="8" t="s">
        <v>27</v>
      </c>
      <c r="N1332" s="2" t="s">
        <v>5989</v>
      </c>
      <c r="O1332" s="8" t="s">
        <v>1013</v>
      </c>
      <c r="P1332" s="8" t="s">
        <v>401</v>
      </c>
      <c r="Q1332" s="12" t="str">
        <f>HYPERLINK("http://www.wral.com/family-man-who-shot-fayetteville-officer-suffered-from-mental-illness/14200793/","http://www.wral.com/family-man-who-shot-fayetteville-officer-suffered-from-mental-illness/14200793/")</f>
        <v>http://www.wral.com/family-man-who-shot-fayetteville-officer-suffered-from-mental-illness/14200793/</v>
      </c>
      <c r="R1332" s="8" t="s">
        <v>555</v>
      </c>
      <c r="S1332" s="7" t="s">
        <v>28</v>
      </c>
      <c r="T1332" s="6"/>
      <c r="U1332" s="8"/>
    </row>
    <row r="1333" spans="1:21" ht="13" customHeight="1">
      <c r="A1333" s="8" t="s">
        <v>5995</v>
      </c>
      <c r="B1333" s="16">
        <v>16</v>
      </c>
      <c r="C1333" s="8" t="s">
        <v>20</v>
      </c>
      <c r="D1333" s="8" t="s">
        <v>85</v>
      </c>
      <c r="F1333" s="17">
        <v>41960</v>
      </c>
      <c r="G1333" s="8" t="s">
        <v>5991</v>
      </c>
      <c r="H1333" s="8" t="s">
        <v>5992</v>
      </c>
      <c r="I1333" s="8" t="s">
        <v>366</v>
      </c>
      <c r="J1333" s="16" t="s">
        <v>5993</v>
      </c>
      <c r="K1333" s="2" t="s">
        <v>5722</v>
      </c>
      <c r="L1333" s="8" t="s">
        <v>5723</v>
      </c>
      <c r="M1333" s="8" t="s">
        <v>379</v>
      </c>
      <c r="N1333" s="2" t="s">
        <v>21639</v>
      </c>
      <c r="O1333" s="8" t="s">
        <v>1013</v>
      </c>
      <c r="P1333" s="8" t="s">
        <v>401</v>
      </c>
      <c r="Q1333" s="12" t="s">
        <v>5994</v>
      </c>
      <c r="R1333" s="8" t="s">
        <v>100</v>
      </c>
      <c r="S1333" s="7" t="s">
        <v>28</v>
      </c>
      <c r="T1333" s="6"/>
      <c r="U1333" s="8"/>
    </row>
    <row r="1334" spans="1:21" ht="13" customHeight="1">
      <c r="A1334" s="8" t="s">
        <v>5996</v>
      </c>
      <c r="B1334" s="16">
        <v>18</v>
      </c>
      <c r="C1334" s="8" t="s">
        <v>20</v>
      </c>
      <c r="D1334" s="8" t="s">
        <v>85</v>
      </c>
      <c r="F1334" s="17">
        <v>41960</v>
      </c>
      <c r="G1334" s="8" t="s">
        <v>5991</v>
      </c>
      <c r="H1334" s="8" t="s">
        <v>5992</v>
      </c>
      <c r="I1334" s="8" t="s">
        <v>366</v>
      </c>
      <c r="J1334" s="16" t="s">
        <v>5993</v>
      </c>
      <c r="K1334" s="2" t="s">
        <v>5722</v>
      </c>
      <c r="L1334" s="8" t="s">
        <v>5723</v>
      </c>
      <c r="M1334" s="8" t="s">
        <v>379</v>
      </c>
      <c r="N1334" s="2" t="s">
        <v>21639</v>
      </c>
      <c r="O1334" s="8" t="s">
        <v>1013</v>
      </c>
      <c r="P1334" s="8" t="s">
        <v>401</v>
      </c>
      <c r="Q1334" s="12" t="s">
        <v>5994</v>
      </c>
      <c r="R1334" s="8" t="s">
        <v>100</v>
      </c>
      <c r="S1334" s="7" t="s">
        <v>28</v>
      </c>
      <c r="T1334" s="6"/>
      <c r="U1334" s="8"/>
    </row>
    <row r="1335" spans="1:21" ht="13" customHeight="1">
      <c r="A1335" s="8" t="s">
        <v>5990</v>
      </c>
      <c r="B1335" s="16">
        <v>19</v>
      </c>
      <c r="C1335" s="8" t="s">
        <v>20</v>
      </c>
      <c r="D1335" s="8" t="s">
        <v>85</v>
      </c>
      <c r="F1335" s="17">
        <v>41960</v>
      </c>
      <c r="G1335" s="8" t="s">
        <v>5991</v>
      </c>
      <c r="H1335" s="8" t="s">
        <v>5992</v>
      </c>
      <c r="I1335" s="8" t="s">
        <v>366</v>
      </c>
      <c r="J1335" s="16" t="s">
        <v>5993</v>
      </c>
      <c r="K1335" s="2" t="s">
        <v>5722</v>
      </c>
      <c r="L1335" s="8" t="s">
        <v>5723</v>
      </c>
      <c r="M1335" s="8" t="s">
        <v>379</v>
      </c>
      <c r="N1335" s="2" t="s">
        <v>21639</v>
      </c>
      <c r="O1335" s="8" t="s">
        <v>1013</v>
      </c>
      <c r="P1335" s="8" t="s">
        <v>401</v>
      </c>
      <c r="Q1335" s="12" t="s">
        <v>5994</v>
      </c>
      <c r="R1335" s="8" t="s">
        <v>100</v>
      </c>
      <c r="S1335" s="7" t="s">
        <v>28</v>
      </c>
      <c r="T1335" s="6"/>
      <c r="U1335" s="8"/>
    </row>
    <row r="1336" spans="1:21" ht="13" customHeight="1">
      <c r="A1336" s="8" t="s">
        <v>5998</v>
      </c>
      <c r="B1336" s="16">
        <v>36</v>
      </c>
      <c r="C1336" s="8" t="s">
        <v>20</v>
      </c>
      <c r="D1336" s="8" t="s">
        <v>37</v>
      </c>
      <c r="F1336" s="17">
        <v>41960</v>
      </c>
      <c r="G1336" s="8" t="s">
        <v>5999</v>
      </c>
      <c r="H1336" s="8" t="s">
        <v>6000</v>
      </c>
      <c r="I1336" s="8" t="s">
        <v>81</v>
      </c>
      <c r="J1336" s="16" t="s">
        <v>6001</v>
      </c>
      <c r="K1336" s="2" t="s">
        <v>6002</v>
      </c>
      <c r="L1336" s="8" t="s">
        <v>6003</v>
      </c>
      <c r="M1336" s="8" t="s">
        <v>27</v>
      </c>
      <c r="N1336" s="2" t="s">
        <v>6004</v>
      </c>
      <c r="O1336" s="8" t="s">
        <v>400</v>
      </c>
      <c r="P1336" s="8" t="s">
        <v>401</v>
      </c>
      <c r="Q1336" s="12" t="str">
        <f>HYPERLINK("http://www.mcall.com/news/breaking/mc-d-phillipsburg-officer-involved-shooting-suspect-dies-20141118-story.html","http://www.mcall.com/news/breaking/mc-d-phillipsburg-officer-involved-shooting-suspect-dies-20141118-story.html")</f>
        <v>http://www.mcall.com/news/breaking/mc-d-phillipsburg-officer-involved-shooting-suspect-dies-20141118-story.html</v>
      </c>
      <c r="R1336" s="8" t="s">
        <v>555</v>
      </c>
      <c r="S1336" s="7" t="s">
        <v>28</v>
      </c>
      <c r="T1336" s="6"/>
      <c r="U1336" s="8"/>
    </row>
    <row r="1337" spans="1:21" ht="13" customHeight="1">
      <c r="A1337" s="8" t="s">
        <v>5997</v>
      </c>
      <c r="B1337" s="16">
        <v>15</v>
      </c>
      <c r="C1337" s="8" t="s">
        <v>20</v>
      </c>
      <c r="D1337" s="8" t="s">
        <v>37</v>
      </c>
      <c r="E1337" s="8" t="str">
        <f>HYPERLINK("http://www.revelsfh.com/obituaries/uploads/OI1223286732_FullSizeRender.jpg","http://www.revelsfh.com/obituaries/uploads/OI1223286732_FullSizeRender.jpg")</f>
        <v>http://www.revelsfh.com/obituaries/uploads/OI1223286732_FullSizeRender.jpg</v>
      </c>
      <c r="F1337" s="17">
        <v>41960</v>
      </c>
      <c r="G1337" s="8" t="s">
        <v>5991</v>
      </c>
      <c r="H1337" s="8" t="s">
        <v>5992</v>
      </c>
      <c r="I1337" s="8" t="s">
        <v>366</v>
      </c>
      <c r="J1337" s="16" t="s">
        <v>5993</v>
      </c>
      <c r="K1337" s="2" t="s">
        <v>5722</v>
      </c>
      <c r="L1337" s="8" t="s">
        <v>5723</v>
      </c>
      <c r="M1337" s="8" t="s">
        <v>379</v>
      </c>
      <c r="N1337" s="2" t="s">
        <v>21639</v>
      </c>
      <c r="O1337" s="8" t="s">
        <v>1013</v>
      </c>
      <c r="P1337" s="8" t="s">
        <v>401</v>
      </c>
      <c r="Q1337" s="12" t="s">
        <v>5994</v>
      </c>
      <c r="R1337" s="8" t="s">
        <v>100</v>
      </c>
      <c r="S1337" s="7" t="s">
        <v>28</v>
      </c>
      <c r="T1337" s="6"/>
      <c r="U1337" s="8"/>
    </row>
    <row r="1338" spans="1:21" ht="13" customHeight="1">
      <c r="A1338" s="8" t="s">
        <v>6005</v>
      </c>
      <c r="B1338" s="16">
        <v>37</v>
      </c>
      <c r="C1338" s="8" t="s">
        <v>20</v>
      </c>
      <c r="D1338" s="8" t="s">
        <v>85</v>
      </c>
      <c r="F1338" s="17">
        <v>41959</v>
      </c>
      <c r="G1338" s="8" t="s">
        <v>6006</v>
      </c>
      <c r="H1338" s="8" t="s">
        <v>6007</v>
      </c>
      <c r="I1338" s="8" t="s">
        <v>303</v>
      </c>
      <c r="J1338" s="16" t="s">
        <v>6008</v>
      </c>
      <c r="K1338" s="2" t="s">
        <v>3492</v>
      </c>
      <c r="L1338" s="8" t="s">
        <v>6009</v>
      </c>
      <c r="M1338" s="8" t="s">
        <v>27</v>
      </c>
      <c r="N1338" s="2" t="s">
        <v>6010</v>
      </c>
      <c r="O1338" s="8" t="s">
        <v>1013</v>
      </c>
      <c r="P1338" s="8" t="s">
        <v>401</v>
      </c>
      <c r="Q1338" s="12" t="s">
        <v>6011</v>
      </c>
      <c r="R1338" s="8" t="s">
        <v>100</v>
      </c>
      <c r="S1338" s="7" t="s">
        <v>28</v>
      </c>
      <c r="T1338" s="6"/>
      <c r="U1338" s="8"/>
    </row>
    <row r="1339" spans="1:21" ht="13" customHeight="1">
      <c r="A1339" s="8" t="s">
        <v>6012</v>
      </c>
      <c r="B1339" s="16">
        <v>26</v>
      </c>
      <c r="C1339" s="8" t="s">
        <v>20</v>
      </c>
      <c r="D1339" s="8" t="s">
        <v>48</v>
      </c>
      <c r="E1339" s="8" t="s">
        <v>6013</v>
      </c>
      <c r="F1339" s="17">
        <v>41959</v>
      </c>
      <c r="G1339" s="8" t="s">
        <v>6014</v>
      </c>
      <c r="H1339" s="8" t="s">
        <v>6015</v>
      </c>
      <c r="I1339" s="8" t="s">
        <v>45</v>
      </c>
      <c r="J1339" s="16" t="s">
        <v>6016</v>
      </c>
      <c r="K1339" s="2" t="s">
        <v>98</v>
      </c>
      <c r="L1339" s="8" t="s">
        <v>414</v>
      </c>
      <c r="M1339" s="8" t="s">
        <v>27</v>
      </c>
      <c r="N1339" s="2" t="s">
        <v>6017</v>
      </c>
      <c r="O1339" s="8" t="s">
        <v>1013</v>
      </c>
      <c r="P1339" s="8" t="s">
        <v>401</v>
      </c>
      <c r="Q1339" s="12" t="s">
        <v>6018</v>
      </c>
      <c r="R1339" s="8" t="s">
        <v>100</v>
      </c>
      <c r="S1339" s="7" t="s">
        <v>18</v>
      </c>
      <c r="T1339" s="6"/>
      <c r="U1339" s="8"/>
    </row>
    <row r="1340" spans="1:21" ht="13" customHeight="1">
      <c r="A1340" s="8" t="s">
        <v>6019</v>
      </c>
      <c r="B1340" s="16">
        <v>57</v>
      </c>
      <c r="C1340" s="8" t="s">
        <v>20</v>
      </c>
      <c r="D1340" s="8" t="s">
        <v>48</v>
      </c>
      <c r="E1340" s="8" t="s">
        <v>6020</v>
      </c>
      <c r="F1340" s="17">
        <v>41959</v>
      </c>
      <c r="G1340" s="8" t="s">
        <v>6014</v>
      </c>
      <c r="H1340" s="8" t="s">
        <v>6015</v>
      </c>
      <c r="I1340" s="8" t="s">
        <v>45</v>
      </c>
      <c r="J1340" s="16" t="s">
        <v>6016</v>
      </c>
      <c r="K1340" s="2" t="s">
        <v>98</v>
      </c>
      <c r="L1340" s="8" t="s">
        <v>414</v>
      </c>
      <c r="M1340" s="8" t="s">
        <v>27</v>
      </c>
      <c r="N1340" s="2" t="s">
        <v>6017</v>
      </c>
      <c r="O1340" s="8" t="s">
        <v>1013</v>
      </c>
      <c r="P1340" s="8" t="s">
        <v>401</v>
      </c>
      <c r="Q1340" s="12" t="s">
        <v>6018</v>
      </c>
      <c r="R1340" s="8" t="s">
        <v>100</v>
      </c>
      <c r="S1340" s="7" t="s">
        <v>18</v>
      </c>
      <c r="T1340" s="6"/>
      <c r="U1340" s="8"/>
    </row>
    <row r="1341" spans="1:21" ht="13" customHeight="1">
      <c r="A1341" s="8" t="s">
        <v>6036</v>
      </c>
      <c r="B1341" s="16">
        <v>37</v>
      </c>
      <c r="C1341" s="8" t="s">
        <v>20</v>
      </c>
      <c r="D1341" s="8" t="s">
        <v>37</v>
      </c>
      <c r="E1341" s="8" t="s">
        <v>6037</v>
      </c>
      <c r="F1341" s="17">
        <v>41959</v>
      </c>
      <c r="G1341" s="8" t="s">
        <v>6038</v>
      </c>
      <c r="H1341" s="8" t="s">
        <v>6039</v>
      </c>
      <c r="I1341" s="8" t="s">
        <v>117</v>
      </c>
      <c r="J1341" s="16" t="s">
        <v>6040</v>
      </c>
      <c r="K1341" s="2" t="s">
        <v>6041</v>
      </c>
      <c r="L1341" s="8" t="s">
        <v>6042</v>
      </c>
      <c r="M1341" s="8" t="s">
        <v>27</v>
      </c>
      <c r="N1341" s="2" t="s">
        <v>6043</v>
      </c>
      <c r="O1341" s="8" t="s">
        <v>400</v>
      </c>
      <c r="P1341" s="8" t="s">
        <v>401</v>
      </c>
      <c r="Q1341" s="12" t="s">
        <v>6044</v>
      </c>
      <c r="R1341" s="8" t="s">
        <v>100</v>
      </c>
      <c r="S1341" s="7" t="s">
        <v>28</v>
      </c>
      <c r="T1341" s="6"/>
      <c r="U1341" s="8"/>
    </row>
    <row r="1342" spans="1:21" ht="13" customHeight="1">
      <c r="A1342" s="8" t="s">
        <v>6045</v>
      </c>
      <c r="B1342" s="16">
        <v>40</v>
      </c>
      <c r="C1342" s="8" t="s">
        <v>20</v>
      </c>
      <c r="D1342" s="8" t="s">
        <v>37</v>
      </c>
      <c r="E1342" s="8" t="s">
        <v>6046</v>
      </c>
      <c r="F1342" s="17">
        <v>41959</v>
      </c>
      <c r="G1342" s="8" t="s">
        <v>6047</v>
      </c>
      <c r="H1342" s="8" t="s">
        <v>1058</v>
      </c>
      <c r="I1342" s="8" t="s">
        <v>69</v>
      </c>
      <c r="J1342" s="16" t="s">
        <v>6048</v>
      </c>
      <c r="K1342" s="2" t="s">
        <v>1059</v>
      </c>
      <c r="L1342" s="8" t="s">
        <v>6049</v>
      </c>
      <c r="M1342" s="8" t="s">
        <v>27</v>
      </c>
      <c r="N1342" s="2" t="s">
        <v>6050</v>
      </c>
      <c r="O1342" s="8" t="s">
        <v>550</v>
      </c>
      <c r="P1342" s="8" t="s">
        <v>401</v>
      </c>
      <c r="Q1342" s="12" t="s">
        <v>6051</v>
      </c>
      <c r="R1342" s="8" t="s">
        <v>100</v>
      </c>
      <c r="S1342" s="7" t="s">
        <v>28</v>
      </c>
      <c r="T1342" s="6"/>
      <c r="U1342" s="8"/>
    </row>
    <row r="1343" spans="1:21" ht="13" customHeight="1">
      <c r="A1343" s="8" t="s">
        <v>6030</v>
      </c>
      <c r="B1343" s="16">
        <v>42</v>
      </c>
      <c r="C1343" s="8" t="s">
        <v>20</v>
      </c>
      <c r="D1343" s="8" t="s">
        <v>37</v>
      </c>
      <c r="E1343" s="8" t="s">
        <v>6031</v>
      </c>
      <c r="F1343" s="17">
        <v>41959</v>
      </c>
      <c r="G1343" s="8" t="s">
        <v>6032</v>
      </c>
      <c r="H1343" s="8" t="s">
        <v>289</v>
      </c>
      <c r="I1343" s="8" t="s">
        <v>315</v>
      </c>
      <c r="J1343" s="16" t="s">
        <v>6033</v>
      </c>
      <c r="K1343" s="2" t="s">
        <v>1196</v>
      </c>
      <c r="L1343" s="8" t="s">
        <v>3385</v>
      </c>
      <c r="M1343" s="8" t="s">
        <v>27</v>
      </c>
      <c r="N1343" s="2" t="s">
        <v>6034</v>
      </c>
      <c r="O1343" s="8" t="s">
        <v>1013</v>
      </c>
      <c r="P1343" s="8" t="s">
        <v>401</v>
      </c>
      <c r="Q1343" s="12" t="s">
        <v>6035</v>
      </c>
      <c r="R1343" s="8" t="s">
        <v>100</v>
      </c>
      <c r="S1343" s="7" t="s">
        <v>28</v>
      </c>
      <c r="T1343" s="6"/>
      <c r="U1343" s="8"/>
    </row>
    <row r="1344" spans="1:21" ht="13" customHeight="1">
      <c r="A1344" s="8" t="s">
        <v>6021</v>
      </c>
      <c r="B1344" s="16">
        <v>46</v>
      </c>
      <c r="C1344" s="8" t="s">
        <v>114</v>
      </c>
      <c r="D1344" s="8" t="s">
        <v>37</v>
      </c>
      <c r="E1344" s="8" t="s">
        <v>6022</v>
      </c>
      <c r="F1344" s="17">
        <v>41959</v>
      </c>
      <c r="G1344" s="8" t="s">
        <v>6023</v>
      </c>
      <c r="H1344" s="8" t="s">
        <v>6024</v>
      </c>
      <c r="I1344" s="8" t="s">
        <v>62</v>
      </c>
      <c r="J1344" s="16" t="s">
        <v>6025</v>
      </c>
      <c r="K1344" s="2" t="s">
        <v>6026</v>
      </c>
      <c r="L1344" s="8" t="s">
        <v>6027</v>
      </c>
      <c r="M1344" s="8" t="s">
        <v>27</v>
      </c>
      <c r="N1344" s="2" t="s">
        <v>6028</v>
      </c>
      <c r="O1344" s="8" t="s">
        <v>1013</v>
      </c>
      <c r="P1344" s="8" t="s">
        <v>401</v>
      </c>
      <c r="Q1344" s="12" t="s">
        <v>6029</v>
      </c>
      <c r="R1344" s="8" t="s">
        <v>100</v>
      </c>
      <c r="S1344" s="7" t="s">
        <v>28</v>
      </c>
      <c r="T1344" s="6"/>
      <c r="U1344" s="8"/>
    </row>
    <row r="1345" spans="1:39" ht="13" customHeight="1">
      <c r="A1345" s="8" t="s">
        <v>6052</v>
      </c>
      <c r="B1345" s="16">
        <v>33</v>
      </c>
      <c r="C1345" s="8" t="s">
        <v>20</v>
      </c>
      <c r="D1345" s="8" t="s">
        <v>48</v>
      </c>
      <c r="F1345" s="17">
        <v>41958</v>
      </c>
      <c r="G1345" s="8" t="s">
        <v>6053</v>
      </c>
      <c r="H1345" s="8" t="s">
        <v>1534</v>
      </c>
      <c r="I1345" s="8" t="s">
        <v>117</v>
      </c>
      <c r="J1345" s="16" t="s">
        <v>6054</v>
      </c>
      <c r="K1345" s="2" t="s">
        <v>1535</v>
      </c>
      <c r="L1345" s="8" t="s">
        <v>6055</v>
      </c>
      <c r="M1345" s="8" t="s">
        <v>27</v>
      </c>
      <c r="N1345" s="2" t="s">
        <v>6056</v>
      </c>
      <c r="O1345" s="8" t="s">
        <v>400</v>
      </c>
      <c r="P1345" s="8" t="s">
        <v>401</v>
      </c>
      <c r="Q1345" s="12" t="s">
        <v>6057</v>
      </c>
      <c r="R1345" s="8" t="s">
        <v>100</v>
      </c>
      <c r="S1345" s="7" t="s">
        <v>35</v>
      </c>
      <c r="T1345" s="6"/>
      <c r="U1345" s="8"/>
    </row>
    <row r="1346" spans="1:39" ht="13" customHeight="1">
      <c r="A1346" s="8" t="s">
        <v>6058</v>
      </c>
      <c r="B1346" s="16">
        <v>20</v>
      </c>
      <c r="C1346" s="8" t="s">
        <v>20</v>
      </c>
      <c r="D1346" s="8" t="s">
        <v>21</v>
      </c>
      <c r="E1346" s="8" t="s">
        <v>6059</v>
      </c>
      <c r="F1346" s="17">
        <v>41957</v>
      </c>
      <c r="G1346" s="8" t="s">
        <v>6060</v>
      </c>
      <c r="H1346" s="8" t="s">
        <v>6061</v>
      </c>
      <c r="I1346" s="8" t="s">
        <v>438</v>
      </c>
      <c r="J1346" s="16" t="s">
        <v>6062</v>
      </c>
      <c r="K1346" s="2" t="s">
        <v>6063</v>
      </c>
      <c r="L1346" s="8" t="s">
        <v>6064</v>
      </c>
      <c r="M1346" s="8" t="s">
        <v>27</v>
      </c>
      <c r="N1346" s="2" t="s">
        <v>6065</v>
      </c>
      <c r="O1346" s="8" t="s">
        <v>400</v>
      </c>
      <c r="P1346" s="8" t="s">
        <v>401</v>
      </c>
      <c r="Q1346" s="12" t="s">
        <v>6066</v>
      </c>
      <c r="R1346" s="8" t="s">
        <v>100</v>
      </c>
      <c r="S1346" s="7" t="s">
        <v>28</v>
      </c>
      <c r="T1346" s="6"/>
      <c r="U1346" s="8"/>
      <c r="AI1346" s="8"/>
      <c r="AJ1346" s="8"/>
      <c r="AK1346" s="8"/>
      <c r="AL1346" s="8"/>
      <c r="AM1346" s="8"/>
    </row>
    <row r="1347" spans="1:39" ht="13" customHeight="1">
      <c r="A1347" s="8" t="s">
        <v>6067</v>
      </c>
      <c r="B1347" s="16">
        <v>35</v>
      </c>
      <c r="C1347" s="8" t="s">
        <v>20</v>
      </c>
      <c r="D1347" s="8" t="s">
        <v>48</v>
      </c>
      <c r="F1347" s="17">
        <v>41957</v>
      </c>
      <c r="G1347" s="8" t="s">
        <v>6068</v>
      </c>
      <c r="H1347" s="8" t="s">
        <v>6069</v>
      </c>
      <c r="I1347" s="8" t="s">
        <v>45</v>
      </c>
      <c r="J1347" s="16" t="s">
        <v>6070</v>
      </c>
      <c r="K1347" s="2" t="s">
        <v>156</v>
      </c>
      <c r="L1347" s="8" t="s">
        <v>6071</v>
      </c>
      <c r="M1347" s="8" t="s">
        <v>27</v>
      </c>
      <c r="N1347" s="2" t="s">
        <v>6072</v>
      </c>
      <c r="O1347" s="8" t="s">
        <v>550</v>
      </c>
      <c r="P1347" s="8" t="s">
        <v>401</v>
      </c>
      <c r="Q1347" s="12" t="s">
        <v>6073</v>
      </c>
      <c r="R1347" s="8" t="s">
        <v>555</v>
      </c>
      <c r="S1347" s="7" t="s">
        <v>28</v>
      </c>
      <c r="T1347" s="6"/>
      <c r="U1347" s="8"/>
    </row>
    <row r="1348" spans="1:39" ht="13" customHeight="1">
      <c r="A1348" s="8" t="s">
        <v>6080</v>
      </c>
      <c r="B1348" s="16">
        <v>33</v>
      </c>
      <c r="C1348" s="8" t="s">
        <v>114</v>
      </c>
      <c r="D1348" s="8" t="s">
        <v>37</v>
      </c>
      <c r="E1348" s="8" t="s">
        <v>6081</v>
      </c>
      <c r="F1348" s="17">
        <v>41957</v>
      </c>
      <c r="G1348" s="8" t="s">
        <v>6082</v>
      </c>
      <c r="H1348" s="8" t="s">
        <v>6083</v>
      </c>
      <c r="I1348" s="8" t="s">
        <v>438</v>
      </c>
      <c r="J1348" s="16" t="s">
        <v>6084</v>
      </c>
      <c r="K1348" s="2" t="s">
        <v>6085</v>
      </c>
      <c r="L1348" s="8" t="s">
        <v>6086</v>
      </c>
      <c r="M1348" s="8" t="s">
        <v>27</v>
      </c>
      <c r="N1348" s="2" t="s">
        <v>6087</v>
      </c>
      <c r="O1348" s="8" t="s">
        <v>1013</v>
      </c>
      <c r="P1348" s="8" t="s">
        <v>401</v>
      </c>
      <c r="Q1348" s="12" t="str">
        <f>HYPERLINK("http://www.weau.com/home/headlines/Female-suspect-killed-in-Boyceville-officer-involved-shooting-282832071.html","http://www.weau.com/home/headlines/Female-suspect-killed-in-Boyceville-officer-involved-shooting-282832071.html")</f>
        <v>http://www.weau.com/home/headlines/Female-suspect-killed-in-Boyceville-officer-involved-shooting-282832071.html</v>
      </c>
      <c r="R1348" s="8" t="s">
        <v>100</v>
      </c>
      <c r="S1348" s="7" t="s">
        <v>28</v>
      </c>
      <c r="T1348" s="6"/>
      <c r="U1348" s="8"/>
    </row>
    <row r="1349" spans="1:39" ht="13" customHeight="1">
      <c r="A1349" s="8" t="s">
        <v>6074</v>
      </c>
      <c r="B1349" s="16">
        <v>41</v>
      </c>
      <c r="C1349" s="8" t="s">
        <v>20</v>
      </c>
      <c r="D1349" s="8" t="s">
        <v>37</v>
      </c>
      <c r="E1349" s="8" t="s">
        <v>6075</v>
      </c>
      <c r="F1349" s="17">
        <v>41957</v>
      </c>
      <c r="G1349" s="8" t="s">
        <v>6076</v>
      </c>
      <c r="H1349" s="8" t="s">
        <v>3832</v>
      </c>
      <c r="I1349" s="8" t="s">
        <v>225</v>
      </c>
      <c r="J1349" s="16" t="s">
        <v>3833</v>
      </c>
      <c r="K1349" s="2" t="s">
        <v>3834</v>
      </c>
      <c r="L1349" s="8" t="s">
        <v>6077</v>
      </c>
      <c r="M1349" s="8" t="s">
        <v>27</v>
      </c>
      <c r="N1349" s="2" t="s">
        <v>6078</v>
      </c>
      <c r="O1349" s="8" t="s">
        <v>400</v>
      </c>
      <c r="P1349" s="8" t="s">
        <v>401</v>
      </c>
      <c r="Q1349" s="12" t="s">
        <v>6079</v>
      </c>
      <c r="R1349" s="8" t="s">
        <v>100</v>
      </c>
      <c r="S1349" s="7" t="s">
        <v>28</v>
      </c>
      <c r="T1349" s="6"/>
      <c r="U1349" s="8"/>
    </row>
    <row r="1350" spans="1:39" ht="13" customHeight="1">
      <c r="A1350" s="8" t="s">
        <v>6095</v>
      </c>
      <c r="B1350" s="16">
        <v>31</v>
      </c>
      <c r="C1350" s="8" t="s">
        <v>20</v>
      </c>
      <c r="D1350" s="8" t="s">
        <v>85</v>
      </c>
      <c r="E1350" s="8" t="s">
        <v>6096</v>
      </c>
      <c r="F1350" s="17">
        <v>41956</v>
      </c>
      <c r="G1350" s="8" t="s">
        <v>6097</v>
      </c>
      <c r="H1350" s="8" t="s">
        <v>2106</v>
      </c>
      <c r="I1350" s="8" t="s">
        <v>81</v>
      </c>
      <c r="J1350" s="16" t="s">
        <v>6098</v>
      </c>
      <c r="K1350" s="2" t="s">
        <v>2914</v>
      </c>
      <c r="L1350" s="8" t="s">
        <v>2108</v>
      </c>
      <c r="M1350" s="8" t="s">
        <v>27</v>
      </c>
      <c r="N1350" s="2" t="s">
        <v>6099</v>
      </c>
      <c r="P1350" s="8" t="s">
        <v>401</v>
      </c>
      <c r="Q1350" s="12" t="s">
        <v>6100</v>
      </c>
      <c r="R1350" s="8" t="s">
        <v>100</v>
      </c>
      <c r="S1350" s="7" t="s">
        <v>28</v>
      </c>
      <c r="T1350" s="6"/>
      <c r="U1350" s="8"/>
    </row>
    <row r="1351" spans="1:39" ht="13" customHeight="1">
      <c r="A1351" s="8" t="s">
        <v>6088</v>
      </c>
      <c r="B1351" s="16">
        <v>37</v>
      </c>
      <c r="C1351" s="8" t="s">
        <v>114</v>
      </c>
      <c r="D1351" s="8" t="s">
        <v>85</v>
      </c>
      <c r="E1351" s="8" t="s">
        <v>6089</v>
      </c>
      <c r="F1351" s="17">
        <v>41956</v>
      </c>
      <c r="G1351" s="8" t="s">
        <v>6090</v>
      </c>
      <c r="H1351" s="8" t="s">
        <v>987</v>
      </c>
      <c r="I1351" s="8" t="s">
        <v>69</v>
      </c>
      <c r="J1351" s="16" t="s">
        <v>6091</v>
      </c>
      <c r="K1351" s="2" t="s">
        <v>105</v>
      </c>
      <c r="L1351" s="8" t="s">
        <v>3471</v>
      </c>
      <c r="M1351" s="8" t="s">
        <v>6092</v>
      </c>
      <c r="N1351" s="2" t="s">
        <v>6093</v>
      </c>
      <c r="O1351" s="8" t="s">
        <v>1013</v>
      </c>
      <c r="P1351" s="8" t="s">
        <v>401</v>
      </c>
      <c r="Q1351" s="12" t="s">
        <v>6094</v>
      </c>
      <c r="R1351" s="8" t="s">
        <v>555</v>
      </c>
      <c r="S1351" s="7" t="s">
        <v>18</v>
      </c>
      <c r="T1351" s="6"/>
      <c r="U1351" s="8"/>
    </row>
    <row r="1352" spans="1:39" ht="13" customHeight="1">
      <c r="A1352" s="8" t="s">
        <v>6107</v>
      </c>
      <c r="B1352" s="16">
        <v>35</v>
      </c>
      <c r="C1352" s="8" t="s">
        <v>20</v>
      </c>
      <c r="D1352" s="8" t="s">
        <v>48</v>
      </c>
      <c r="F1352" s="17">
        <v>41956</v>
      </c>
      <c r="G1352" s="8" t="s">
        <v>6108</v>
      </c>
      <c r="H1352" s="8" t="s">
        <v>309</v>
      </c>
      <c r="I1352" s="8" t="s">
        <v>45</v>
      </c>
      <c r="J1352" s="16" t="s">
        <v>6109</v>
      </c>
      <c r="K1352" s="2" t="s">
        <v>309</v>
      </c>
      <c r="L1352" s="8" t="s">
        <v>4348</v>
      </c>
      <c r="M1352" s="8" t="s">
        <v>27</v>
      </c>
      <c r="N1352" s="2" t="s">
        <v>6110</v>
      </c>
      <c r="P1352" s="8" t="s">
        <v>401</v>
      </c>
      <c r="Q1352" s="12" t="s">
        <v>6111</v>
      </c>
      <c r="R1352" s="8" t="s">
        <v>100</v>
      </c>
      <c r="S1352" s="7" t="s">
        <v>28</v>
      </c>
      <c r="T1352" s="6"/>
      <c r="U1352" s="8"/>
    </row>
    <row r="1353" spans="1:39" ht="13" customHeight="1">
      <c r="A1353" s="8" t="s">
        <v>6101</v>
      </c>
      <c r="B1353" s="16">
        <v>22</v>
      </c>
      <c r="C1353" s="8" t="s">
        <v>20</v>
      </c>
      <c r="D1353" s="8" t="s">
        <v>48</v>
      </c>
      <c r="E1353" s="8" t="s">
        <v>6102</v>
      </c>
      <c r="F1353" s="17">
        <v>41956</v>
      </c>
      <c r="G1353" s="8" t="s">
        <v>6103</v>
      </c>
      <c r="H1353" s="8" t="s">
        <v>681</v>
      </c>
      <c r="I1353" s="8" t="s">
        <v>45</v>
      </c>
      <c r="J1353" s="16" t="s">
        <v>6104</v>
      </c>
      <c r="K1353" s="2" t="s">
        <v>682</v>
      </c>
      <c r="L1353" s="8" t="s">
        <v>683</v>
      </c>
      <c r="M1353" s="8" t="s">
        <v>27</v>
      </c>
      <c r="N1353" s="2" t="s">
        <v>6105</v>
      </c>
      <c r="O1353" s="8" t="s">
        <v>1013</v>
      </c>
      <c r="P1353" s="8" t="s">
        <v>401</v>
      </c>
      <c r="Q1353" s="12" t="s">
        <v>6106</v>
      </c>
      <c r="R1353" s="8" t="s">
        <v>100</v>
      </c>
      <c r="S1353" s="7" t="s">
        <v>18</v>
      </c>
      <c r="T1353" s="6"/>
      <c r="U1353" s="8"/>
      <c r="Y1353" s="8"/>
      <c r="Z1353" s="8"/>
      <c r="AA1353" s="8"/>
      <c r="AB1353" s="8"/>
      <c r="AC1353" s="8"/>
      <c r="AD1353" s="8"/>
      <c r="AE1353" s="8"/>
      <c r="AF1353" s="8"/>
      <c r="AG1353" s="8"/>
      <c r="AH1353" s="8"/>
    </row>
    <row r="1354" spans="1:39" ht="13" customHeight="1">
      <c r="A1354" s="8" t="s">
        <v>6119</v>
      </c>
      <c r="B1354" s="16">
        <v>29</v>
      </c>
      <c r="C1354" s="8" t="s">
        <v>20</v>
      </c>
      <c r="D1354" s="8" t="s">
        <v>37</v>
      </c>
      <c r="E1354" s="8" t="s">
        <v>6120</v>
      </c>
      <c r="F1354" s="17">
        <v>41956</v>
      </c>
      <c r="G1354" s="8" t="s">
        <v>6121</v>
      </c>
      <c r="H1354" s="8" t="s">
        <v>387</v>
      </c>
      <c r="I1354" s="8" t="s">
        <v>319</v>
      </c>
      <c r="J1354" s="16" t="s">
        <v>6122</v>
      </c>
      <c r="K1354" s="2" t="s">
        <v>2692</v>
      </c>
      <c r="L1354" s="8" t="s">
        <v>2693</v>
      </c>
      <c r="M1354" s="8" t="s">
        <v>27</v>
      </c>
      <c r="N1354" s="2" t="s">
        <v>6123</v>
      </c>
      <c r="P1354" s="8" t="s">
        <v>401</v>
      </c>
      <c r="Q1354" s="12" t="str">
        <f>HYPERLINK("http://www.local8now.com/home/headlines/Shooting-investigation-in-South-Knox-County-282637501.html","http://www.local8now.com/home/headlines/Shooting-investigation-in-South-Knox-County-282637501.html")</f>
        <v>http://www.local8now.com/home/headlines/Shooting-investigation-in-South-Knox-County-282637501.html</v>
      </c>
      <c r="R1354" s="8" t="s">
        <v>100</v>
      </c>
      <c r="S1354" s="7" t="s">
        <v>28</v>
      </c>
      <c r="T1354" s="6"/>
      <c r="U1354" s="8"/>
    </row>
    <row r="1355" spans="1:39" ht="13" customHeight="1">
      <c r="A1355" s="8" t="s">
        <v>6112</v>
      </c>
      <c r="B1355" s="16">
        <v>33</v>
      </c>
      <c r="C1355" s="8" t="s">
        <v>20</v>
      </c>
      <c r="D1355" s="8" t="s">
        <v>37</v>
      </c>
      <c r="E1355" s="8" t="s">
        <v>6113</v>
      </c>
      <c r="F1355" s="17">
        <v>41956</v>
      </c>
      <c r="G1355" s="8" t="s">
        <v>6114</v>
      </c>
      <c r="H1355" s="8" t="s">
        <v>1058</v>
      </c>
      <c r="I1355" s="8" t="s">
        <v>69</v>
      </c>
      <c r="J1355" s="16" t="s">
        <v>6115</v>
      </c>
      <c r="K1355" s="2" t="s">
        <v>1059</v>
      </c>
      <c r="L1355" s="8" t="s">
        <v>6116</v>
      </c>
      <c r="M1355" s="8" t="s">
        <v>27</v>
      </c>
      <c r="N1355" s="2" t="s">
        <v>6117</v>
      </c>
      <c r="P1355" s="8" t="s">
        <v>401</v>
      </c>
      <c r="Q1355" s="12" t="s">
        <v>6118</v>
      </c>
      <c r="R1355" s="8" t="s">
        <v>100</v>
      </c>
      <c r="S1355" s="7" t="s">
        <v>28</v>
      </c>
      <c r="T1355" s="6"/>
      <c r="U1355" s="8"/>
    </row>
    <row r="1356" spans="1:39" ht="13" customHeight="1">
      <c r="A1356" s="8" t="s">
        <v>6124</v>
      </c>
      <c r="B1356" s="16">
        <v>26</v>
      </c>
      <c r="C1356" s="8" t="s">
        <v>20</v>
      </c>
      <c r="D1356" s="8" t="s">
        <v>48</v>
      </c>
      <c r="F1356" s="17">
        <v>41955</v>
      </c>
      <c r="G1356" s="8" t="s">
        <v>6125</v>
      </c>
      <c r="H1356" s="8" t="s">
        <v>6126</v>
      </c>
      <c r="I1356" s="8" t="s">
        <v>45</v>
      </c>
      <c r="J1356" s="16" t="s">
        <v>6127</v>
      </c>
      <c r="K1356" s="2" t="s">
        <v>4529</v>
      </c>
      <c r="L1356" s="8" t="s">
        <v>6128</v>
      </c>
      <c r="M1356" s="8" t="s">
        <v>27</v>
      </c>
      <c r="N1356" s="2" t="s">
        <v>6129</v>
      </c>
      <c r="P1356" s="8" t="s">
        <v>401</v>
      </c>
      <c r="Q1356" s="12" t="s">
        <v>6130</v>
      </c>
      <c r="R1356" s="8" t="s">
        <v>100</v>
      </c>
      <c r="S1356" s="7" t="s">
        <v>28</v>
      </c>
      <c r="T1356" s="6"/>
      <c r="U1356" s="8"/>
    </row>
    <row r="1357" spans="1:39" ht="13" customHeight="1">
      <c r="A1357" s="8" t="s">
        <v>6131</v>
      </c>
      <c r="B1357" s="16">
        <v>31</v>
      </c>
      <c r="C1357" s="8" t="s">
        <v>20</v>
      </c>
      <c r="D1357" s="8" t="s">
        <v>21</v>
      </c>
      <c r="F1357" s="17">
        <v>41954</v>
      </c>
      <c r="G1357" s="8" t="s">
        <v>6132</v>
      </c>
      <c r="H1357" s="8" t="s">
        <v>6133</v>
      </c>
      <c r="I1357" s="8" t="s">
        <v>62</v>
      </c>
      <c r="J1357" s="16" t="s">
        <v>6134</v>
      </c>
      <c r="K1357" s="2" t="s">
        <v>640</v>
      </c>
      <c r="L1357" s="8" t="s">
        <v>6135</v>
      </c>
      <c r="M1357" s="8" t="s">
        <v>27</v>
      </c>
      <c r="N1357" s="2" t="s">
        <v>6136</v>
      </c>
      <c r="O1357" s="8" t="s">
        <v>1013</v>
      </c>
      <c r="P1357" s="8" t="s">
        <v>401</v>
      </c>
      <c r="Q1357" s="12" t="s">
        <v>6137</v>
      </c>
      <c r="R1357" s="8" t="s">
        <v>100</v>
      </c>
      <c r="S1357" s="7" t="s">
        <v>28</v>
      </c>
      <c r="T1357" s="6"/>
      <c r="U1357" s="8"/>
      <c r="AI1357" s="8"/>
      <c r="AJ1357" s="8"/>
      <c r="AK1357" s="8"/>
      <c r="AL1357" s="8"/>
      <c r="AM1357" s="8"/>
    </row>
    <row r="1358" spans="1:39" ht="13" customHeight="1">
      <c r="A1358" s="8" t="s">
        <v>6138</v>
      </c>
      <c r="B1358" s="16">
        <v>26</v>
      </c>
      <c r="C1358" s="8" t="s">
        <v>20</v>
      </c>
      <c r="D1358" s="8" t="s">
        <v>37</v>
      </c>
      <c r="E1358" s="8" t="s">
        <v>6139</v>
      </c>
      <c r="F1358" s="17">
        <v>41954</v>
      </c>
      <c r="G1358" s="8" t="s">
        <v>6140</v>
      </c>
      <c r="H1358" s="8" t="s">
        <v>653</v>
      </c>
      <c r="I1358" s="8" t="s">
        <v>94</v>
      </c>
      <c r="J1358" s="16" t="s">
        <v>6141</v>
      </c>
      <c r="K1358" s="2" t="s">
        <v>6142</v>
      </c>
      <c r="L1358" s="8" t="s">
        <v>2361</v>
      </c>
      <c r="M1358" s="8" t="s">
        <v>27</v>
      </c>
      <c r="N1358" s="2" t="s">
        <v>6143</v>
      </c>
      <c r="P1358" s="8" t="s">
        <v>401</v>
      </c>
      <c r="Q1358" s="12" t="s">
        <v>6144</v>
      </c>
      <c r="R1358" s="8" t="s">
        <v>100</v>
      </c>
      <c r="S1358" s="7" t="s">
        <v>28</v>
      </c>
      <c r="T1358" s="6"/>
      <c r="U1358" s="8"/>
    </row>
    <row r="1359" spans="1:39" ht="13" customHeight="1">
      <c r="A1359" s="8" t="s">
        <v>6145</v>
      </c>
      <c r="B1359" s="16">
        <v>52</v>
      </c>
      <c r="C1359" s="8" t="s">
        <v>20</v>
      </c>
      <c r="D1359" s="8" t="s">
        <v>37</v>
      </c>
      <c r="F1359" s="17">
        <v>41954</v>
      </c>
      <c r="G1359" s="8" t="s">
        <v>6146</v>
      </c>
      <c r="H1359" s="8" t="s">
        <v>6147</v>
      </c>
      <c r="I1359" s="8" t="s">
        <v>45</v>
      </c>
      <c r="J1359" s="16" t="s">
        <v>6148</v>
      </c>
      <c r="K1359" s="2" t="s">
        <v>4661</v>
      </c>
      <c r="L1359" s="8" t="s">
        <v>6149</v>
      </c>
      <c r="M1359" s="8" t="s">
        <v>27</v>
      </c>
      <c r="N1359" s="2" t="s">
        <v>6150</v>
      </c>
      <c r="O1359" s="8" t="s">
        <v>400</v>
      </c>
      <c r="P1359" s="8" t="s">
        <v>401</v>
      </c>
      <c r="Q1359" s="12" t="s">
        <v>6151</v>
      </c>
      <c r="R1359" s="8" t="s">
        <v>100</v>
      </c>
      <c r="S1359" s="7" t="s">
        <v>28</v>
      </c>
      <c r="T1359" s="6"/>
      <c r="U1359" s="8"/>
    </row>
    <row r="1360" spans="1:39" ht="13" customHeight="1">
      <c r="A1360" s="8" t="s">
        <v>6152</v>
      </c>
      <c r="B1360" s="16">
        <v>38</v>
      </c>
      <c r="C1360" s="8" t="s">
        <v>20</v>
      </c>
      <c r="D1360" s="8" t="s">
        <v>37</v>
      </c>
      <c r="E1360" s="8" t="s">
        <v>6153</v>
      </c>
      <c r="F1360" s="17">
        <v>41954</v>
      </c>
      <c r="G1360" s="8" t="s">
        <v>6154</v>
      </c>
      <c r="H1360" s="8" t="s">
        <v>5529</v>
      </c>
      <c r="I1360" s="8" t="s">
        <v>45</v>
      </c>
      <c r="J1360" s="16" t="s">
        <v>6155</v>
      </c>
      <c r="K1360" s="2" t="s">
        <v>786</v>
      </c>
      <c r="L1360" s="8" t="s">
        <v>787</v>
      </c>
      <c r="M1360" s="8" t="s">
        <v>27</v>
      </c>
      <c r="N1360" s="2" t="s">
        <v>6156</v>
      </c>
      <c r="P1360" s="8" t="s">
        <v>401</v>
      </c>
      <c r="Q1360" s="12" t="s">
        <v>6157</v>
      </c>
      <c r="R1360" s="8" t="s">
        <v>100</v>
      </c>
      <c r="S1360" s="7" t="s">
        <v>18</v>
      </c>
      <c r="T1360" s="6"/>
      <c r="U1360" s="8"/>
    </row>
    <row r="1361" spans="1:39" ht="13" customHeight="1">
      <c r="A1361" s="8" t="s">
        <v>6158</v>
      </c>
      <c r="B1361" s="16">
        <v>30</v>
      </c>
      <c r="C1361" s="8" t="s">
        <v>20</v>
      </c>
      <c r="D1361" s="8" t="s">
        <v>37</v>
      </c>
      <c r="F1361" s="17">
        <v>41954</v>
      </c>
      <c r="G1361" s="8" t="s">
        <v>6159</v>
      </c>
      <c r="H1361" s="8" t="s">
        <v>6160</v>
      </c>
      <c r="I1361" s="8" t="s">
        <v>366</v>
      </c>
      <c r="J1361" s="16" t="s">
        <v>6161</v>
      </c>
      <c r="K1361" s="2" t="s">
        <v>649</v>
      </c>
      <c r="L1361" s="8" t="s">
        <v>6162</v>
      </c>
      <c r="M1361" s="8" t="s">
        <v>379</v>
      </c>
      <c r="N1361" s="2" t="s">
        <v>6163</v>
      </c>
      <c r="O1361" s="8" t="s">
        <v>1013</v>
      </c>
      <c r="P1361" s="8" t="s">
        <v>401</v>
      </c>
      <c r="Q1361" s="12" t="str">
        <f>HYPERLINK("http://www.news-record.com/news/guilford-county-sheriff-s-deputies-involved-in-chase-that-ends/article_79451250-6a25-11e4-bb91-87f8f4995f40.html","http://www.news-record.com/news/guilford-county-sheriff-s-deputies-involved-in-chase-that-ends/article_79451250-6a25-11e4-bb91-87f8f4995f40.html")</f>
        <v>http://www.news-record.com/news/guilford-county-sheriff-s-deputies-involved-in-chase-that-ends/article_79451250-6a25-11e4-bb91-87f8f4995f40.html</v>
      </c>
      <c r="R1361" s="8" t="s">
        <v>100</v>
      </c>
      <c r="S1361" s="7" t="s">
        <v>379</v>
      </c>
      <c r="T1361" s="6"/>
      <c r="U1361" s="8"/>
    </row>
    <row r="1362" spans="1:39" ht="13" customHeight="1">
      <c r="A1362" s="8" t="s">
        <v>6164</v>
      </c>
      <c r="B1362" s="16">
        <v>27</v>
      </c>
      <c r="C1362" s="8" t="s">
        <v>20</v>
      </c>
      <c r="D1362" s="8" t="s">
        <v>85</v>
      </c>
      <c r="E1362" s="8" t="str">
        <f>HYPERLINK("http://imgick.nj.com/home/njo-media/width620/img/middlesex_impact/photo/16419415-mmmain.png","http://imgick.nj.com/home/njo-media/width620/img/middlesex_impact/photo/16419415-mmmain.png")</f>
        <v>http://imgick.nj.com/home/njo-media/width620/img/middlesex_impact/photo/16419415-mmmain.png</v>
      </c>
      <c r="F1362" s="17">
        <v>41953</v>
      </c>
      <c r="G1362" s="8" t="s">
        <v>6165</v>
      </c>
      <c r="H1362" s="8" t="s">
        <v>6166</v>
      </c>
      <c r="I1362" s="8" t="s">
        <v>81</v>
      </c>
      <c r="J1362" s="16">
        <v>8902</v>
      </c>
      <c r="K1362" s="2" t="s">
        <v>42</v>
      </c>
      <c r="L1362" s="8" t="s">
        <v>6167</v>
      </c>
      <c r="M1362" s="8" t="s">
        <v>2297</v>
      </c>
      <c r="N1362" s="2" t="s">
        <v>21441</v>
      </c>
      <c r="O1362" s="8" t="s">
        <v>4714</v>
      </c>
      <c r="P1362" s="8" t="s">
        <v>401</v>
      </c>
      <c r="Q1362" s="59" t="str">
        <f>HYPERLINK("http://www.nj.com/middlesex/index.ssf/2014/11/middlesex_county_death_jail_inmate_family_wait_for_answers.html","http://www.nj.com/middlesex/index.ssf/2014/11/middlesex_county_death_jail_inmate_family_wait_for_answers.html")</f>
        <v>http://www.nj.com/middlesex/index.ssf/2014/11/middlesex_county_death_jail_inmate_family_wait_for_answers.html</v>
      </c>
      <c r="R1362" s="8" t="s">
        <v>555</v>
      </c>
      <c r="S1362" s="7" t="s">
        <v>18</v>
      </c>
      <c r="T1362" s="6"/>
      <c r="U1362" s="8"/>
    </row>
    <row r="1363" spans="1:39" ht="13" customHeight="1">
      <c r="A1363" s="8" t="s">
        <v>6168</v>
      </c>
      <c r="B1363" s="16">
        <v>38</v>
      </c>
      <c r="C1363" s="8" t="s">
        <v>20</v>
      </c>
      <c r="D1363" s="8" t="s">
        <v>21</v>
      </c>
      <c r="E1363" s="8" t="s">
        <v>6169</v>
      </c>
      <c r="F1363" s="17">
        <v>41952</v>
      </c>
      <c r="G1363" s="8" t="s">
        <v>6170</v>
      </c>
      <c r="H1363" s="8" t="s">
        <v>6171</v>
      </c>
      <c r="I1363" s="8" t="s">
        <v>73</v>
      </c>
      <c r="J1363" s="16" t="s">
        <v>6172</v>
      </c>
      <c r="K1363" s="2" t="s">
        <v>285</v>
      </c>
      <c r="L1363" s="8" t="s">
        <v>6173</v>
      </c>
      <c r="M1363" s="8" t="s">
        <v>27</v>
      </c>
      <c r="N1363" s="2" t="s">
        <v>6174</v>
      </c>
      <c r="O1363" s="8" t="s">
        <v>1013</v>
      </c>
      <c r="P1363" s="8" t="s">
        <v>401</v>
      </c>
      <c r="Q1363" s="12" t="s">
        <v>6175</v>
      </c>
      <c r="R1363" s="8" t="s">
        <v>100</v>
      </c>
      <c r="S1363" s="7" t="s">
        <v>28</v>
      </c>
      <c r="T1363" s="6"/>
      <c r="U1363" s="8"/>
      <c r="AI1363" s="8"/>
      <c r="AJ1363" s="8"/>
      <c r="AK1363" s="8"/>
      <c r="AL1363" s="8"/>
      <c r="AM1363" s="8"/>
    </row>
    <row r="1364" spans="1:39" ht="13" customHeight="1">
      <c r="A1364" s="8" t="s">
        <v>6176</v>
      </c>
      <c r="B1364" s="16">
        <v>40</v>
      </c>
      <c r="C1364" s="8" t="s">
        <v>114</v>
      </c>
      <c r="D1364" s="8" t="s">
        <v>85</v>
      </c>
      <c r="E1364" s="8" t="s">
        <v>6177</v>
      </c>
      <c r="F1364" s="17">
        <v>41952</v>
      </c>
      <c r="G1364" s="8" t="s">
        <v>6178</v>
      </c>
      <c r="H1364" s="8" t="s">
        <v>6179</v>
      </c>
      <c r="I1364" s="8" t="s">
        <v>57</v>
      </c>
      <c r="J1364" s="16" t="s">
        <v>6180</v>
      </c>
      <c r="K1364" s="2" t="s">
        <v>6181</v>
      </c>
      <c r="L1364" s="8" t="s">
        <v>6182</v>
      </c>
      <c r="M1364" s="8" t="s">
        <v>27</v>
      </c>
      <c r="N1364" s="2" t="s">
        <v>6183</v>
      </c>
      <c r="O1364" s="8" t="s">
        <v>400</v>
      </c>
      <c r="P1364" s="8" t="s">
        <v>401</v>
      </c>
      <c r="Q1364" s="12" t="s">
        <v>6184</v>
      </c>
      <c r="R1364" s="8" t="s">
        <v>29</v>
      </c>
      <c r="S1364" s="7" t="s">
        <v>28</v>
      </c>
      <c r="T1364" s="6"/>
      <c r="U1364" s="8"/>
      <c r="Y1364" s="8"/>
      <c r="Z1364" s="8"/>
      <c r="AA1364" s="8"/>
      <c r="AB1364" s="8"/>
      <c r="AC1364" s="8"/>
      <c r="AD1364" s="8"/>
      <c r="AE1364" s="8"/>
      <c r="AF1364" s="8"/>
      <c r="AG1364" s="8"/>
      <c r="AH1364" s="8"/>
    </row>
    <row r="1365" spans="1:39" ht="13" customHeight="1">
      <c r="A1365" s="8" t="s">
        <v>6185</v>
      </c>
      <c r="B1365" s="16">
        <v>22</v>
      </c>
      <c r="C1365" s="8" t="s">
        <v>20</v>
      </c>
      <c r="D1365" s="8" t="s">
        <v>48</v>
      </c>
      <c r="E1365" s="8" t="s">
        <v>6186</v>
      </c>
      <c r="F1365" s="17">
        <v>41952</v>
      </c>
      <c r="G1365" s="8" t="s">
        <v>6187</v>
      </c>
      <c r="H1365" s="8" t="s">
        <v>6188</v>
      </c>
      <c r="I1365" s="8" t="s">
        <v>45</v>
      </c>
      <c r="J1365" s="16" t="s">
        <v>6189</v>
      </c>
      <c r="K1365" s="2" t="s">
        <v>98</v>
      </c>
      <c r="L1365" s="8" t="s">
        <v>99</v>
      </c>
      <c r="M1365" s="8" t="s">
        <v>27</v>
      </c>
      <c r="N1365" s="2" t="s">
        <v>6190</v>
      </c>
      <c r="O1365" s="8" t="s">
        <v>1013</v>
      </c>
      <c r="P1365" s="8" t="s">
        <v>401</v>
      </c>
      <c r="Q1365" s="12" t="s">
        <v>6191</v>
      </c>
      <c r="R1365" s="8" t="s">
        <v>555</v>
      </c>
      <c r="S1365" s="7" t="s">
        <v>28</v>
      </c>
      <c r="T1365" s="6"/>
      <c r="U1365" s="8"/>
    </row>
    <row r="1366" spans="1:39" ht="13" customHeight="1">
      <c r="A1366" s="8" t="s">
        <v>6192</v>
      </c>
      <c r="B1366" s="16">
        <v>31</v>
      </c>
      <c r="C1366" s="8" t="s">
        <v>20</v>
      </c>
      <c r="D1366" s="8" t="s">
        <v>48</v>
      </c>
      <c r="E1366" s="8" t="s">
        <v>6193</v>
      </c>
      <c r="F1366" s="17">
        <v>41952</v>
      </c>
      <c r="G1366" s="8" t="s">
        <v>6194</v>
      </c>
      <c r="H1366" s="8" t="s">
        <v>1301</v>
      </c>
      <c r="I1366" s="8" t="s">
        <v>209</v>
      </c>
      <c r="J1366" s="16" t="s">
        <v>6195</v>
      </c>
      <c r="K1366" s="2" t="s">
        <v>1301</v>
      </c>
      <c r="L1366" s="8" t="s">
        <v>1302</v>
      </c>
      <c r="M1366" s="8" t="s">
        <v>27</v>
      </c>
      <c r="N1366" s="2" t="s">
        <v>6196</v>
      </c>
      <c r="O1366" s="8" t="s">
        <v>1013</v>
      </c>
      <c r="P1366" s="8" t="s">
        <v>401</v>
      </c>
      <c r="Q1366" s="12" t="s">
        <v>6197</v>
      </c>
      <c r="R1366" s="8" t="s">
        <v>29</v>
      </c>
      <c r="S1366" s="7" t="s">
        <v>28</v>
      </c>
      <c r="T1366" s="6"/>
      <c r="U1366" s="8"/>
    </row>
    <row r="1367" spans="1:39" ht="13" customHeight="1">
      <c r="A1367" s="8" t="s">
        <v>6198</v>
      </c>
      <c r="B1367" s="16">
        <v>34</v>
      </c>
      <c r="C1367" s="8" t="s">
        <v>20</v>
      </c>
      <c r="D1367" s="8" t="s">
        <v>48</v>
      </c>
      <c r="F1367" s="17">
        <v>41952</v>
      </c>
      <c r="G1367" s="8" t="s">
        <v>6199</v>
      </c>
      <c r="H1367" s="8" t="s">
        <v>98</v>
      </c>
      <c r="I1367" s="8" t="s">
        <v>45</v>
      </c>
      <c r="J1367" s="16" t="s">
        <v>6200</v>
      </c>
      <c r="K1367" s="2" t="s">
        <v>98</v>
      </c>
      <c r="L1367" s="8" t="s">
        <v>99</v>
      </c>
      <c r="M1367" s="8" t="s">
        <v>27</v>
      </c>
      <c r="N1367" s="2" t="s">
        <v>6201</v>
      </c>
      <c r="O1367" s="8" t="s">
        <v>1013</v>
      </c>
      <c r="P1367" s="8" t="s">
        <v>401</v>
      </c>
      <c r="Q1367" s="12" t="s">
        <v>6202</v>
      </c>
      <c r="R1367" s="8" t="s">
        <v>100</v>
      </c>
      <c r="S1367" s="7" t="s">
        <v>28</v>
      </c>
      <c r="T1367" s="6"/>
      <c r="U1367" s="8"/>
    </row>
    <row r="1368" spans="1:39" ht="13" customHeight="1">
      <c r="A1368" s="8" t="s">
        <v>6203</v>
      </c>
      <c r="B1368" s="16">
        <v>48</v>
      </c>
      <c r="C1368" s="8" t="s">
        <v>20</v>
      </c>
      <c r="D1368" s="8" t="s">
        <v>48</v>
      </c>
      <c r="E1368" s="8" t="s">
        <v>6204</v>
      </c>
      <c r="F1368" s="17">
        <v>41952</v>
      </c>
      <c r="G1368" s="8" t="s">
        <v>6205</v>
      </c>
      <c r="H1368" s="8" t="s">
        <v>634</v>
      </c>
      <c r="I1368" s="8" t="s">
        <v>123</v>
      </c>
      <c r="J1368" s="16" t="s">
        <v>6206</v>
      </c>
      <c r="K1368" s="2" t="s">
        <v>635</v>
      </c>
      <c r="L1368" s="8" t="s">
        <v>636</v>
      </c>
      <c r="M1368" s="8" t="s">
        <v>2297</v>
      </c>
      <c r="N1368" s="2" t="s">
        <v>6207</v>
      </c>
      <c r="O1368" s="8" t="s">
        <v>1013</v>
      </c>
      <c r="P1368" s="8" t="s">
        <v>401</v>
      </c>
      <c r="Q1368" s="12" t="s">
        <v>6208</v>
      </c>
      <c r="R1368" s="8" t="s">
        <v>967</v>
      </c>
      <c r="S1368" s="7" t="s">
        <v>28</v>
      </c>
      <c r="T1368" s="6"/>
      <c r="U1368" s="8"/>
      <c r="V1368" s="8"/>
      <c r="W1368" s="8"/>
      <c r="X1368" s="8"/>
    </row>
    <row r="1369" spans="1:39" ht="13" customHeight="1">
      <c r="A1369" s="8" t="s">
        <v>6209</v>
      </c>
      <c r="B1369" s="16">
        <v>56</v>
      </c>
      <c r="C1369" s="8" t="s">
        <v>20</v>
      </c>
      <c r="D1369" s="8" t="s">
        <v>37</v>
      </c>
      <c r="F1369" s="17">
        <v>41952</v>
      </c>
      <c r="G1369" s="8" t="s">
        <v>6210</v>
      </c>
      <c r="H1369" s="8" t="s">
        <v>6211</v>
      </c>
      <c r="I1369" s="8" t="s">
        <v>45</v>
      </c>
      <c r="J1369" s="16" t="s">
        <v>6212</v>
      </c>
      <c r="K1369" s="2" t="s">
        <v>1259</v>
      </c>
      <c r="L1369" s="8" t="s">
        <v>1260</v>
      </c>
      <c r="M1369" s="8" t="s">
        <v>27</v>
      </c>
      <c r="N1369" s="2" t="s">
        <v>6213</v>
      </c>
      <c r="O1369" s="8" t="s">
        <v>400</v>
      </c>
      <c r="P1369" s="8" t="s">
        <v>401</v>
      </c>
      <c r="Q1369" s="12" t="s">
        <v>6214</v>
      </c>
      <c r="R1369" s="8" t="s">
        <v>100</v>
      </c>
      <c r="S1369" s="7" t="s">
        <v>28</v>
      </c>
      <c r="T1369" s="6"/>
      <c r="U1369" s="8"/>
    </row>
    <row r="1370" spans="1:39" ht="13" customHeight="1">
      <c r="A1370" s="8" t="s">
        <v>6215</v>
      </c>
      <c r="B1370" s="16">
        <v>23</v>
      </c>
      <c r="C1370" s="8" t="s">
        <v>20</v>
      </c>
      <c r="D1370" s="8" t="s">
        <v>37</v>
      </c>
      <c r="F1370" s="17">
        <v>41952</v>
      </c>
      <c r="G1370" s="8" t="s">
        <v>6216</v>
      </c>
      <c r="H1370" s="8" t="s">
        <v>6217</v>
      </c>
      <c r="I1370" s="8" t="s">
        <v>81</v>
      </c>
      <c r="J1370" s="16">
        <v>8759</v>
      </c>
      <c r="K1370" s="2" t="s">
        <v>645</v>
      </c>
      <c r="L1370" s="8" t="s">
        <v>6218</v>
      </c>
      <c r="M1370" s="8" t="s">
        <v>379</v>
      </c>
      <c r="N1370" s="2" t="s">
        <v>6219</v>
      </c>
      <c r="P1370" s="8" t="s">
        <v>401</v>
      </c>
      <c r="Q1370" s="12" t="s">
        <v>6220</v>
      </c>
      <c r="S1370" s="7" t="s">
        <v>18</v>
      </c>
      <c r="T1370" s="6"/>
      <c r="U1370" s="8"/>
    </row>
    <row r="1371" spans="1:39" ht="13" customHeight="1">
      <c r="A1371" s="8" t="s">
        <v>6221</v>
      </c>
      <c r="B1371" s="16">
        <v>50</v>
      </c>
      <c r="C1371" s="8" t="s">
        <v>20</v>
      </c>
      <c r="D1371" s="8" t="s">
        <v>85</v>
      </c>
      <c r="F1371" s="17">
        <v>41951</v>
      </c>
      <c r="G1371" s="8" t="s">
        <v>6222</v>
      </c>
      <c r="H1371" s="8" t="s">
        <v>430</v>
      </c>
      <c r="I1371" s="8" t="s">
        <v>363</v>
      </c>
      <c r="J1371" s="16" t="s">
        <v>6223</v>
      </c>
      <c r="K1371" s="2" t="s">
        <v>600</v>
      </c>
      <c r="L1371" s="8" t="s">
        <v>2126</v>
      </c>
      <c r="M1371" s="8" t="s">
        <v>27</v>
      </c>
      <c r="N1371" s="2" t="s">
        <v>6224</v>
      </c>
      <c r="O1371" s="8" t="s">
        <v>400</v>
      </c>
      <c r="P1371" s="8" t="s">
        <v>401</v>
      </c>
      <c r="Q1371" s="12" t="s">
        <v>6225</v>
      </c>
      <c r="R1371" s="8" t="s">
        <v>29</v>
      </c>
      <c r="S1371" s="7" t="s">
        <v>28</v>
      </c>
      <c r="T1371" s="6"/>
      <c r="U1371" s="8"/>
    </row>
    <row r="1372" spans="1:39" ht="13" customHeight="1">
      <c r="A1372" s="8" t="s">
        <v>6226</v>
      </c>
      <c r="B1372" s="16">
        <v>52</v>
      </c>
      <c r="C1372" s="8" t="s">
        <v>114</v>
      </c>
      <c r="D1372" s="8" t="s">
        <v>139</v>
      </c>
      <c r="F1372" s="17">
        <v>41951</v>
      </c>
      <c r="G1372" s="8" t="s">
        <v>6227</v>
      </c>
      <c r="H1372" s="8" t="s">
        <v>514</v>
      </c>
      <c r="I1372" s="8" t="s">
        <v>143</v>
      </c>
      <c r="J1372" s="16" t="s">
        <v>6228</v>
      </c>
      <c r="K1372" s="2" t="s">
        <v>6229</v>
      </c>
      <c r="L1372" s="8" t="s">
        <v>6230</v>
      </c>
      <c r="M1372" s="8" t="s">
        <v>27</v>
      </c>
      <c r="N1372" s="2" t="s">
        <v>6231</v>
      </c>
      <c r="O1372" s="8" t="s">
        <v>550</v>
      </c>
      <c r="P1372" s="8" t="s">
        <v>401</v>
      </c>
      <c r="Q1372" s="12" t="s">
        <v>6232</v>
      </c>
      <c r="R1372" s="8" t="s">
        <v>967</v>
      </c>
      <c r="S1372" s="7" t="s">
        <v>28</v>
      </c>
      <c r="T1372" s="6"/>
      <c r="U1372" s="8"/>
    </row>
    <row r="1373" spans="1:39" ht="13" customHeight="1">
      <c r="A1373" s="8" t="s">
        <v>6247</v>
      </c>
      <c r="B1373" s="16">
        <v>27</v>
      </c>
      <c r="C1373" s="8" t="s">
        <v>20</v>
      </c>
      <c r="D1373" s="8" t="s">
        <v>37</v>
      </c>
      <c r="F1373" s="17">
        <v>41951</v>
      </c>
      <c r="G1373" s="8" t="s">
        <v>6248</v>
      </c>
      <c r="H1373" s="8" t="s">
        <v>785</v>
      </c>
      <c r="I1373" s="8" t="s">
        <v>45</v>
      </c>
      <c r="J1373" s="16" t="s">
        <v>2840</v>
      </c>
      <c r="K1373" s="2" t="s">
        <v>786</v>
      </c>
      <c r="L1373" s="8" t="s">
        <v>4762</v>
      </c>
      <c r="M1373" s="8" t="s">
        <v>27</v>
      </c>
      <c r="N1373" s="2" t="s">
        <v>6249</v>
      </c>
      <c r="O1373" s="8" t="s">
        <v>1161</v>
      </c>
      <c r="P1373" s="8" t="s">
        <v>1162</v>
      </c>
      <c r="Q1373" s="12" t="s">
        <v>6250</v>
      </c>
      <c r="R1373" s="8" t="s">
        <v>100</v>
      </c>
      <c r="S1373" s="7" t="s">
        <v>28</v>
      </c>
      <c r="T1373" s="6"/>
      <c r="U1373" s="8"/>
    </row>
    <row r="1374" spans="1:39" ht="13" customHeight="1">
      <c r="A1374" s="8" t="s">
        <v>6233</v>
      </c>
      <c r="B1374" s="16">
        <v>27</v>
      </c>
      <c r="C1374" s="8" t="s">
        <v>20</v>
      </c>
      <c r="D1374" s="8" t="s">
        <v>37</v>
      </c>
      <c r="E1374" s="8" t="s">
        <v>6234</v>
      </c>
      <c r="F1374" s="17">
        <v>41951</v>
      </c>
      <c r="G1374" s="8" t="s">
        <v>6235</v>
      </c>
      <c r="H1374" s="8" t="s">
        <v>6236</v>
      </c>
      <c r="I1374" s="8" t="s">
        <v>57</v>
      </c>
      <c r="J1374" s="16" t="s">
        <v>6237</v>
      </c>
      <c r="K1374" s="2" t="s">
        <v>1132</v>
      </c>
      <c r="L1374" s="8" t="s">
        <v>6238</v>
      </c>
      <c r="M1374" s="8" t="s">
        <v>27</v>
      </c>
      <c r="N1374" s="2" t="s">
        <v>6239</v>
      </c>
      <c r="O1374" s="8" t="s">
        <v>1013</v>
      </c>
      <c r="P1374" s="8" t="s">
        <v>401</v>
      </c>
      <c r="Q1374" s="12" t="s">
        <v>6240</v>
      </c>
      <c r="R1374" s="8" t="s">
        <v>555</v>
      </c>
      <c r="S1374" s="7" t="s">
        <v>28</v>
      </c>
      <c r="T1374" s="6"/>
      <c r="U1374" s="8"/>
    </row>
    <row r="1375" spans="1:39" ht="13" customHeight="1">
      <c r="A1375" s="8" t="s">
        <v>6241</v>
      </c>
      <c r="B1375" s="16">
        <v>34</v>
      </c>
      <c r="C1375" s="8" t="s">
        <v>20</v>
      </c>
      <c r="D1375" s="8" t="s">
        <v>37</v>
      </c>
      <c r="E1375" s="8" t="s">
        <v>6242</v>
      </c>
      <c r="F1375" s="17">
        <v>41951</v>
      </c>
      <c r="G1375" s="8" t="s">
        <v>6243</v>
      </c>
      <c r="H1375" s="8" t="s">
        <v>1097</v>
      </c>
      <c r="I1375" s="8" t="s">
        <v>395</v>
      </c>
      <c r="J1375" s="16" t="s">
        <v>6244</v>
      </c>
      <c r="K1375" s="2" t="s">
        <v>1098</v>
      </c>
      <c r="L1375" s="8" t="s">
        <v>1099</v>
      </c>
      <c r="M1375" s="8" t="s">
        <v>27</v>
      </c>
      <c r="N1375" s="2" t="s">
        <v>6245</v>
      </c>
      <c r="P1375" s="8" t="s">
        <v>401</v>
      </c>
      <c r="Q1375" s="12" t="s">
        <v>6246</v>
      </c>
      <c r="R1375" s="8" t="s">
        <v>100</v>
      </c>
      <c r="S1375" s="7" t="s">
        <v>28</v>
      </c>
      <c r="T1375" s="6"/>
      <c r="U1375" s="8"/>
    </row>
    <row r="1376" spans="1:39" ht="13" customHeight="1">
      <c r="A1376" s="8" t="s">
        <v>6251</v>
      </c>
      <c r="B1376" s="16">
        <v>57</v>
      </c>
      <c r="C1376" s="8" t="s">
        <v>20</v>
      </c>
      <c r="D1376" s="8" t="s">
        <v>37</v>
      </c>
      <c r="F1376" s="17">
        <v>41950</v>
      </c>
      <c r="G1376" s="8" t="s">
        <v>6252</v>
      </c>
      <c r="H1376" s="8" t="s">
        <v>929</v>
      </c>
      <c r="I1376" s="8" t="s">
        <v>73</v>
      </c>
      <c r="J1376" s="16" t="s">
        <v>6253</v>
      </c>
      <c r="K1376" s="2" t="s">
        <v>74</v>
      </c>
      <c r="L1376" s="8" t="s">
        <v>6254</v>
      </c>
      <c r="M1376" s="8" t="s">
        <v>27</v>
      </c>
      <c r="N1376" s="2" t="s">
        <v>6255</v>
      </c>
      <c r="O1376" s="8" t="s">
        <v>1013</v>
      </c>
      <c r="P1376" s="8" t="s">
        <v>401</v>
      </c>
      <c r="Q1376" s="12" t="s">
        <v>6256</v>
      </c>
      <c r="R1376" s="8" t="s">
        <v>100</v>
      </c>
      <c r="S1376" s="7" t="s">
        <v>28</v>
      </c>
      <c r="T1376" s="6"/>
      <c r="U1376" s="8"/>
    </row>
    <row r="1377" spans="1:34" ht="13" customHeight="1">
      <c r="A1377" s="8" t="s">
        <v>6257</v>
      </c>
      <c r="B1377" s="16">
        <v>20</v>
      </c>
      <c r="C1377" s="8" t="s">
        <v>20</v>
      </c>
      <c r="D1377" s="8" t="s">
        <v>85</v>
      </c>
      <c r="E1377" s="8" t="s">
        <v>6258</v>
      </c>
      <c r="F1377" s="17">
        <v>41949</v>
      </c>
      <c r="G1377" s="8" t="s">
        <v>6259</v>
      </c>
      <c r="H1377" s="8" t="s">
        <v>433</v>
      </c>
      <c r="I1377" s="8" t="s">
        <v>319</v>
      </c>
      <c r="J1377" s="16" t="s">
        <v>6260</v>
      </c>
      <c r="K1377" s="2" t="s">
        <v>2165</v>
      </c>
      <c r="L1377" s="8" t="s">
        <v>6261</v>
      </c>
      <c r="M1377" s="8" t="s">
        <v>27</v>
      </c>
      <c r="N1377" s="2" t="s">
        <v>6262</v>
      </c>
      <c r="O1377" s="8" t="s">
        <v>400</v>
      </c>
      <c r="P1377" s="8" t="s">
        <v>401</v>
      </c>
      <c r="Q1377" s="12" t="str">
        <f>HYPERLINK("http://www.jacksonsun.com/story/news/local/2014/11/11/parents-man-shot-officer-speak-tbi-investigate/18836355/","http://www.jacksonsun.com/story/news/local/2014/11/11/parents-man-shot-officer-speak-tbi-investigate/18836355/")</f>
        <v>http://www.jacksonsun.com/story/news/local/2014/11/11/parents-man-shot-officer-speak-tbi-investigate/18836355/</v>
      </c>
      <c r="R1377" s="8" t="s">
        <v>29</v>
      </c>
      <c r="S1377" s="7" t="s">
        <v>28</v>
      </c>
      <c r="T1377" s="6"/>
      <c r="U1377" s="8"/>
    </row>
    <row r="1378" spans="1:34" ht="13" customHeight="1">
      <c r="A1378" s="8" t="s">
        <v>6263</v>
      </c>
      <c r="B1378" s="16">
        <v>71</v>
      </c>
      <c r="C1378" s="8" t="s">
        <v>20</v>
      </c>
      <c r="D1378" s="8" t="s">
        <v>30</v>
      </c>
      <c r="F1378" s="17">
        <v>41949</v>
      </c>
      <c r="G1378" s="8" t="s">
        <v>6264</v>
      </c>
      <c r="H1378" s="8" t="s">
        <v>6265</v>
      </c>
      <c r="I1378" s="8" t="s">
        <v>94</v>
      </c>
      <c r="J1378" s="16">
        <v>35640</v>
      </c>
      <c r="K1378" s="2" t="s">
        <v>5453</v>
      </c>
      <c r="L1378" s="8" t="s">
        <v>6266</v>
      </c>
      <c r="M1378" s="8" t="s">
        <v>379</v>
      </c>
      <c r="N1378" s="2" t="s">
        <v>6267</v>
      </c>
      <c r="P1378" s="8" t="s">
        <v>401</v>
      </c>
      <c r="Q1378" s="12" t="s">
        <v>6268</v>
      </c>
      <c r="S1378" s="7" t="s">
        <v>18</v>
      </c>
      <c r="T1378" s="6"/>
      <c r="U1378" s="8"/>
    </row>
    <row r="1379" spans="1:34" ht="13" customHeight="1">
      <c r="A1379" s="8" t="s">
        <v>6276</v>
      </c>
      <c r="B1379" s="16">
        <v>26</v>
      </c>
      <c r="C1379" s="8" t="s">
        <v>20</v>
      </c>
      <c r="D1379" s="8" t="s">
        <v>37</v>
      </c>
      <c r="F1379" s="17">
        <v>41949</v>
      </c>
      <c r="G1379" s="8" t="s">
        <v>6277</v>
      </c>
      <c r="H1379" s="8" t="s">
        <v>6278</v>
      </c>
      <c r="I1379" s="8" t="s">
        <v>793</v>
      </c>
      <c r="J1379" s="16">
        <v>83338</v>
      </c>
      <c r="K1379" s="2" t="s">
        <v>6278</v>
      </c>
      <c r="L1379" s="8" t="s">
        <v>19722</v>
      </c>
      <c r="M1379" s="8" t="s">
        <v>27</v>
      </c>
      <c r="N1379" s="2" t="s">
        <v>6279</v>
      </c>
      <c r="P1379" s="8" t="s">
        <v>401</v>
      </c>
      <c r="Q1379" s="12" t="str">
        <f>HYPERLINK("http://magicvalley.com/news/local/crime-and-courts/update-man-fatally-shot-by-jerome-county-deputies-identified/article_4355b3bd-44b7-5e74-8937-16ad1d7d96cc.html","http://magicvalley.com/news/local/crime-and-courts/update-man-fatally-shot-by-jerome-county-deputies-identified/article_4355b3bd-44b7-5e74-8937-16ad1d7d96cc.html")</f>
        <v>http://magicvalley.com/news/local/crime-and-courts/update-man-fatally-shot-by-jerome-county-deputies-identified/article_4355b3bd-44b7-5e74-8937-16ad1d7d96cc.html</v>
      </c>
      <c r="S1379" s="7" t="s">
        <v>28</v>
      </c>
      <c r="T1379" s="6"/>
      <c r="U1379" s="8"/>
    </row>
    <row r="1380" spans="1:34" ht="13" customHeight="1">
      <c r="A1380" s="8" t="s">
        <v>6269</v>
      </c>
      <c r="B1380" s="16">
        <v>36</v>
      </c>
      <c r="C1380" s="8" t="s">
        <v>20</v>
      </c>
      <c r="D1380" s="8" t="s">
        <v>37</v>
      </c>
      <c r="E1380" s="8" t="s">
        <v>6270</v>
      </c>
      <c r="F1380" s="17">
        <v>41949</v>
      </c>
      <c r="G1380" s="8" t="s">
        <v>6271</v>
      </c>
      <c r="H1380" s="8" t="s">
        <v>6272</v>
      </c>
      <c r="I1380" s="8" t="s">
        <v>45</v>
      </c>
      <c r="J1380" s="16" t="s">
        <v>6273</v>
      </c>
      <c r="K1380" s="2" t="s">
        <v>98</v>
      </c>
      <c r="L1380" s="8" t="s">
        <v>414</v>
      </c>
      <c r="M1380" s="8" t="s">
        <v>27</v>
      </c>
      <c r="N1380" s="2" t="s">
        <v>6274</v>
      </c>
      <c r="O1380" s="8" t="s">
        <v>1013</v>
      </c>
      <c r="P1380" s="8" t="s">
        <v>401</v>
      </c>
      <c r="Q1380" s="12" t="s">
        <v>6275</v>
      </c>
      <c r="R1380" s="8" t="s">
        <v>555</v>
      </c>
      <c r="S1380" s="7" t="s">
        <v>28</v>
      </c>
      <c r="T1380" s="6"/>
      <c r="U1380" s="8"/>
    </row>
    <row r="1381" spans="1:34" ht="13" customHeight="1">
      <c r="A1381" s="8" t="s">
        <v>6280</v>
      </c>
      <c r="B1381" s="16">
        <v>33</v>
      </c>
      <c r="C1381" s="8" t="s">
        <v>20</v>
      </c>
      <c r="D1381" s="8" t="s">
        <v>30</v>
      </c>
      <c r="F1381" s="17">
        <v>41948</v>
      </c>
      <c r="G1381" s="8" t="s">
        <v>6281</v>
      </c>
      <c r="H1381" s="8" t="s">
        <v>1615</v>
      </c>
      <c r="I1381" s="8" t="s">
        <v>269</v>
      </c>
      <c r="J1381" s="16" t="s">
        <v>6282</v>
      </c>
      <c r="K1381" s="2" t="s">
        <v>6283</v>
      </c>
      <c r="L1381" s="8" t="s">
        <v>6284</v>
      </c>
      <c r="M1381" s="8" t="s">
        <v>27</v>
      </c>
      <c r="N1381" s="2" t="s">
        <v>6285</v>
      </c>
      <c r="O1381" s="8" t="s">
        <v>4714</v>
      </c>
      <c r="P1381" s="8" t="s">
        <v>401</v>
      </c>
      <c r="Q1381" s="12" t="str">
        <f>HYPERLINK("http://www.rgj.com/story/news/crime/2014/11/05/police-officer-involved-shooting-near-unr/18563353/","http://www.rgj.com/story/news/crime/2014/11/05/police-officer-involved-shooting-near-unr/18563353/")</f>
        <v>http://www.rgj.com/story/news/crime/2014/11/05/police-officer-involved-shooting-near-unr/18563353/</v>
      </c>
      <c r="R1381" s="8" t="s">
        <v>100</v>
      </c>
      <c r="S1381" s="7" t="s">
        <v>28</v>
      </c>
      <c r="T1381" s="6"/>
      <c r="U1381" s="8"/>
    </row>
    <row r="1382" spans="1:34" ht="13" customHeight="1">
      <c r="A1382" s="8" t="s">
        <v>6286</v>
      </c>
      <c r="B1382" s="16">
        <v>27</v>
      </c>
      <c r="C1382" s="8" t="s">
        <v>20</v>
      </c>
      <c r="D1382" s="8" t="s">
        <v>37</v>
      </c>
      <c r="E1382" s="8" t="str">
        <f>HYPERLINK("https://www.facebook.com/groups/387178151407408/","https://www.facebook.com/groups/387178151407408/")</f>
        <v>https://www.facebook.com/groups/387178151407408/</v>
      </c>
      <c r="F1382" s="17">
        <v>41948</v>
      </c>
      <c r="G1382" s="8" t="s">
        <v>6287</v>
      </c>
      <c r="H1382" s="8" t="s">
        <v>6288</v>
      </c>
      <c r="I1382" s="8" t="s">
        <v>303</v>
      </c>
      <c r="J1382" s="16">
        <v>98908</v>
      </c>
      <c r="K1382" s="2" t="s">
        <v>6288</v>
      </c>
      <c r="L1382" s="8" t="s">
        <v>6289</v>
      </c>
      <c r="M1382" s="8" t="s">
        <v>27</v>
      </c>
      <c r="N1382" s="2" t="s">
        <v>6290</v>
      </c>
      <c r="P1382" s="8" t="s">
        <v>401</v>
      </c>
      <c r="Q1382" s="12" t="str">
        <f>HYPERLINK("http://www.yakimaherald.com/news/latestlocalnews/2632541-8/man-fatally-shot-by-yakima-county-deputy","http://www.yakimaherald.com/news/latestlocalnews/2632541-8/man-fatally-shot-by-yakima-county-deputy")</f>
        <v>http://www.yakimaherald.com/news/latestlocalnews/2632541-8/man-fatally-shot-by-yakima-county-deputy</v>
      </c>
      <c r="R1382" s="8" t="s">
        <v>100</v>
      </c>
      <c r="S1382" s="7" t="s">
        <v>379</v>
      </c>
      <c r="T1382" s="6"/>
      <c r="U1382" s="8"/>
      <c r="V1382" s="8"/>
      <c r="W1382" s="8"/>
      <c r="X1382" s="8"/>
    </row>
    <row r="1383" spans="1:34" ht="13" customHeight="1">
      <c r="A1383" s="8" t="s">
        <v>6291</v>
      </c>
      <c r="B1383" s="16">
        <v>64</v>
      </c>
      <c r="C1383" s="8" t="s">
        <v>20</v>
      </c>
      <c r="D1383" s="8" t="s">
        <v>30</v>
      </c>
      <c r="F1383" s="17">
        <v>41947</v>
      </c>
      <c r="G1383" s="8" t="s">
        <v>6292</v>
      </c>
      <c r="H1383" s="8" t="s">
        <v>6293</v>
      </c>
      <c r="I1383" s="8" t="s">
        <v>69</v>
      </c>
      <c r="J1383" s="16">
        <v>45645</v>
      </c>
      <c r="K1383" s="2" t="s">
        <v>2073</v>
      </c>
      <c r="L1383" s="8" t="s">
        <v>344</v>
      </c>
      <c r="M1383" s="8" t="s">
        <v>27</v>
      </c>
      <c r="N1383" s="2" t="s">
        <v>6294</v>
      </c>
      <c r="O1383" s="8" t="s">
        <v>550</v>
      </c>
      <c r="P1383" s="8" t="s">
        <v>401</v>
      </c>
      <c r="Q1383" s="12" t="str">
        <f>HYPERLINK("http://www.wsaz.com/home/headlines/Officers-Shoot-and-Kill-Suspect-During-Drug-Raid-in-Lawrence-County-Ohiog---281476761.html","http://www.wsaz.com/home/headlines/Officers-Shoot-and-Kill-Suspect-During-Drug-Raid-in-Lawrence-County-Ohiog---281476761.html")</f>
        <v>http://www.wsaz.com/home/headlines/Officers-Shoot-and-Kill-Suspect-During-Drug-Raid-in-Lawrence-County-Ohiog---281476761.html</v>
      </c>
      <c r="S1383" s="7" t="s">
        <v>28</v>
      </c>
      <c r="T1383" s="6"/>
      <c r="U1383" s="8"/>
    </row>
    <row r="1384" spans="1:34" ht="13" customHeight="1">
      <c r="A1384" s="8" t="s">
        <v>768</v>
      </c>
      <c r="B1384" s="16">
        <v>27</v>
      </c>
      <c r="C1384" s="8" t="s">
        <v>20</v>
      </c>
      <c r="D1384" s="8" t="s">
        <v>85</v>
      </c>
      <c r="E1384" s="8" t="s">
        <v>6302</v>
      </c>
      <c r="F1384" s="17">
        <v>41946</v>
      </c>
      <c r="G1384" s="8" t="s">
        <v>6303</v>
      </c>
      <c r="H1384" s="8" t="s">
        <v>6304</v>
      </c>
      <c r="I1384" s="8" t="s">
        <v>44</v>
      </c>
      <c r="J1384" s="16" t="s">
        <v>6305</v>
      </c>
      <c r="K1384" s="2" t="s">
        <v>1259</v>
      </c>
      <c r="L1384" s="8" t="s">
        <v>6306</v>
      </c>
      <c r="M1384" s="8" t="s">
        <v>27</v>
      </c>
      <c r="N1384" s="2" t="s">
        <v>6307</v>
      </c>
      <c r="O1384" s="8" t="s">
        <v>550</v>
      </c>
      <c r="P1384" s="8" t="s">
        <v>401</v>
      </c>
      <c r="Q1384" s="12" t="s">
        <v>6308</v>
      </c>
      <c r="R1384" s="8" t="s">
        <v>100</v>
      </c>
      <c r="S1384" s="7" t="s">
        <v>28</v>
      </c>
      <c r="T1384" s="6"/>
      <c r="U1384" s="8"/>
    </row>
    <row r="1385" spans="1:34" ht="13" customHeight="1">
      <c r="A1385" s="8" t="s">
        <v>6295</v>
      </c>
      <c r="B1385" s="16">
        <v>29</v>
      </c>
      <c r="C1385" s="8" t="s">
        <v>20</v>
      </c>
      <c r="D1385" s="8" t="s">
        <v>85</v>
      </c>
      <c r="E1385" s="8" t="s">
        <v>6296</v>
      </c>
      <c r="F1385" s="17">
        <v>41946</v>
      </c>
      <c r="G1385" s="8" t="s">
        <v>6297</v>
      </c>
      <c r="H1385" s="8" t="s">
        <v>204</v>
      </c>
      <c r="I1385" s="8" t="s">
        <v>69</v>
      </c>
      <c r="J1385" s="16" t="s">
        <v>6298</v>
      </c>
      <c r="K1385" s="2" t="s">
        <v>3485</v>
      </c>
      <c r="L1385" s="8" t="s">
        <v>6299</v>
      </c>
      <c r="M1385" s="8" t="s">
        <v>27</v>
      </c>
      <c r="N1385" s="2" t="s">
        <v>6300</v>
      </c>
      <c r="O1385" s="8" t="s">
        <v>400</v>
      </c>
      <c r="P1385" s="8" t="s">
        <v>401</v>
      </c>
      <c r="Q1385" s="12" t="s">
        <v>6301</v>
      </c>
      <c r="R1385" s="8" t="s">
        <v>100</v>
      </c>
      <c r="S1385" s="7" t="s">
        <v>28</v>
      </c>
      <c r="T1385" s="6"/>
      <c r="U1385" s="8"/>
      <c r="Y1385" s="8"/>
      <c r="Z1385" s="8"/>
      <c r="AA1385" s="8"/>
      <c r="AB1385" s="8"/>
      <c r="AC1385" s="8"/>
      <c r="AD1385" s="8"/>
      <c r="AE1385" s="8"/>
      <c r="AF1385" s="8"/>
      <c r="AG1385" s="8"/>
      <c r="AH1385" s="8"/>
    </row>
    <row r="1386" spans="1:34" ht="13" customHeight="1">
      <c r="A1386" s="8" t="s">
        <v>3267</v>
      </c>
      <c r="B1386" s="16" t="s">
        <v>29</v>
      </c>
      <c r="D1386" s="8" t="s">
        <v>30</v>
      </c>
      <c r="F1386" s="17">
        <v>41946</v>
      </c>
      <c r="G1386" s="8" t="s">
        <v>6309</v>
      </c>
      <c r="H1386" s="8" t="s">
        <v>6310</v>
      </c>
      <c r="I1386" s="8" t="s">
        <v>62</v>
      </c>
      <c r="J1386" s="16">
        <v>33169</v>
      </c>
      <c r="K1386" s="2" t="s">
        <v>161</v>
      </c>
      <c r="L1386" s="8" t="s">
        <v>162</v>
      </c>
      <c r="M1386" s="8" t="s">
        <v>27</v>
      </c>
      <c r="N1386" s="2" t="s">
        <v>6311</v>
      </c>
      <c r="P1386" s="8" t="s">
        <v>401</v>
      </c>
      <c r="Q1386" s="12" t="s">
        <v>6312</v>
      </c>
      <c r="S1386" s="7" t="s">
        <v>28</v>
      </c>
      <c r="T1386" s="6"/>
      <c r="U1386" s="8"/>
    </row>
    <row r="1387" spans="1:34" ht="13" customHeight="1">
      <c r="A1387" s="8" t="s">
        <v>6313</v>
      </c>
      <c r="B1387" s="16">
        <v>28</v>
      </c>
      <c r="C1387" s="8" t="s">
        <v>20</v>
      </c>
      <c r="D1387" s="8" t="s">
        <v>30</v>
      </c>
      <c r="F1387" s="17">
        <v>41946</v>
      </c>
      <c r="G1387" s="8" t="s">
        <v>6314</v>
      </c>
      <c r="H1387" s="8" t="s">
        <v>6315</v>
      </c>
      <c r="I1387" s="8" t="s">
        <v>69</v>
      </c>
      <c r="J1387" s="16">
        <v>45750</v>
      </c>
      <c r="K1387" s="2" t="s">
        <v>118</v>
      </c>
      <c r="L1387" s="8" t="s">
        <v>119</v>
      </c>
      <c r="M1387" s="8" t="s">
        <v>379</v>
      </c>
      <c r="N1387" s="2" t="s">
        <v>6316</v>
      </c>
      <c r="O1387" s="8" t="s">
        <v>3400</v>
      </c>
      <c r="P1387" s="8" t="s">
        <v>401</v>
      </c>
      <c r="Q1387" s="12" t="str">
        <f>HYPERLINK("http://www.thenewscenter.tv/home/headlines/One-Person-Dead-in-Marietta-Crash-281400271.html","http://www.thenewscenter.tv/home/headlines/One-Person-Dead-in-Marietta-Crash-281400271.html")</f>
        <v>http://www.thenewscenter.tv/home/headlines/One-Person-Dead-in-Marietta-Crash-281400271.html</v>
      </c>
      <c r="R1387" s="8" t="s">
        <v>100</v>
      </c>
      <c r="S1387" s="7" t="s">
        <v>18</v>
      </c>
      <c r="T1387" s="6"/>
      <c r="U1387" s="8"/>
    </row>
    <row r="1388" spans="1:34" ht="13" customHeight="1">
      <c r="A1388" s="8" t="s">
        <v>6317</v>
      </c>
      <c r="B1388" s="16">
        <v>17</v>
      </c>
      <c r="C1388" s="8" t="s">
        <v>20</v>
      </c>
      <c r="D1388" s="8" t="s">
        <v>30</v>
      </c>
      <c r="F1388" s="17">
        <v>41946</v>
      </c>
      <c r="G1388" s="8" t="s">
        <v>6318</v>
      </c>
      <c r="H1388" s="8" t="s">
        <v>6319</v>
      </c>
      <c r="I1388" s="8" t="s">
        <v>363</v>
      </c>
      <c r="J1388" s="16" t="s">
        <v>6320</v>
      </c>
      <c r="K1388" s="2" t="s">
        <v>1579</v>
      </c>
      <c r="L1388" s="8" t="s">
        <v>6321</v>
      </c>
      <c r="M1388" s="8" t="s">
        <v>379</v>
      </c>
      <c r="N1388" s="2" t="s">
        <v>6322</v>
      </c>
      <c r="O1388" s="8" t="s">
        <v>1013</v>
      </c>
      <c r="P1388" s="8" t="s">
        <v>401</v>
      </c>
      <c r="Q1388" s="12" t="s">
        <v>6323</v>
      </c>
      <c r="R1388" s="8" t="s">
        <v>100</v>
      </c>
      <c r="S1388" s="7" t="s">
        <v>379</v>
      </c>
      <c r="T1388" s="6"/>
      <c r="U1388" s="8"/>
    </row>
    <row r="1389" spans="1:34" ht="13" customHeight="1">
      <c r="A1389" s="8" t="s">
        <v>6324</v>
      </c>
      <c r="B1389" s="16">
        <v>28</v>
      </c>
      <c r="C1389" s="8" t="s">
        <v>20</v>
      </c>
      <c r="D1389" s="8" t="s">
        <v>37</v>
      </c>
      <c r="E1389" s="8" t="s">
        <v>6325</v>
      </c>
      <c r="F1389" s="17">
        <v>41946</v>
      </c>
      <c r="G1389" s="8" t="s">
        <v>6326</v>
      </c>
      <c r="H1389" s="8" t="s">
        <v>6327</v>
      </c>
      <c r="I1389" s="8" t="s">
        <v>94</v>
      </c>
      <c r="J1389" s="16" t="s">
        <v>6328</v>
      </c>
      <c r="K1389" s="2" t="s">
        <v>6329</v>
      </c>
      <c r="L1389" s="8" t="s">
        <v>6330</v>
      </c>
      <c r="M1389" s="8" t="s">
        <v>27</v>
      </c>
      <c r="N1389" s="2" t="s">
        <v>6331</v>
      </c>
      <c r="O1389" s="8" t="s">
        <v>550</v>
      </c>
      <c r="P1389" s="8" t="s">
        <v>401</v>
      </c>
      <c r="Q1389" s="12" t="s">
        <v>6332</v>
      </c>
      <c r="R1389" s="8" t="s">
        <v>967</v>
      </c>
      <c r="S1389" s="7" t="s">
        <v>28</v>
      </c>
      <c r="T1389" s="6"/>
      <c r="U1389" s="8"/>
    </row>
    <row r="1390" spans="1:34" ht="13" customHeight="1">
      <c r="A1390" s="8" t="s">
        <v>6333</v>
      </c>
      <c r="B1390" s="16">
        <v>68</v>
      </c>
      <c r="C1390" s="8" t="s">
        <v>20</v>
      </c>
      <c r="D1390" s="8" t="s">
        <v>85</v>
      </c>
      <c r="E1390" s="8" t="s">
        <v>6334</v>
      </c>
      <c r="F1390" s="17">
        <v>41945</v>
      </c>
      <c r="G1390" s="8" t="s">
        <v>6335</v>
      </c>
      <c r="H1390" s="8" t="s">
        <v>6336</v>
      </c>
      <c r="I1390" s="8" t="s">
        <v>133</v>
      </c>
      <c r="J1390" s="16" t="s">
        <v>6337</v>
      </c>
      <c r="K1390" s="2" t="s">
        <v>3615</v>
      </c>
      <c r="L1390" s="8" t="s">
        <v>6338</v>
      </c>
      <c r="M1390" s="8" t="s">
        <v>391</v>
      </c>
      <c r="N1390" s="2" t="s">
        <v>6339</v>
      </c>
      <c r="O1390" s="8" t="s">
        <v>400</v>
      </c>
      <c r="P1390" s="8" t="s">
        <v>401</v>
      </c>
      <c r="Q1390" s="12" t="s">
        <v>6340</v>
      </c>
      <c r="R1390" s="8" t="s">
        <v>555</v>
      </c>
      <c r="S1390" s="7" t="s">
        <v>28</v>
      </c>
      <c r="T1390" s="6"/>
      <c r="U1390" s="8"/>
    </row>
    <row r="1391" spans="1:34" ht="13" customHeight="1">
      <c r="A1391" s="8" t="s">
        <v>6341</v>
      </c>
      <c r="B1391" s="16">
        <v>20</v>
      </c>
      <c r="C1391" s="8" t="s">
        <v>20</v>
      </c>
      <c r="D1391" s="8" t="s">
        <v>48</v>
      </c>
      <c r="F1391" s="17">
        <v>41945</v>
      </c>
      <c r="G1391" s="8" t="s">
        <v>6342</v>
      </c>
      <c r="H1391" s="8" t="s">
        <v>6343</v>
      </c>
      <c r="I1391" s="8" t="s">
        <v>45</v>
      </c>
      <c r="J1391" s="16" t="s">
        <v>6344</v>
      </c>
      <c r="K1391" s="2" t="s">
        <v>786</v>
      </c>
      <c r="L1391" s="8" t="s">
        <v>6345</v>
      </c>
      <c r="M1391" s="8" t="s">
        <v>27</v>
      </c>
      <c r="N1391" s="2" t="s">
        <v>6346</v>
      </c>
      <c r="O1391" s="8" t="s">
        <v>400</v>
      </c>
      <c r="P1391" s="8" t="s">
        <v>401</v>
      </c>
      <c r="Q1391" s="12" t="s">
        <v>6347</v>
      </c>
      <c r="R1391" s="8" t="s">
        <v>29</v>
      </c>
      <c r="S1391" s="7" t="s">
        <v>28</v>
      </c>
      <c r="T1391" s="6"/>
      <c r="U1391" s="8"/>
    </row>
    <row r="1392" spans="1:34" ht="13" customHeight="1">
      <c r="A1392" s="8" t="s">
        <v>6348</v>
      </c>
      <c r="B1392" s="16">
        <v>28</v>
      </c>
      <c r="C1392" s="8" t="s">
        <v>20</v>
      </c>
      <c r="D1392" s="8" t="s">
        <v>37</v>
      </c>
      <c r="F1392" s="17">
        <v>41945</v>
      </c>
      <c r="G1392" s="8" t="s">
        <v>6349</v>
      </c>
      <c r="H1392" s="8" t="s">
        <v>6350</v>
      </c>
      <c r="I1392" s="8" t="s">
        <v>431</v>
      </c>
      <c r="J1392" s="16">
        <v>64744</v>
      </c>
      <c r="K1392" s="2" t="s">
        <v>6351</v>
      </c>
      <c r="L1392" s="8" t="s">
        <v>6352</v>
      </c>
      <c r="M1392" s="8" t="s">
        <v>27</v>
      </c>
      <c r="N1392" s="2" t="s">
        <v>6353</v>
      </c>
      <c r="P1392" s="8" t="s">
        <v>401</v>
      </c>
      <c r="Q1392" s="12" t="str">
        <f>HYPERLINK("http://www.kshb.com/news/crime/deputy-fatally-shot-in-cedar-county","http://www.kshb.com/news/crime/deputy-fatally-shot-in-cedar-county")</f>
        <v>http://www.kshb.com/news/crime/deputy-fatally-shot-in-cedar-county</v>
      </c>
      <c r="S1392" s="7" t="s">
        <v>28</v>
      </c>
      <c r="T1392" s="6"/>
      <c r="U1392" s="8"/>
    </row>
    <row r="1393" spans="1:24" ht="13" customHeight="1">
      <c r="A1393" s="8" t="s">
        <v>6354</v>
      </c>
      <c r="B1393" s="16">
        <v>22</v>
      </c>
      <c r="C1393" s="8" t="s">
        <v>20</v>
      </c>
      <c r="D1393" s="8" t="s">
        <v>85</v>
      </c>
      <c r="F1393" s="17">
        <v>41944</v>
      </c>
      <c r="G1393" s="8" t="s">
        <v>6355</v>
      </c>
      <c r="H1393" s="8" t="s">
        <v>657</v>
      </c>
      <c r="I1393" s="8" t="s">
        <v>269</v>
      </c>
      <c r="J1393" s="16" t="s">
        <v>6356</v>
      </c>
      <c r="K1393" s="2" t="s">
        <v>570</v>
      </c>
      <c r="L1393" s="8" t="s">
        <v>6357</v>
      </c>
      <c r="M1393" s="8" t="s">
        <v>27</v>
      </c>
      <c r="N1393" s="2" t="s">
        <v>6358</v>
      </c>
      <c r="O1393" s="8" t="s">
        <v>400</v>
      </c>
      <c r="P1393" s="8" t="s">
        <v>401</v>
      </c>
      <c r="Q1393" s="12" t="s">
        <v>6359</v>
      </c>
      <c r="R1393" s="8" t="s">
        <v>29</v>
      </c>
      <c r="S1393" s="7" t="s">
        <v>18</v>
      </c>
      <c r="T1393" s="6"/>
      <c r="U1393" s="8"/>
    </row>
    <row r="1394" spans="1:24" ht="13" customHeight="1">
      <c r="A1394" s="8" t="s">
        <v>6360</v>
      </c>
      <c r="B1394" s="16">
        <v>49</v>
      </c>
      <c r="C1394" s="8" t="s">
        <v>20</v>
      </c>
      <c r="D1394" s="8" t="s">
        <v>48</v>
      </c>
      <c r="E1394" s="8" t="s">
        <v>6361</v>
      </c>
      <c r="F1394" s="17">
        <v>41944</v>
      </c>
      <c r="G1394" s="8" t="s">
        <v>6362</v>
      </c>
      <c r="H1394" s="8" t="s">
        <v>561</v>
      </c>
      <c r="I1394" s="8" t="s">
        <v>123</v>
      </c>
      <c r="J1394" s="16" t="s">
        <v>6363</v>
      </c>
      <c r="K1394" s="2" t="s">
        <v>562</v>
      </c>
      <c r="L1394" s="8" t="s">
        <v>563</v>
      </c>
      <c r="M1394" s="8" t="s">
        <v>27</v>
      </c>
      <c r="N1394" s="2" t="s">
        <v>6364</v>
      </c>
      <c r="O1394" s="8" t="s">
        <v>400</v>
      </c>
      <c r="P1394" s="8" t="s">
        <v>401</v>
      </c>
      <c r="Q1394" s="12" t="str">
        <f>HYPERLINK("http://www.tucsonnewsnow.com/story/27187359/bicyclist-fatally-struck-by-police-officer-in-unmarked-vehicle","http://www.tucsonnewsnow.com/story/27187359/bicyclist-fatally-struck-by-police-officer-in-unmarked-vehicle")</f>
        <v>http://www.tucsonnewsnow.com/story/27187359/bicyclist-fatally-struck-by-police-officer-in-unmarked-vehicle</v>
      </c>
      <c r="R1394" s="8" t="s">
        <v>100</v>
      </c>
      <c r="S1394" s="7" t="s">
        <v>28</v>
      </c>
      <c r="T1394" s="6"/>
      <c r="U1394" s="8"/>
    </row>
    <row r="1395" spans="1:24" ht="13" customHeight="1">
      <c r="A1395" s="8" t="s">
        <v>6365</v>
      </c>
      <c r="B1395" s="16">
        <v>27</v>
      </c>
      <c r="C1395" s="8" t="s">
        <v>20</v>
      </c>
      <c r="D1395" s="8" t="s">
        <v>48</v>
      </c>
      <c r="F1395" s="17">
        <v>41944</v>
      </c>
      <c r="G1395" s="8" t="s">
        <v>6366</v>
      </c>
      <c r="H1395" s="8" t="s">
        <v>1750</v>
      </c>
      <c r="I1395" s="8" t="s">
        <v>45</v>
      </c>
      <c r="J1395" s="16">
        <v>93291</v>
      </c>
      <c r="K1395" s="2" t="s">
        <v>1166</v>
      </c>
      <c r="L1395" s="8" t="s">
        <v>1752</v>
      </c>
      <c r="M1395" s="8" t="s">
        <v>379</v>
      </c>
      <c r="N1395" s="2" t="s">
        <v>6367</v>
      </c>
      <c r="O1395" s="8" t="s">
        <v>550</v>
      </c>
      <c r="P1395" s="8" t="s">
        <v>401</v>
      </c>
      <c r="Q1395" s="12" t="s">
        <v>6368</v>
      </c>
      <c r="S1395" s="7" t="s">
        <v>18</v>
      </c>
      <c r="T1395" s="6"/>
      <c r="U1395" s="8"/>
    </row>
    <row r="1396" spans="1:24" ht="13" customHeight="1">
      <c r="A1396" s="8" t="s">
        <v>6369</v>
      </c>
      <c r="B1396" s="16">
        <v>43</v>
      </c>
      <c r="C1396" s="8" t="s">
        <v>20</v>
      </c>
      <c r="D1396" s="8" t="s">
        <v>37</v>
      </c>
      <c r="E1396" s="8" t="s">
        <v>6370</v>
      </c>
      <c r="F1396" s="17">
        <v>41944</v>
      </c>
      <c r="G1396" s="8" t="s">
        <v>6371</v>
      </c>
      <c r="H1396" s="8" t="s">
        <v>2609</v>
      </c>
      <c r="I1396" s="8" t="s">
        <v>45</v>
      </c>
      <c r="J1396" s="16" t="s">
        <v>6372</v>
      </c>
      <c r="K1396" s="2" t="s">
        <v>1064</v>
      </c>
      <c r="L1396" s="8" t="s">
        <v>6373</v>
      </c>
      <c r="M1396" s="8" t="s">
        <v>27</v>
      </c>
      <c r="N1396" s="2" t="s">
        <v>6374</v>
      </c>
      <c r="O1396" s="8" t="s">
        <v>400</v>
      </c>
      <c r="P1396" s="8" t="s">
        <v>401</v>
      </c>
      <c r="Q1396" s="12" t="s">
        <v>6375</v>
      </c>
      <c r="R1396" s="8" t="s">
        <v>100</v>
      </c>
      <c r="S1396" s="7" t="s">
        <v>28</v>
      </c>
      <c r="T1396" s="6"/>
      <c r="U1396" s="8"/>
    </row>
    <row r="1397" spans="1:24" ht="13" customHeight="1">
      <c r="A1397" s="8" t="s">
        <v>6376</v>
      </c>
      <c r="B1397" s="16">
        <v>62</v>
      </c>
      <c r="C1397" s="8" t="s">
        <v>20</v>
      </c>
      <c r="D1397" s="8" t="s">
        <v>37</v>
      </c>
      <c r="F1397" s="17">
        <v>41944</v>
      </c>
      <c r="G1397" s="8" t="s">
        <v>6377</v>
      </c>
      <c r="H1397" s="8" t="s">
        <v>489</v>
      </c>
      <c r="I1397" s="8" t="s">
        <v>45</v>
      </c>
      <c r="J1397" s="16" t="s">
        <v>6378</v>
      </c>
      <c r="K1397" s="2" t="s">
        <v>98</v>
      </c>
      <c r="L1397" s="8" t="s">
        <v>490</v>
      </c>
      <c r="M1397" s="8" t="s">
        <v>27</v>
      </c>
      <c r="N1397" s="2" t="s">
        <v>6379</v>
      </c>
      <c r="O1397" s="8" t="s">
        <v>400</v>
      </c>
      <c r="P1397" s="8" t="s">
        <v>401</v>
      </c>
      <c r="Q1397" s="12" t="s">
        <v>6380</v>
      </c>
      <c r="R1397" s="8" t="s">
        <v>555</v>
      </c>
      <c r="S1397" s="7" t="s">
        <v>28</v>
      </c>
      <c r="T1397" s="6"/>
      <c r="U1397" s="8"/>
    </row>
    <row r="1398" spans="1:24" ht="13" customHeight="1">
      <c r="A1398" s="8" t="s">
        <v>6381</v>
      </c>
      <c r="B1398" s="16">
        <v>35</v>
      </c>
      <c r="C1398" s="8" t="s">
        <v>20</v>
      </c>
      <c r="D1398" s="8" t="s">
        <v>48</v>
      </c>
      <c r="F1398" s="17">
        <v>41943</v>
      </c>
      <c r="G1398" s="8" t="s">
        <v>6382</v>
      </c>
      <c r="H1398" s="8" t="s">
        <v>6383</v>
      </c>
      <c r="I1398" s="8" t="s">
        <v>45</v>
      </c>
      <c r="J1398" s="16" t="s">
        <v>6384</v>
      </c>
      <c r="K1398" s="2" t="s">
        <v>65</v>
      </c>
      <c r="L1398" s="8" t="s">
        <v>6385</v>
      </c>
      <c r="M1398" s="8" t="s">
        <v>6386</v>
      </c>
      <c r="N1398" s="2" t="s">
        <v>6387</v>
      </c>
      <c r="O1398" s="8" t="s">
        <v>400</v>
      </c>
      <c r="P1398" s="8" t="s">
        <v>401</v>
      </c>
      <c r="Q1398" s="12" t="s">
        <v>6388</v>
      </c>
      <c r="R1398" s="8" t="s">
        <v>100</v>
      </c>
      <c r="S1398" s="7" t="s">
        <v>28</v>
      </c>
      <c r="T1398" s="6"/>
      <c r="U1398" s="8"/>
    </row>
    <row r="1399" spans="1:24" ht="13" customHeight="1">
      <c r="A1399" s="8" t="s">
        <v>6389</v>
      </c>
      <c r="B1399" s="16">
        <v>54</v>
      </c>
      <c r="C1399" s="8" t="s">
        <v>20</v>
      </c>
      <c r="D1399" s="8" t="s">
        <v>37</v>
      </c>
      <c r="E1399" s="8" t="s">
        <v>6390</v>
      </c>
      <c r="F1399" s="17">
        <v>41942</v>
      </c>
      <c r="G1399" s="8" t="s">
        <v>6391</v>
      </c>
      <c r="H1399" s="8" t="s">
        <v>1097</v>
      </c>
      <c r="I1399" s="8" t="s">
        <v>395</v>
      </c>
      <c r="J1399" s="16" t="s">
        <v>3953</v>
      </c>
      <c r="K1399" s="2" t="s">
        <v>1098</v>
      </c>
      <c r="L1399" s="8" t="s">
        <v>1099</v>
      </c>
      <c r="M1399" s="8" t="s">
        <v>27</v>
      </c>
      <c r="N1399" s="2" t="s">
        <v>6392</v>
      </c>
      <c r="O1399" s="8" t="s">
        <v>400</v>
      </c>
      <c r="P1399" s="8" t="s">
        <v>401</v>
      </c>
      <c r="Q1399" s="12" t="s">
        <v>6393</v>
      </c>
      <c r="R1399" s="8" t="s">
        <v>100</v>
      </c>
      <c r="S1399" s="7" t="s">
        <v>28</v>
      </c>
      <c r="T1399" s="6"/>
      <c r="U1399" s="8"/>
    </row>
    <row r="1400" spans="1:24" ht="13" customHeight="1">
      <c r="A1400" s="8" t="s">
        <v>6394</v>
      </c>
      <c r="B1400" s="16">
        <v>26</v>
      </c>
      <c r="C1400" s="8" t="s">
        <v>20</v>
      </c>
      <c r="D1400" s="8" t="s">
        <v>37</v>
      </c>
      <c r="E1400" s="8" t="s">
        <v>6395</v>
      </c>
      <c r="F1400" s="17">
        <v>41941</v>
      </c>
      <c r="G1400" s="8" t="s">
        <v>6396</v>
      </c>
      <c r="H1400" s="8" t="s">
        <v>6397</v>
      </c>
      <c r="I1400" s="8" t="s">
        <v>25</v>
      </c>
      <c r="J1400" s="16" t="s">
        <v>6398</v>
      </c>
      <c r="K1400" s="2" t="s">
        <v>6397</v>
      </c>
      <c r="L1400" s="8" t="s">
        <v>6399</v>
      </c>
      <c r="M1400" s="8" t="s">
        <v>27</v>
      </c>
      <c r="N1400" s="2" t="s">
        <v>6400</v>
      </c>
      <c r="O1400" s="8" t="s">
        <v>1013</v>
      </c>
      <c r="P1400" s="8" t="s">
        <v>401</v>
      </c>
      <c r="Q1400" s="12" t="s">
        <v>6401</v>
      </c>
      <c r="R1400" s="8" t="s">
        <v>555</v>
      </c>
      <c r="S1400" s="7" t="s">
        <v>28</v>
      </c>
      <c r="T1400" s="6"/>
      <c r="U1400" s="8"/>
    </row>
    <row r="1401" spans="1:24" ht="13" customHeight="1">
      <c r="A1401" s="8" t="s">
        <v>6402</v>
      </c>
      <c r="B1401" s="16">
        <v>33</v>
      </c>
      <c r="C1401" s="8" t="s">
        <v>114</v>
      </c>
      <c r="D1401" s="8" t="s">
        <v>37</v>
      </c>
      <c r="E1401" s="8" t="s">
        <v>6403</v>
      </c>
      <c r="F1401" s="17">
        <v>41941</v>
      </c>
      <c r="G1401" s="8" t="s">
        <v>6404</v>
      </c>
      <c r="H1401" s="8" t="s">
        <v>6405</v>
      </c>
      <c r="I1401" s="8" t="s">
        <v>423</v>
      </c>
      <c r="J1401" s="16" t="s">
        <v>6406</v>
      </c>
      <c r="K1401" s="2" t="s">
        <v>6407</v>
      </c>
      <c r="L1401" s="8" t="s">
        <v>6408</v>
      </c>
      <c r="M1401" s="8" t="s">
        <v>379</v>
      </c>
      <c r="N1401" s="2" t="s">
        <v>6409</v>
      </c>
      <c r="O1401" s="8" t="s">
        <v>400</v>
      </c>
      <c r="P1401" s="8" t="s">
        <v>401</v>
      </c>
      <c r="Q1401" s="12" t="s">
        <v>6410</v>
      </c>
      <c r="R1401" s="8" t="s">
        <v>100</v>
      </c>
      <c r="S1401" s="7" t="s">
        <v>18</v>
      </c>
      <c r="T1401" s="6"/>
      <c r="U1401" s="8"/>
    </row>
    <row r="1402" spans="1:24" ht="13" customHeight="1">
      <c r="A1402" s="8" t="s">
        <v>6411</v>
      </c>
      <c r="B1402" s="16">
        <v>24</v>
      </c>
      <c r="C1402" s="8" t="s">
        <v>20</v>
      </c>
      <c r="D1402" s="8" t="s">
        <v>85</v>
      </c>
      <c r="E1402" s="8" t="s">
        <v>6412</v>
      </c>
      <c r="F1402" s="17">
        <v>41940</v>
      </c>
      <c r="G1402" s="8" t="s">
        <v>6413</v>
      </c>
      <c r="H1402" s="8" t="s">
        <v>6414</v>
      </c>
      <c r="I1402" s="8" t="s">
        <v>62</v>
      </c>
      <c r="J1402" s="16" t="s">
        <v>6415</v>
      </c>
      <c r="K1402" s="2" t="s">
        <v>6416</v>
      </c>
      <c r="L1402" s="8" t="s">
        <v>6417</v>
      </c>
      <c r="M1402" s="8" t="s">
        <v>27</v>
      </c>
      <c r="N1402" s="2" t="s">
        <v>6418</v>
      </c>
      <c r="O1402" s="8" t="s">
        <v>550</v>
      </c>
      <c r="P1402" s="8" t="s">
        <v>401</v>
      </c>
      <c r="Q1402" s="12" t="s">
        <v>6419</v>
      </c>
      <c r="R1402" s="8" t="s">
        <v>555</v>
      </c>
      <c r="S1402" s="7" t="s">
        <v>18</v>
      </c>
      <c r="T1402" s="6"/>
      <c r="U1402" s="8"/>
    </row>
    <row r="1403" spans="1:24" ht="13" customHeight="1">
      <c r="A1403" s="8" t="s">
        <v>6420</v>
      </c>
      <c r="B1403" s="16">
        <v>22</v>
      </c>
      <c r="C1403" s="8" t="s">
        <v>20</v>
      </c>
      <c r="D1403" s="8" t="s">
        <v>48</v>
      </c>
      <c r="E1403" s="8" t="s">
        <v>6421</v>
      </c>
      <c r="F1403" s="17">
        <v>41940</v>
      </c>
      <c r="G1403" s="8" t="s">
        <v>6422</v>
      </c>
      <c r="H1403" s="8" t="s">
        <v>634</v>
      </c>
      <c r="I1403" s="8" t="s">
        <v>123</v>
      </c>
      <c r="J1403" s="16" t="s">
        <v>6423</v>
      </c>
      <c r="K1403" s="2" t="s">
        <v>635</v>
      </c>
      <c r="L1403" s="8" t="s">
        <v>15248</v>
      </c>
      <c r="M1403" s="8" t="s">
        <v>27</v>
      </c>
      <c r="N1403" s="2" t="s">
        <v>6424</v>
      </c>
      <c r="O1403" s="8" t="s">
        <v>400</v>
      </c>
      <c r="P1403" s="8" t="s">
        <v>401</v>
      </c>
      <c r="Q1403" s="12" t="s">
        <v>6425</v>
      </c>
      <c r="R1403" s="8" t="s">
        <v>100</v>
      </c>
      <c r="S1403" s="7" t="s">
        <v>35</v>
      </c>
      <c r="T1403" s="6"/>
      <c r="U1403" s="8"/>
      <c r="V1403" s="8"/>
      <c r="W1403" s="8"/>
      <c r="X1403" s="8"/>
    </row>
    <row r="1404" spans="1:24" ht="13" customHeight="1">
      <c r="A1404" s="8" t="s">
        <v>6426</v>
      </c>
      <c r="B1404" s="16">
        <v>49</v>
      </c>
      <c r="C1404" s="8" t="s">
        <v>20</v>
      </c>
      <c r="D1404" s="8" t="s">
        <v>30</v>
      </c>
      <c r="F1404" s="17">
        <v>41940</v>
      </c>
      <c r="G1404" s="8" t="s">
        <v>6427</v>
      </c>
      <c r="H1404" s="8" t="s">
        <v>6428</v>
      </c>
      <c r="I1404" s="8" t="s">
        <v>45</v>
      </c>
      <c r="J1404" s="16" t="s">
        <v>6429</v>
      </c>
      <c r="K1404" s="2" t="s">
        <v>3442</v>
      </c>
      <c r="L1404" s="8" t="s">
        <v>6430</v>
      </c>
      <c r="M1404" s="8" t="s">
        <v>27</v>
      </c>
      <c r="N1404" s="2" t="s">
        <v>6431</v>
      </c>
      <c r="O1404" s="8" t="s">
        <v>400</v>
      </c>
      <c r="P1404" s="8" t="s">
        <v>401</v>
      </c>
      <c r="Q1404" s="12" t="s">
        <v>6432</v>
      </c>
      <c r="R1404" s="8" t="s">
        <v>967</v>
      </c>
      <c r="S1404" s="7" t="s">
        <v>28</v>
      </c>
      <c r="T1404" s="6"/>
      <c r="U1404" s="8"/>
    </row>
    <row r="1405" spans="1:24" ht="13" customHeight="1">
      <c r="A1405" s="8" t="s">
        <v>6446</v>
      </c>
      <c r="B1405" s="16">
        <v>29</v>
      </c>
      <c r="C1405" s="8" t="s">
        <v>20</v>
      </c>
      <c r="D1405" s="8" t="s">
        <v>37</v>
      </c>
      <c r="E1405" s="8" t="s">
        <v>6447</v>
      </c>
      <c r="F1405" s="17">
        <v>41940</v>
      </c>
      <c r="G1405" s="8" t="s">
        <v>6448</v>
      </c>
      <c r="H1405" s="8" t="s">
        <v>974</v>
      </c>
      <c r="I1405" s="8" t="s">
        <v>195</v>
      </c>
      <c r="J1405" s="16" t="s">
        <v>6449</v>
      </c>
      <c r="K1405" s="2" t="s">
        <v>6450</v>
      </c>
      <c r="L1405" s="8" t="s">
        <v>6451</v>
      </c>
      <c r="M1405" s="8" t="s">
        <v>27</v>
      </c>
      <c r="N1405" s="2" t="s">
        <v>6452</v>
      </c>
      <c r="O1405" s="8" t="s">
        <v>1790</v>
      </c>
      <c r="P1405" s="8" t="s">
        <v>1162</v>
      </c>
      <c r="Q1405" s="12" t="s">
        <v>6453</v>
      </c>
      <c r="R1405" s="8" t="s">
        <v>100</v>
      </c>
      <c r="S1405" s="7" t="s">
        <v>28</v>
      </c>
      <c r="T1405" s="6"/>
      <c r="U1405" s="8"/>
    </row>
    <row r="1406" spans="1:24" ht="13" customHeight="1">
      <c r="A1406" s="8" t="s">
        <v>6433</v>
      </c>
      <c r="B1406" s="16">
        <v>37</v>
      </c>
      <c r="C1406" s="8" t="s">
        <v>20</v>
      </c>
      <c r="D1406" s="8" t="s">
        <v>37</v>
      </c>
      <c r="E1406" s="8" t="s">
        <v>6434</v>
      </c>
      <c r="F1406" s="17">
        <v>41940</v>
      </c>
      <c r="G1406" s="8" t="s">
        <v>6435</v>
      </c>
      <c r="H1406" s="8" t="s">
        <v>5324</v>
      </c>
      <c r="I1406" s="8" t="s">
        <v>244</v>
      </c>
      <c r="J1406" s="16" t="s">
        <v>6436</v>
      </c>
      <c r="K1406" s="2" t="s">
        <v>6437</v>
      </c>
      <c r="L1406" s="8" t="s">
        <v>6438</v>
      </c>
      <c r="M1406" s="8" t="s">
        <v>27</v>
      </c>
      <c r="N1406" s="2" t="s">
        <v>6439</v>
      </c>
      <c r="O1406" s="8" t="s">
        <v>550</v>
      </c>
      <c r="P1406" s="8" t="s">
        <v>401</v>
      </c>
      <c r="Q1406" s="12" t="str">
        <f>HYPERLINK("http://www.wdbj7.com/news/local/lynchburg-bedford/deputy-involved-in-bedford-county-shooting/29390802","http://www.wdbj7.com/news/local/lynchburg-bedford/deputy-involved-in-bedford-county-shooting/29390802")</f>
        <v>http://www.wdbj7.com/news/local/lynchburg-bedford/deputy-involved-in-bedford-county-shooting/29390802</v>
      </c>
      <c r="R1406" s="8" t="s">
        <v>100</v>
      </c>
      <c r="S1406" s="7" t="s">
        <v>28</v>
      </c>
      <c r="T1406" s="6"/>
      <c r="U1406" s="8"/>
    </row>
    <row r="1407" spans="1:24" ht="13" customHeight="1">
      <c r="A1407" s="8" t="s">
        <v>6440</v>
      </c>
      <c r="B1407" s="16">
        <v>38</v>
      </c>
      <c r="C1407" s="8" t="s">
        <v>20</v>
      </c>
      <c r="D1407" s="8" t="s">
        <v>37</v>
      </c>
      <c r="E1407" s="8" t="s">
        <v>6441</v>
      </c>
      <c r="F1407" s="17">
        <v>41940</v>
      </c>
      <c r="G1407" s="8" t="s">
        <v>6442</v>
      </c>
      <c r="H1407" s="8" t="s">
        <v>893</v>
      </c>
      <c r="I1407" s="8" t="s">
        <v>315</v>
      </c>
      <c r="J1407" s="16" t="s">
        <v>6443</v>
      </c>
      <c r="K1407" s="2" t="s">
        <v>1781</v>
      </c>
      <c r="L1407" s="8" t="s">
        <v>894</v>
      </c>
      <c r="M1407" s="8" t="s">
        <v>27</v>
      </c>
      <c r="N1407" s="2" t="s">
        <v>6444</v>
      </c>
      <c r="O1407" s="8" t="s">
        <v>1013</v>
      </c>
      <c r="P1407" s="8" t="s">
        <v>401</v>
      </c>
      <c r="Q1407" s="12" t="s">
        <v>6445</v>
      </c>
      <c r="R1407" s="8" t="s">
        <v>100</v>
      </c>
      <c r="S1407" s="7" t="s">
        <v>28</v>
      </c>
      <c r="T1407" s="6"/>
      <c r="U1407" s="8"/>
    </row>
    <row r="1408" spans="1:24" ht="13" customHeight="1">
      <c r="A1408" s="8" t="s">
        <v>6454</v>
      </c>
      <c r="B1408" s="16">
        <v>17</v>
      </c>
      <c r="C1408" s="8" t="s">
        <v>20</v>
      </c>
      <c r="D1408" s="8" t="s">
        <v>85</v>
      </c>
      <c r="E1408" s="8" t="s">
        <v>6455</v>
      </c>
      <c r="F1408" s="17">
        <v>41939</v>
      </c>
      <c r="G1408" s="8" t="s">
        <v>6456</v>
      </c>
      <c r="H1408" s="8" t="s">
        <v>5986</v>
      </c>
      <c r="I1408" s="8" t="s">
        <v>366</v>
      </c>
      <c r="J1408" s="16" t="s">
        <v>6457</v>
      </c>
      <c r="K1408" s="2" t="s">
        <v>3167</v>
      </c>
      <c r="L1408" s="8" t="s">
        <v>6458</v>
      </c>
      <c r="M1408" s="8" t="s">
        <v>379</v>
      </c>
      <c r="N1408" s="2" t="s">
        <v>6459</v>
      </c>
      <c r="O1408" s="8" t="s">
        <v>400</v>
      </c>
      <c r="P1408" s="8" t="s">
        <v>401</v>
      </c>
      <c r="Q1408" s="12" t="s">
        <v>6460</v>
      </c>
      <c r="R1408" s="8" t="s">
        <v>100</v>
      </c>
      <c r="S1408" s="7" t="s">
        <v>18</v>
      </c>
      <c r="T1408" s="6"/>
      <c r="U1408" s="8"/>
    </row>
    <row r="1409" spans="1:34" ht="13" customHeight="1">
      <c r="A1409" s="8" t="s">
        <v>6461</v>
      </c>
      <c r="B1409" s="16">
        <v>28</v>
      </c>
      <c r="C1409" s="8" t="s">
        <v>20</v>
      </c>
      <c r="D1409" s="8" t="s">
        <v>48</v>
      </c>
      <c r="F1409" s="17">
        <v>41939</v>
      </c>
      <c r="G1409" s="8" t="s">
        <v>6462</v>
      </c>
      <c r="H1409" s="8" t="s">
        <v>6463</v>
      </c>
      <c r="I1409" s="8" t="s">
        <v>45</v>
      </c>
      <c r="J1409" s="16">
        <v>90723</v>
      </c>
      <c r="K1409" s="2" t="s">
        <v>98</v>
      </c>
      <c r="L1409" s="8" t="s">
        <v>414</v>
      </c>
      <c r="M1409" s="8" t="s">
        <v>27</v>
      </c>
      <c r="N1409" s="2" t="s">
        <v>6464</v>
      </c>
      <c r="P1409" s="8" t="s">
        <v>401</v>
      </c>
      <c r="Q1409" s="12" t="s">
        <v>6465</v>
      </c>
      <c r="S1409" s="7" t="s">
        <v>18</v>
      </c>
      <c r="T1409" s="6"/>
      <c r="U1409" s="8"/>
    </row>
    <row r="1410" spans="1:34" ht="13" customHeight="1">
      <c r="A1410" s="8" t="s">
        <v>6481</v>
      </c>
      <c r="B1410" s="16">
        <v>44</v>
      </c>
      <c r="C1410" s="8" t="s">
        <v>20</v>
      </c>
      <c r="D1410" s="8" t="s">
        <v>37</v>
      </c>
      <c r="F1410" s="17">
        <v>41939</v>
      </c>
      <c r="G1410" s="8" t="s">
        <v>6482</v>
      </c>
      <c r="H1410" s="8" t="s">
        <v>6483</v>
      </c>
      <c r="I1410" s="8" t="s">
        <v>62</v>
      </c>
      <c r="J1410" s="16">
        <v>33012</v>
      </c>
      <c r="K1410" s="2" t="s">
        <v>161</v>
      </c>
      <c r="L1410" s="8" t="s">
        <v>6484</v>
      </c>
      <c r="M1410" s="8" t="s">
        <v>27</v>
      </c>
      <c r="N1410" s="2" t="s">
        <v>6485</v>
      </c>
      <c r="P1410" s="8" t="s">
        <v>401</v>
      </c>
      <c r="Q1410" s="12" t="str">
        <f>HYPERLINK("http://www.wsvn.com/story/27025232/1-dead-in-hialeah-police-involved-shooting","http://www.wsvn.com/story/27025232/1-dead-in-hialeah-police-involved-shooting")</f>
        <v>http://www.wsvn.com/story/27025232/1-dead-in-hialeah-police-involved-shooting</v>
      </c>
      <c r="S1410" s="7" t="s">
        <v>28</v>
      </c>
      <c r="T1410" s="6"/>
      <c r="U1410" s="8"/>
    </row>
    <row r="1411" spans="1:34" ht="13" customHeight="1">
      <c r="A1411" s="8" t="s">
        <v>6473</v>
      </c>
      <c r="B1411" s="16">
        <v>41</v>
      </c>
      <c r="C1411" s="8" t="s">
        <v>20</v>
      </c>
      <c r="D1411" s="8" t="s">
        <v>37</v>
      </c>
      <c r="F1411" s="17">
        <v>41939</v>
      </c>
      <c r="G1411" s="8" t="s">
        <v>6474</v>
      </c>
      <c r="H1411" s="8" t="s">
        <v>6475</v>
      </c>
      <c r="I1411" s="8" t="s">
        <v>366</v>
      </c>
      <c r="J1411" s="16" t="s">
        <v>6476</v>
      </c>
      <c r="K1411" s="2" t="s">
        <v>6477</v>
      </c>
      <c r="L1411" s="8" t="s">
        <v>6478</v>
      </c>
      <c r="M1411" s="8" t="s">
        <v>27</v>
      </c>
      <c r="N1411" s="2" t="s">
        <v>6479</v>
      </c>
      <c r="O1411" s="8" t="s">
        <v>400</v>
      </c>
      <c r="P1411" s="8" t="s">
        <v>401</v>
      </c>
      <c r="Q1411" s="12" t="s">
        <v>6480</v>
      </c>
      <c r="R1411" s="8" t="s">
        <v>555</v>
      </c>
      <c r="S1411" s="7" t="s">
        <v>18</v>
      </c>
      <c r="T1411" s="6"/>
      <c r="U1411" s="8"/>
    </row>
    <row r="1412" spans="1:34" ht="13" customHeight="1">
      <c r="A1412" s="8" t="s">
        <v>6466</v>
      </c>
      <c r="B1412" s="16">
        <v>30</v>
      </c>
      <c r="C1412" s="8" t="s">
        <v>20</v>
      </c>
      <c r="D1412" s="8" t="s">
        <v>37</v>
      </c>
      <c r="F1412" s="17">
        <v>41939</v>
      </c>
      <c r="G1412" s="8" t="s">
        <v>6467</v>
      </c>
      <c r="H1412" s="8" t="s">
        <v>6468</v>
      </c>
      <c r="I1412" s="8" t="s">
        <v>62</v>
      </c>
      <c r="J1412" s="16" t="s">
        <v>6469</v>
      </c>
      <c r="K1412" s="2" t="s">
        <v>1127</v>
      </c>
      <c r="L1412" s="8" t="s">
        <v>6470</v>
      </c>
      <c r="M1412" s="8" t="s">
        <v>391</v>
      </c>
      <c r="N1412" s="2" t="s">
        <v>6471</v>
      </c>
      <c r="O1412" s="8" t="s">
        <v>400</v>
      </c>
      <c r="P1412" s="8" t="s">
        <v>401</v>
      </c>
      <c r="Q1412" s="12" t="s">
        <v>6472</v>
      </c>
      <c r="R1412" s="8" t="s">
        <v>555</v>
      </c>
      <c r="S1412" s="7" t="s">
        <v>35</v>
      </c>
      <c r="T1412" s="6"/>
      <c r="U1412" s="8"/>
    </row>
    <row r="1413" spans="1:34" ht="13" customHeight="1">
      <c r="A1413" s="8" t="s">
        <v>6486</v>
      </c>
      <c r="B1413" s="16">
        <v>29</v>
      </c>
      <c r="C1413" s="8" t="s">
        <v>20</v>
      </c>
      <c r="D1413" s="8" t="s">
        <v>85</v>
      </c>
      <c r="F1413" s="17">
        <v>41938</v>
      </c>
      <c r="G1413" s="8" t="s">
        <v>6487</v>
      </c>
      <c r="H1413" s="8" t="s">
        <v>757</v>
      </c>
      <c r="I1413" s="8" t="s">
        <v>423</v>
      </c>
      <c r="J1413" s="16" t="s">
        <v>6488</v>
      </c>
      <c r="K1413" s="2" t="s">
        <v>757</v>
      </c>
      <c r="L1413" s="8" t="s">
        <v>582</v>
      </c>
      <c r="M1413" s="8" t="s">
        <v>27</v>
      </c>
      <c r="N1413" s="2" t="s">
        <v>6489</v>
      </c>
      <c r="O1413" s="8" t="s">
        <v>1013</v>
      </c>
      <c r="P1413" s="8" t="s">
        <v>401</v>
      </c>
      <c r="Q1413" s="12" t="s">
        <v>6490</v>
      </c>
      <c r="R1413" s="8" t="s">
        <v>29</v>
      </c>
      <c r="S1413" s="7" t="s">
        <v>28</v>
      </c>
      <c r="T1413" s="6"/>
      <c r="U1413" s="8"/>
    </row>
    <row r="1414" spans="1:34" ht="13" customHeight="1">
      <c r="A1414" s="8" t="s">
        <v>6491</v>
      </c>
      <c r="B1414" s="16">
        <v>18</v>
      </c>
      <c r="C1414" s="8" t="s">
        <v>20</v>
      </c>
      <c r="D1414" s="8" t="s">
        <v>37</v>
      </c>
      <c r="E1414" s="8" t="s">
        <v>6492</v>
      </c>
      <c r="F1414" s="17">
        <v>41938</v>
      </c>
      <c r="G1414" s="8" t="s">
        <v>6493</v>
      </c>
      <c r="H1414" s="8" t="s">
        <v>685</v>
      </c>
      <c r="I1414" s="8" t="s">
        <v>363</v>
      </c>
      <c r="J1414" s="16" t="s">
        <v>6494</v>
      </c>
      <c r="K1414" s="2" t="s">
        <v>686</v>
      </c>
      <c r="L1414" s="8" t="s">
        <v>687</v>
      </c>
      <c r="M1414" s="8" t="s">
        <v>27</v>
      </c>
      <c r="N1414" s="2" t="s">
        <v>6495</v>
      </c>
      <c r="O1414" s="8" t="s">
        <v>400</v>
      </c>
      <c r="P1414" s="8" t="s">
        <v>401</v>
      </c>
      <c r="Q1414" s="12" t="s">
        <v>6496</v>
      </c>
      <c r="R1414" s="8" t="s">
        <v>555</v>
      </c>
      <c r="S1414" s="7" t="s">
        <v>28</v>
      </c>
      <c r="T1414" s="6"/>
      <c r="U1414" s="8"/>
      <c r="V1414" s="8"/>
      <c r="W1414" s="8"/>
      <c r="X1414" s="8"/>
    </row>
    <row r="1415" spans="1:34" ht="13" customHeight="1">
      <c r="A1415" s="8" t="s">
        <v>6497</v>
      </c>
      <c r="B1415" s="16">
        <v>29</v>
      </c>
      <c r="C1415" s="8" t="s">
        <v>20</v>
      </c>
      <c r="D1415" s="8" t="s">
        <v>85</v>
      </c>
      <c r="F1415" s="17">
        <v>41937</v>
      </c>
      <c r="G1415" s="8" t="s">
        <v>6498</v>
      </c>
      <c r="H1415" s="8" t="s">
        <v>6499</v>
      </c>
      <c r="I1415" s="8" t="s">
        <v>44</v>
      </c>
      <c r="J1415" s="16" t="s">
        <v>6500</v>
      </c>
      <c r="K1415" s="2" t="s">
        <v>88</v>
      </c>
      <c r="L1415" s="8" t="s">
        <v>6501</v>
      </c>
      <c r="M1415" s="8" t="s">
        <v>27</v>
      </c>
      <c r="N1415" s="2" t="s">
        <v>6502</v>
      </c>
      <c r="O1415" s="8" t="s">
        <v>550</v>
      </c>
      <c r="P1415" s="8" t="s">
        <v>401</v>
      </c>
      <c r="Q1415" s="12" t="s">
        <v>6503</v>
      </c>
      <c r="R1415" s="8" t="s">
        <v>100</v>
      </c>
      <c r="S1415" s="7" t="s">
        <v>28</v>
      </c>
      <c r="T1415" s="6"/>
      <c r="U1415" s="8"/>
    </row>
    <row r="1416" spans="1:34" ht="13" customHeight="1">
      <c r="A1416" s="8" t="s">
        <v>6504</v>
      </c>
      <c r="B1416" s="16">
        <v>51</v>
      </c>
      <c r="C1416" s="8" t="s">
        <v>114</v>
      </c>
      <c r="D1416" s="8" t="s">
        <v>85</v>
      </c>
      <c r="F1416" s="17">
        <v>41937</v>
      </c>
      <c r="G1416" s="8" t="s">
        <v>6505</v>
      </c>
      <c r="H1416" s="8" t="s">
        <v>6506</v>
      </c>
      <c r="I1416" s="8" t="s">
        <v>366</v>
      </c>
      <c r="J1416" s="16" t="s">
        <v>6507</v>
      </c>
      <c r="K1416" s="2" t="s">
        <v>649</v>
      </c>
      <c r="L1416" s="8" t="s">
        <v>6162</v>
      </c>
      <c r="M1416" s="8" t="s">
        <v>379</v>
      </c>
      <c r="N1416" s="2" t="s">
        <v>6508</v>
      </c>
      <c r="O1416" s="8" t="s">
        <v>400</v>
      </c>
      <c r="P1416" s="8" t="s">
        <v>401</v>
      </c>
      <c r="Q1416" s="12" t="s">
        <v>6509</v>
      </c>
      <c r="R1416" s="8" t="s">
        <v>100</v>
      </c>
      <c r="S1416" s="7" t="s">
        <v>18</v>
      </c>
      <c r="T1416" s="6"/>
      <c r="U1416" s="8"/>
    </row>
    <row r="1417" spans="1:34" ht="13" customHeight="1">
      <c r="A1417" s="8" t="s">
        <v>6510</v>
      </c>
      <c r="B1417" s="16">
        <v>39</v>
      </c>
      <c r="C1417" s="8" t="s">
        <v>20</v>
      </c>
      <c r="D1417" s="8" t="s">
        <v>48</v>
      </c>
      <c r="E1417" s="8" t="s">
        <v>6511</v>
      </c>
      <c r="F1417" s="17">
        <v>41937</v>
      </c>
      <c r="G1417" s="8" t="s">
        <v>6512</v>
      </c>
      <c r="H1417" s="8" t="s">
        <v>6513</v>
      </c>
      <c r="I1417" s="8" t="s">
        <v>240</v>
      </c>
      <c r="J1417" s="16" t="s">
        <v>6514</v>
      </c>
      <c r="K1417" s="2" t="s">
        <v>613</v>
      </c>
      <c r="L1417" s="8" t="s">
        <v>6515</v>
      </c>
      <c r="M1417" s="8" t="s">
        <v>27</v>
      </c>
      <c r="N1417" s="2" t="s">
        <v>6516</v>
      </c>
      <c r="O1417" s="8" t="s">
        <v>550</v>
      </c>
      <c r="P1417" s="8" t="s">
        <v>401</v>
      </c>
      <c r="Q1417" s="12" t="s">
        <v>5296</v>
      </c>
      <c r="R1417" s="8" t="s">
        <v>555</v>
      </c>
      <c r="S1417" s="7" t="s">
        <v>28</v>
      </c>
      <c r="T1417" s="6"/>
      <c r="U1417" s="8"/>
    </row>
    <row r="1418" spans="1:34" ht="13" customHeight="1">
      <c r="A1418" s="8" t="s">
        <v>6526</v>
      </c>
      <c r="B1418" s="16">
        <v>27</v>
      </c>
      <c r="C1418" s="8" t="s">
        <v>20</v>
      </c>
      <c r="D1418" s="8" t="s">
        <v>37</v>
      </c>
      <c r="F1418" s="17">
        <v>41937</v>
      </c>
      <c r="G1418" s="8" t="s">
        <v>6527</v>
      </c>
      <c r="H1418" s="8" t="s">
        <v>6528</v>
      </c>
      <c r="I1418" s="8" t="s">
        <v>45</v>
      </c>
      <c r="J1418" s="16" t="s">
        <v>6529</v>
      </c>
      <c r="K1418" s="2" t="s">
        <v>1064</v>
      </c>
      <c r="L1418" s="8" t="s">
        <v>6530</v>
      </c>
      <c r="M1418" s="8" t="s">
        <v>27</v>
      </c>
      <c r="N1418" s="2" t="s">
        <v>6531</v>
      </c>
      <c r="O1418" s="8" t="s">
        <v>400</v>
      </c>
      <c r="P1418" s="8" t="s">
        <v>401</v>
      </c>
      <c r="Q1418" s="12" t="s">
        <v>6532</v>
      </c>
      <c r="R1418" s="8" t="s">
        <v>100</v>
      </c>
      <c r="S1418" s="7" t="s">
        <v>28</v>
      </c>
      <c r="T1418" s="6"/>
      <c r="U1418" s="8"/>
    </row>
    <row r="1419" spans="1:34" ht="13" customHeight="1">
      <c r="A1419" s="8" t="s">
        <v>6517</v>
      </c>
      <c r="B1419" s="16">
        <v>27</v>
      </c>
      <c r="C1419" s="8" t="s">
        <v>20</v>
      </c>
      <c r="D1419" s="8" t="s">
        <v>37</v>
      </c>
      <c r="E1419" s="8" t="s">
        <v>6518</v>
      </c>
      <c r="F1419" s="17">
        <v>41937</v>
      </c>
      <c r="G1419" s="8" t="s">
        <v>6519</v>
      </c>
      <c r="H1419" s="8" t="s">
        <v>6520</v>
      </c>
      <c r="I1419" s="8" t="s">
        <v>981</v>
      </c>
      <c r="J1419" s="16" t="s">
        <v>6521</v>
      </c>
      <c r="K1419" s="2" t="s">
        <v>6522</v>
      </c>
      <c r="L1419" s="8" t="s">
        <v>6523</v>
      </c>
      <c r="M1419" s="8" t="s">
        <v>27</v>
      </c>
      <c r="N1419" s="2" t="s">
        <v>6524</v>
      </c>
      <c r="O1419" s="8" t="s">
        <v>400</v>
      </c>
      <c r="P1419" s="8" t="s">
        <v>401</v>
      </c>
      <c r="Q1419" s="12" t="s">
        <v>6525</v>
      </c>
      <c r="R1419" s="8" t="s">
        <v>100</v>
      </c>
      <c r="S1419" s="7" t="s">
        <v>28</v>
      </c>
      <c r="T1419" s="6"/>
      <c r="U1419" s="8"/>
      <c r="Y1419" s="8"/>
      <c r="Z1419" s="8"/>
      <c r="AA1419" s="8"/>
      <c r="AB1419" s="8"/>
      <c r="AC1419" s="8"/>
      <c r="AD1419" s="8"/>
      <c r="AE1419" s="8"/>
      <c r="AF1419" s="8"/>
      <c r="AG1419" s="8"/>
      <c r="AH1419" s="8"/>
    </row>
    <row r="1420" spans="1:34" ht="13" customHeight="1">
      <c r="A1420" s="8" t="s">
        <v>6533</v>
      </c>
      <c r="B1420" s="16">
        <v>38</v>
      </c>
      <c r="C1420" s="8" t="s">
        <v>20</v>
      </c>
      <c r="D1420" s="8" t="s">
        <v>85</v>
      </c>
      <c r="F1420" s="17">
        <v>41936</v>
      </c>
      <c r="G1420" s="8" t="s">
        <v>6534</v>
      </c>
      <c r="H1420" s="8" t="s">
        <v>5986</v>
      </c>
      <c r="I1420" s="8" t="s">
        <v>366</v>
      </c>
      <c r="J1420" s="16">
        <v>28314</v>
      </c>
      <c r="K1420" s="2" t="s">
        <v>3167</v>
      </c>
      <c r="L1420" s="8" t="s">
        <v>6535</v>
      </c>
      <c r="M1420" s="8" t="s">
        <v>27</v>
      </c>
      <c r="N1420" s="2" t="s">
        <v>6536</v>
      </c>
      <c r="P1420" s="8" t="s">
        <v>401</v>
      </c>
      <c r="Q1420" s="12" t="str">
        <f>HYPERLINK("http://www.fayobserver.com/news/local/man-shot-killed-when-cumberland-county-deputies-try-to-serve/article_f253b5ae-7298-5362-8caf-84520ea48f26.html","http://www.fayobserver.com/news/local/man-shot-killed-when-cumberland-county-deputies-try-to-serve/article_f253b5ae-7298-5362-8caf-84520ea48f26.html")</f>
        <v>http://www.fayobserver.com/news/local/man-shot-killed-when-cumberland-county-deputies-try-to-serve/article_f253b5ae-7298-5362-8caf-84520ea48f26.html</v>
      </c>
      <c r="R1420" s="8" t="s">
        <v>29</v>
      </c>
      <c r="S1420" s="7" t="s">
        <v>28</v>
      </c>
      <c r="T1420" s="6"/>
      <c r="U1420" s="8"/>
    </row>
    <row r="1421" spans="1:34" ht="13" customHeight="1">
      <c r="A1421" s="8" t="s">
        <v>6541</v>
      </c>
      <c r="B1421" s="16">
        <v>22</v>
      </c>
      <c r="C1421" s="8" t="s">
        <v>20</v>
      </c>
      <c r="D1421" s="8" t="s">
        <v>48</v>
      </c>
      <c r="E1421" s="8" t="s">
        <v>6542</v>
      </c>
      <c r="F1421" s="17">
        <v>41936</v>
      </c>
      <c r="G1421" s="8" t="s">
        <v>6543</v>
      </c>
      <c r="H1421" s="8" t="s">
        <v>6544</v>
      </c>
      <c r="I1421" s="8" t="s">
        <v>195</v>
      </c>
      <c r="J1421" s="16" t="s">
        <v>6545</v>
      </c>
      <c r="K1421" s="2" t="s">
        <v>6546</v>
      </c>
      <c r="L1421" s="8" t="s">
        <v>3098</v>
      </c>
      <c r="M1421" s="8" t="s">
        <v>27</v>
      </c>
      <c r="N1421" s="2" t="s">
        <v>6547</v>
      </c>
      <c r="O1421" s="8" t="s">
        <v>550</v>
      </c>
      <c r="P1421" s="8" t="s">
        <v>401</v>
      </c>
      <c r="Q1421" s="12" t="s">
        <v>6548</v>
      </c>
      <c r="R1421" s="8" t="s">
        <v>100</v>
      </c>
      <c r="S1421" s="7" t="s">
        <v>28</v>
      </c>
      <c r="T1421" s="6"/>
      <c r="U1421" s="8"/>
    </row>
    <row r="1422" spans="1:34" ht="13" customHeight="1">
      <c r="A1422" s="8" t="s">
        <v>6537</v>
      </c>
      <c r="B1422" s="16">
        <v>23</v>
      </c>
      <c r="C1422" s="8" t="s">
        <v>20</v>
      </c>
      <c r="D1422" s="8" t="s">
        <v>48</v>
      </c>
      <c r="F1422" s="17">
        <v>41936</v>
      </c>
      <c r="G1422" s="8" t="s">
        <v>6538</v>
      </c>
      <c r="H1422" s="8" t="s">
        <v>561</v>
      </c>
      <c r="I1422" s="8" t="s">
        <v>123</v>
      </c>
      <c r="J1422" s="16" t="s">
        <v>6539</v>
      </c>
      <c r="K1422" s="2" t="s">
        <v>562</v>
      </c>
      <c r="L1422" s="8" t="s">
        <v>4762</v>
      </c>
      <c r="M1422" s="8" t="s">
        <v>27</v>
      </c>
      <c r="N1422" s="2" t="s">
        <v>6540</v>
      </c>
      <c r="O1422" s="8" t="s">
        <v>1013</v>
      </c>
      <c r="P1422" s="8" t="s">
        <v>401</v>
      </c>
      <c r="Q1422" s="12" t="str">
        <f>HYPERLINK("http://www.tucsonsentinel.com/local/report/102914_bp_shooting/update-man-fatally-shot-by-border-patrol-identified/","http://www.tucsonsentinel.com/local/report/102914_bp_shooting/update-man-fatally-shot-by-border-patrol-identified/")</f>
        <v>http://www.tucsonsentinel.com/local/report/102914_bp_shooting/update-man-fatally-shot-by-border-patrol-identified/</v>
      </c>
      <c r="R1422" s="8" t="s">
        <v>100</v>
      </c>
      <c r="S1422" s="7" t="s">
        <v>28</v>
      </c>
      <c r="T1422" s="6"/>
      <c r="U1422" s="8"/>
    </row>
    <row r="1423" spans="1:34" ht="13" customHeight="1">
      <c r="A1423" s="8" t="s">
        <v>6559</v>
      </c>
      <c r="B1423" s="16">
        <v>34</v>
      </c>
      <c r="C1423" s="8" t="s">
        <v>20</v>
      </c>
      <c r="D1423" s="8" t="s">
        <v>37</v>
      </c>
      <c r="E1423" s="8" t="s">
        <v>6560</v>
      </c>
      <c r="F1423" s="17">
        <v>41936</v>
      </c>
      <c r="G1423" s="8" t="s">
        <v>6561</v>
      </c>
      <c r="H1423" s="8" t="s">
        <v>6562</v>
      </c>
      <c r="I1423" s="8" t="s">
        <v>62</v>
      </c>
      <c r="J1423" s="16" t="s">
        <v>6563</v>
      </c>
      <c r="K1423" s="2" t="s">
        <v>3916</v>
      </c>
      <c r="L1423" s="8" t="s">
        <v>6564</v>
      </c>
      <c r="M1423" s="8" t="s">
        <v>27</v>
      </c>
      <c r="N1423" s="2" t="s">
        <v>6565</v>
      </c>
      <c r="O1423" s="8" t="s">
        <v>550</v>
      </c>
      <c r="P1423" s="8" t="s">
        <v>401</v>
      </c>
      <c r="Q1423" s="12" t="s">
        <v>6566</v>
      </c>
      <c r="R1423" s="8" t="s">
        <v>100</v>
      </c>
      <c r="S1423" s="7" t="s">
        <v>28</v>
      </c>
      <c r="T1423" s="6"/>
      <c r="U1423" s="8"/>
    </row>
    <row r="1424" spans="1:34" ht="13" customHeight="1">
      <c r="A1424" s="8" t="s">
        <v>6567</v>
      </c>
      <c r="B1424" s="16">
        <v>36</v>
      </c>
      <c r="C1424" s="8" t="s">
        <v>20</v>
      </c>
      <c r="D1424" s="8" t="s">
        <v>37</v>
      </c>
      <c r="E1424" s="8" t="s">
        <v>6568</v>
      </c>
      <c r="F1424" s="17">
        <v>41936</v>
      </c>
      <c r="G1424" s="8" t="s">
        <v>6569</v>
      </c>
      <c r="H1424" s="8" t="s">
        <v>6570</v>
      </c>
      <c r="I1424" s="8" t="s">
        <v>25</v>
      </c>
      <c r="J1424" s="16" t="s">
        <v>6571</v>
      </c>
      <c r="K1424" s="2" t="s">
        <v>6572</v>
      </c>
      <c r="L1424" s="8" t="s">
        <v>6573</v>
      </c>
      <c r="M1424" s="8" t="s">
        <v>27</v>
      </c>
      <c r="N1424" s="2" t="s">
        <v>6574</v>
      </c>
      <c r="O1424" s="8" t="s">
        <v>400</v>
      </c>
      <c r="P1424" s="8" t="s">
        <v>401</v>
      </c>
      <c r="Q1424" s="12" t="s">
        <v>6575</v>
      </c>
      <c r="R1424" s="8" t="s">
        <v>100</v>
      </c>
      <c r="S1424" s="7" t="s">
        <v>28</v>
      </c>
      <c r="T1424" s="6"/>
      <c r="U1424" s="8"/>
    </row>
    <row r="1425" spans="1:39" ht="13" customHeight="1">
      <c r="A1425" s="8" t="s">
        <v>6549</v>
      </c>
      <c r="B1425" s="16">
        <v>39</v>
      </c>
      <c r="C1425" s="8" t="s">
        <v>20</v>
      </c>
      <c r="D1425" s="8" t="s">
        <v>37</v>
      </c>
      <c r="E1425" s="8" t="s">
        <v>6550</v>
      </c>
      <c r="F1425" s="17">
        <v>41936</v>
      </c>
      <c r="G1425" s="8" t="s">
        <v>6551</v>
      </c>
      <c r="H1425" s="8" t="s">
        <v>6552</v>
      </c>
      <c r="I1425" s="8" t="s">
        <v>404</v>
      </c>
      <c r="J1425" s="16" t="s">
        <v>6553</v>
      </c>
      <c r="K1425" s="2" t="s">
        <v>6554</v>
      </c>
      <c r="L1425" s="8" t="s">
        <v>6555</v>
      </c>
      <c r="M1425" s="8" t="s">
        <v>6556</v>
      </c>
      <c r="N1425" s="2" t="s">
        <v>6557</v>
      </c>
      <c r="O1425" s="8" t="s">
        <v>400</v>
      </c>
      <c r="P1425" s="8" t="s">
        <v>401</v>
      </c>
      <c r="Q1425" s="12" t="s">
        <v>6558</v>
      </c>
      <c r="R1425" s="8" t="s">
        <v>967</v>
      </c>
      <c r="S1425" s="7" t="s">
        <v>28</v>
      </c>
      <c r="T1425" s="6"/>
      <c r="U1425" s="8"/>
    </row>
    <row r="1426" spans="1:39" ht="13" customHeight="1">
      <c r="A1426" s="8" t="s">
        <v>6576</v>
      </c>
      <c r="B1426" s="16">
        <v>25</v>
      </c>
      <c r="C1426" s="8" t="s">
        <v>20</v>
      </c>
      <c r="D1426" s="8" t="s">
        <v>21</v>
      </c>
      <c r="F1426" s="17">
        <v>41935</v>
      </c>
      <c r="G1426" s="8" t="s">
        <v>6577</v>
      </c>
      <c r="H1426" s="8" t="s">
        <v>6578</v>
      </c>
      <c r="I1426" s="8" t="s">
        <v>269</v>
      </c>
      <c r="J1426" s="16" t="s">
        <v>6579</v>
      </c>
      <c r="K1426" s="2" t="s">
        <v>570</v>
      </c>
      <c r="L1426" s="8" t="s">
        <v>960</v>
      </c>
      <c r="M1426" s="8" t="s">
        <v>27</v>
      </c>
      <c r="N1426" s="2" t="s">
        <v>6580</v>
      </c>
      <c r="O1426" s="8" t="s">
        <v>400</v>
      </c>
      <c r="P1426" s="8" t="s">
        <v>401</v>
      </c>
      <c r="Q1426" s="12" t="s">
        <v>6581</v>
      </c>
      <c r="R1426" s="8" t="s">
        <v>555</v>
      </c>
      <c r="S1426" s="7" t="s">
        <v>28</v>
      </c>
      <c r="T1426" s="6"/>
      <c r="U1426" s="8"/>
      <c r="AI1426" s="8"/>
      <c r="AJ1426" s="8"/>
      <c r="AK1426" s="8"/>
      <c r="AL1426" s="8"/>
      <c r="AM1426" s="8"/>
    </row>
    <row r="1427" spans="1:39" ht="13" customHeight="1">
      <c r="A1427" s="8" t="s">
        <v>6590</v>
      </c>
      <c r="B1427" s="16">
        <v>32</v>
      </c>
      <c r="C1427" s="8" t="s">
        <v>20</v>
      </c>
      <c r="D1427" s="8" t="s">
        <v>85</v>
      </c>
      <c r="E1427" s="8" t="s">
        <v>6591</v>
      </c>
      <c r="F1427" s="17">
        <v>41935</v>
      </c>
      <c r="G1427" s="8" t="s">
        <v>6592</v>
      </c>
      <c r="H1427" s="8" t="s">
        <v>757</v>
      </c>
      <c r="I1427" s="8" t="s">
        <v>423</v>
      </c>
      <c r="J1427" s="16" t="s">
        <v>2685</v>
      </c>
      <c r="K1427" s="2" t="s">
        <v>2686</v>
      </c>
      <c r="L1427" s="8" t="s">
        <v>582</v>
      </c>
      <c r="M1427" s="8" t="s">
        <v>27</v>
      </c>
      <c r="N1427" s="2" t="s">
        <v>6593</v>
      </c>
      <c r="O1427" s="8" t="s">
        <v>1013</v>
      </c>
      <c r="P1427" s="8" t="s">
        <v>401</v>
      </c>
      <c r="Q1427" s="12" t="str">
        <f>HYPERLINK("http://www.nydailynews.com/new-york/nyc-crime/police-shoots-kills-man-ax-queens-article-1.1984914","http://www.nydailynews.com/new-york/nyc-crime/police-shoots-kills-man-ax-queens-article-1.1984914")</f>
        <v>http://www.nydailynews.com/new-york/nyc-crime/police-shoots-kills-man-ax-queens-article-1.1984914</v>
      </c>
      <c r="R1427" s="8" t="s">
        <v>100</v>
      </c>
      <c r="S1427" s="7" t="s">
        <v>28</v>
      </c>
      <c r="T1427" s="6"/>
      <c r="U1427" s="8"/>
    </row>
    <row r="1428" spans="1:39" ht="13" customHeight="1">
      <c r="A1428" s="8" t="s">
        <v>6582</v>
      </c>
      <c r="B1428" s="16">
        <v>38</v>
      </c>
      <c r="C1428" s="8" t="s">
        <v>20</v>
      </c>
      <c r="D1428" s="8" t="s">
        <v>85</v>
      </c>
      <c r="F1428" s="17">
        <v>41935</v>
      </c>
      <c r="G1428" s="8" t="s">
        <v>6583</v>
      </c>
      <c r="H1428" s="8" t="s">
        <v>6584</v>
      </c>
      <c r="I1428" s="8" t="s">
        <v>52</v>
      </c>
      <c r="J1428" s="16" t="s">
        <v>6585</v>
      </c>
      <c r="K1428" s="2" t="s">
        <v>6586</v>
      </c>
      <c r="L1428" s="8" t="s">
        <v>6587</v>
      </c>
      <c r="M1428" s="8" t="s">
        <v>27</v>
      </c>
      <c r="N1428" s="2" t="s">
        <v>6588</v>
      </c>
      <c r="O1428" s="8" t="s">
        <v>1013</v>
      </c>
      <c r="P1428" s="8" t="s">
        <v>401</v>
      </c>
      <c r="Q1428" s="12" t="s">
        <v>6589</v>
      </c>
      <c r="R1428" s="8" t="s">
        <v>967</v>
      </c>
      <c r="S1428" s="7" t="s">
        <v>18</v>
      </c>
      <c r="T1428" s="6"/>
      <c r="U1428" s="8"/>
    </row>
    <row r="1429" spans="1:39" ht="13" customHeight="1">
      <c r="A1429" s="8" t="s">
        <v>6602</v>
      </c>
      <c r="B1429" s="16">
        <v>25</v>
      </c>
      <c r="C1429" s="8" t="s">
        <v>20</v>
      </c>
      <c r="D1429" s="8" t="s">
        <v>48</v>
      </c>
      <c r="E1429" s="8" t="s">
        <v>6603</v>
      </c>
      <c r="F1429" s="17">
        <v>41935</v>
      </c>
      <c r="G1429" s="8" t="s">
        <v>6604</v>
      </c>
      <c r="H1429" s="8" t="s">
        <v>6605</v>
      </c>
      <c r="I1429" s="8" t="s">
        <v>46</v>
      </c>
      <c r="J1429" s="16" t="s">
        <v>6606</v>
      </c>
      <c r="K1429" s="2" t="s">
        <v>6607</v>
      </c>
      <c r="L1429" s="8" t="s">
        <v>6608</v>
      </c>
      <c r="M1429" s="8" t="s">
        <v>27</v>
      </c>
      <c r="N1429" s="2" t="s">
        <v>6609</v>
      </c>
      <c r="O1429" s="8" t="s">
        <v>1013</v>
      </c>
      <c r="P1429" s="8" t="s">
        <v>401</v>
      </c>
      <c r="Q1429" s="12" t="s">
        <v>6610</v>
      </c>
      <c r="R1429" s="8" t="s">
        <v>100</v>
      </c>
      <c r="S1429" s="7" t="s">
        <v>28</v>
      </c>
      <c r="T1429" s="6"/>
      <c r="U1429" s="8"/>
    </row>
    <row r="1430" spans="1:39" ht="13" customHeight="1">
      <c r="A1430" s="8" t="s">
        <v>6594</v>
      </c>
      <c r="B1430" s="16">
        <v>43</v>
      </c>
      <c r="C1430" s="8" t="s">
        <v>20</v>
      </c>
      <c r="D1430" s="8" t="s">
        <v>48</v>
      </c>
      <c r="E1430" s="8" t="s">
        <v>6595</v>
      </c>
      <c r="F1430" s="17">
        <v>41935</v>
      </c>
      <c r="G1430" s="8" t="s">
        <v>6596</v>
      </c>
      <c r="H1430" s="8" t="s">
        <v>6597</v>
      </c>
      <c r="I1430" s="8" t="s">
        <v>123</v>
      </c>
      <c r="J1430" s="16" t="s">
        <v>6598</v>
      </c>
      <c r="K1430" s="2" t="s">
        <v>635</v>
      </c>
      <c r="L1430" s="8" t="s">
        <v>6599</v>
      </c>
      <c r="M1430" s="8" t="s">
        <v>27</v>
      </c>
      <c r="N1430" s="2" t="s">
        <v>6600</v>
      </c>
      <c r="O1430" s="8" t="s">
        <v>1013</v>
      </c>
      <c r="P1430" s="8" t="s">
        <v>401</v>
      </c>
      <c r="Q1430" s="12" t="s">
        <v>6601</v>
      </c>
      <c r="R1430" s="8" t="s">
        <v>967</v>
      </c>
      <c r="S1430" s="7" t="s">
        <v>28</v>
      </c>
      <c r="T1430" s="6"/>
      <c r="U1430" s="8"/>
      <c r="Y1430" s="8"/>
      <c r="Z1430" s="8"/>
      <c r="AA1430" s="8"/>
      <c r="AB1430" s="8"/>
      <c r="AC1430" s="8"/>
      <c r="AD1430" s="8"/>
      <c r="AE1430" s="8"/>
      <c r="AF1430" s="8"/>
      <c r="AG1430" s="8"/>
      <c r="AH1430" s="8"/>
    </row>
    <row r="1431" spans="1:39" ht="13" customHeight="1">
      <c r="A1431" s="8" t="s">
        <v>6611</v>
      </c>
      <c r="B1431" s="16">
        <v>27</v>
      </c>
      <c r="C1431" s="8" t="s">
        <v>20</v>
      </c>
      <c r="D1431" s="8" t="s">
        <v>48</v>
      </c>
      <c r="E1431" s="8" t="s">
        <v>6612</v>
      </c>
      <c r="F1431" s="17">
        <v>41934</v>
      </c>
      <c r="G1431" s="8" t="s">
        <v>6613</v>
      </c>
      <c r="H1431" s="8" t="s">
        <v>1201</v>
      </c>
      <c r="I1431" s="8" t="s">
        <v>73</v>
      </c>
      <c r="J1431" s="16" t="s">
        <v>6614</v>
      </c>
      <c r="K1431" s="2" t="s">
        <v>1202</v>
      </c>
      <c r="L1431" s="8" t="s">
        <v>1203</v>
      </c>
      <c r="M1431" s="8" t="s">
        <v>27</v>
      </c>
      <c r="N1431" s="2" t="s">
        <v>6615</v>
      </c>
      <c r="O1431" s="8" t="s">
        <v>1013</v>
      </c>
      <c r="P1431" s="8" t="s">
        <v>401</v>
      </c>
      <c r="Q1431" s="12" t="s">
        <v>6616</v>
      </c>
      <c r="R1431" s="8" t="s">
        <v>100</v>
      </c>
      <c r="S1431" s="7" t="s">
        <v>28</v>
      </c>
      <c r="T1431" s="6"/>
      <c r="U1431" s="8"/>
    </row>
    <row r="1432" spans="1:39" ht="13" customHeight="1">
      <c r="A1432" s="8" t="s">
        <v>6617</v>
      </c>
      <c r="B1432" s="16">
        <v>30</v>
      </c>
      <c r="C1432" s="8" t="s">
        <v>20</v>
      </c>
      <c r="D1432" s="8" t="s">
        <v>37</v>
      </c>
      <c r="F1432" s="17">
        <v>41934</v>
      </c>
      <c r="G1432" s="8" t="s">
        <v>6618</v>
      </c>
      <c r="H1432" s="8" t="s">
        <v>6619</v>
      </c>
      <c r="I1432" s="8" t="s">
        <v>44</v>
      </c>
      <c r="J1432" s="16" t="s">
        <v>6620</v>
      </c>
      <c r="K1432" s="2" t="s">
        <v>6621</v>
      </c>
      <c r="L1432" s="8" t="s">
        <v>6622</v>
      </c>
      <c r="M1432" s="8" t="s">
        <v>379</v>
      </c>
      <c r="N1432" s="2" t="s">
        <v>6623</v>
      </c>
      <c r="O1432" s="8" t="s">
        <v>1013</v>
      </c>
      <c r="P1432" s="8" t="s">
        <v>401</v>
      </c>
      <c r="Q1432" s="12" t="s">
        <v>6624</v>
      </c>
      <c r="R1432" s="8" t="s">
        <v>100</v>
      </c>
      <c r="S1432" s="7" t="s">
        <v>18</v>
      </c>
      <c r="T1432" s="6"/>
      <c r="U1432" s="8"/>
    </row>
    <row r="1433" spans="1:39" ht="13" customHeight="1">
      <c r="A1433" s="8" t="s">
        <v>6625</v>
      </c>
      <c r="B1433" s="16">
        <v>35</v>
      </c>
      <c r="C1433" s="8" t="s">
        <v>20</v>
      </c>
      <c r="D1433" s="8" t="s">
        <v>48</v>
      </c>
      <c r="F1433" s="17">
        <v>41933</v>
      </c>
      <c r="G1433" s="8" t="s">
        <v>6626</v>
      </c>
      <c r="H1433" s="8" t="s">
        <v>6627</v>
      </c>
      <c r="I1433" s="8" t="s">
        <v>240</v>
      </c>
      <c r="J1433" s="16" t="s">
        <v>6628</v>
      </c>
      <c r="K1433" s="2" t="s">
        <v>1451</v>
      </c>
      <c r="L1433" s="8" t="s">
        <v>6629</v>
      </c>
      <c r="M1433" s="8" t="s">
        <v>27</v>
      </c>
      <c r="N1433" s="2" t="s">
        <v>6630</v>
      </c>
      <c r="P1433" s="8" t="s">
        <v>401</v>
      </c>
      <c r="Q1433" s="12" t="s">
        <v>6631</v>
      </c>
      <c r="R1433" s="8" t="s">
        <v>555</v>
      </c>
      <c r="S1433" s="7" t="s">
        <v>35</v>
      </c>
      <c r="T1433" s="6"/>
      <c r="U1433" s="8"/>
    </row>
    <row r="1434" spans="1:39" ht="13" customHeight="1">
      <c r="A1434" s="8" t="s">
        <v>6632</v>
      </c>
      <c r="B1434" s="16">
        <v>17</v>
      </c>
      <c r="C1434" s="8" t="s">
        <v>20</v>
      </c>
      <c r="D1434" s="8" t="s">
        <v>85</v>
      </c>
      <c r="F1434" s="17">
        <v>41932</v>
      </c>
      <c r="G1434" s="8" t="s">
        <v>6633</v>
      </c>
      <c r="H1434" s="8" t="s">
        <v>87</v>
      </c>
      <c r="I1434" s="8" t="s">
        <v>44</v>
      </c>
      <c r="J1434" s="16" t="s">
        <v>6634</v>
      </c>
      <c r="K1434" s="2" t="s">
        <v>88</v>
      </c>
      <c r="L1434" s="8" t="s">
        <v>89</v>
      </c>
      <c r="M1434" s="8" t="s">
        <v>27</v>
      </c>
      <c r="N1434" s="2" t="s">
        <v>6635</v>
      </c>
      <c r="O1434" s="8" t="s">
        <v>550</v>
      </c>
      <c r="P1434" s="8" t="s">
        <v>1162</v>
      </c>
      <c r="Q1434" s="12" t="s">
        <v>6636</v>
      </c>
      <c r="R1434" s="8" t="s">
        <v>100</v>
      </c>
      <c r="S1434" s="7" t="s">
        <v>28</v>
      </c>
      <c r="T1434" s="6"/>
      <c r="U1434" s="8"/>
    </row>
    <row r="1435" spans="1:39" ht="13" customHeight="1">
      <c r="A1435" s="8" t="s">
        <v>6644</v>
      </c>
      <c r="B1435" s="16">
        <v>22</v>
      </c>
      <c r="C1435" s="8" t="s">
        <v>20</v>
      </c>
      <c r="D1435" s="8" t="s">
        <v>48</v>
      </c>
      <c r="F1435" s="17">
        <v>41932</v>
      </c>
      <c r="G1435" s="8" t="s">
        <v>6645</v>
      </c>
      <c r="H1435" s="8" t="s">
        <v>860</v>
      </c>
      <c r="I1435" s="8" t="s">
        <v>73</v>
      </c>
      <c r="J1435" s="16" t="s">
        <v>6646</v>
      </c>
      <c r="K1435" s="2" t="s">
        <v>860</v>
      </c>
      <c r="L1435" s="8" t="s">
        <v>861</v>
      </c>
      <c r="M1435" s="8" t="s">
        <v>27</v>
      </c>
      <c r="N1435" s="2" t="s">
        <v>6647</v>
      </c>
      <c r="O1435" s="8" t="s">
        <v>1013</v>
      </c>
      <c r="P1435" s="8" t="s">
        <v>401</v>
      </c>
      <c r="Q1435" s="12" t="s">
        <v>6648</v>
      </c>
      <c r="R1435" s="8" t="s">
        <v>100</v>
      </c>
      <c r="S1435" s="7" t="s">
        <v>28</v>
      </c>
      <c r="T1435" s="6"/>
      <c r="U1435" s="8"/>
    </row>
    <row r="1436" spans="1:39" ht="13" customHeight="1">
      <c r="A1436" s="8" t="s">
        <v>6637</v>
      </c>
      <c r="B1436" s="16">
        <v>29</v>
      </c>
      <c r="C1436" s="8" t="s">
        <v>20</v>
      </c>
      <c r="D1436" s="8" t="s">
        <v>48</v>
      </c>
      <c r="E1436" s="8" t="s">
        <v>6638</v>
      </c>
      <c r="F1436" s="17">
        <v>41932</v>
      </c>
      <c r="G1436" s="8" t="s">
        <v>6639</v>
      </c>
      <c r="H1436" s="8" t="s">
        <v>802</v>
      </c>
      <c r="I1436" s="8" t="s">
        <v>73</v>
      </c>
      <c r="J1436" s="16" t="s">
        <v>6640</v>
      </c>
      <c r="K1436" s="2" t="s">
        <v>803</v>
      </c>
      <c r="L1436" s="8" t="s">
        <v>6641</v>
      </c>
      <c r="M1436" s="8" t="s">
        <v>27</v>
      </c>
      <c r="N1436" s="2" t="s">
        <v>6642</v>
      </c>
      <c r="O1436" s="8" t="s">
        <v>550</v>
      </c>
      <c r="P1436" s="8" t="s">
        <v>401</v>
      </c>
      <c r="Q1436" s="12" t="s">
        <v>6643</v>
      </c>
      <c r="R1436" s="8" t="s">
        <v>100</v>
      </c>
      <c r="S1436" s="7" t="s">
        <v>28</v>
      </c>
      <c r="T1436" s="6"/>
      <c r="U1436" s="8"/>
    </row>
    <row r="1437" spans="1:39" ht="13" customHeight="1">
      <c r="A1437" s="8" t="s">
        <v>6649</v>
      </c>
      <c r="B1437" s="16">
        <v>54</v>
      </c>
      <c r="C1437" s="8" t="s">
        <v>20</v>
      </c>
      <c r="D1437" s="8" t="s">
        <v>48</v>
      </c>
      <c r="F1437" s="17">
        <v>41932</v>
      </c>
      <c r="G1437" s="8" t="s">
        <v>6650</v>
      </c>
      <c r="H1437" s="8" t="s">
        <v>3064</v>
      </c>
      <c r="I1437" s="8" t="s">
        <v>62</v>
      </c>
      <c r="J1437" s="16" t="s">
        <v>6651</v>
      </c>
      <c r="K1437" s="2" t="s">
        <v>420</v>
      </c>
      <c r="L1437" s="8" t="s">
        <v>3066</v>
      </c>
      <c r="M1437" s="8" t="s">
        <v>27</v>
      </c>
      <c r="N1437" s="2" t="s">
        <v>6652</v>
      </c>
      <c r="O1437" s="8" t="s">
        <v>550</v>
      </c>
      <c r="P1437" s="8" t="s">
        <v>401</v>
      </c>
      <c r="Q1437" s="12" t="s">
        <v>6653</v>
      </c>
      <c r="R1437" s="8" t="s">
        <v>100</v>
      </c>
      <c r="S1437" s="7" t="s">
        <v>28</v>
      </c>
      <c r="T1437" s="6"/>
      <c r="U1437" s="8"/>
    </row>
    <row r="1438" spans="1:39" ht="13" customHeight="1">
      <c r="A1438" s="8" t="s">
        <v>6654</v>
      </c>
      <c r="B1438" s="16">
        <v>54</v>
      </c>
      <c r="C1438" s="8" t="s">
        <v>20</v>
      </c>
      <c r="D1438" s="8" t="s">
        <v>30</v>
      </c>
      <c r="F1438" s="17">
        <v>41932</v>
      </c>
      <c r="G1438" s="8" t="s">
        <v>6655</v>
      </c>
      <c r="H1438" s="8" t="s">
        <v>6656</v>
      </c>
      <c r="I1438" s="8" t="s">
        <v>244</v>
      </c>
      <c r="J1438" s="16" t="s">
        <v>6657</v>
      </c>
      <c r="K1438" s="2" t="s">
        <v>6656</v>
      </c>
      <c r="L1438" s="8" t="s">
        <v>6658</v>
      </c>
      <c r="M1438" s="8" t="s">
        <v>27</v>
      </c>
      <c r="N1438" s="2" t="s">
        <v>6659</v>
      </c>
      <c r="O1438" s="8" t="s">
        <v>1013</v>
      </c>
      <c r="P1438" s="8" t="s">
        <v>401</v>
      </c>
      <c r="Q1438" s="12" t="s">
        <v>6660</v>
      </c>
      <c r="R1438" s="8" t="s">
        <v>29</v>
      </c>
      <c r="S1438" s="7" t="s">
        <v>18</v>
      </c>
      <c r="T1438" s="6"/>
      <c r="U1438" s="8"/>
    </row>
    <row r="1439" spans="1:39" ht="13" customHeight="1">
      <c r="A1439" s="8" t="s">
        <v>6668</v>
      </c>
      <c r="B1439" s="16">
        <v>22</v>
      </c>
      <c r="C1439" s="8" t="s">
        <v>20</v>
      </c>
      <c r="D1439" s="8" t="s">
        <v>85</v>
      </c>
      <c r="F1439" s="17">
        <v>41930</v>
      </c>
      <c r="G1439" s="8" t="s">
        <v>6669</v>
      </c>
      <c r="H1439" s="8" t="s">
        <v>216</v>
      </c>
      <c r="I1439" s="8" t="s">
        <v>217</v>
      </c>
      <c r="J1439" s="16" t="s">
        <v>6670</v>
      </c>
      <c r="K1439" s="2" t="s">
        <v>420</v>
      </c>
      <c r="L1439" s="8" t="s">
        <v>218</v>
      </c>
      <c r="M1439" s="8" t="s">
        <v>27</v>
      </c>
      <c r="N1439" s="2" t="s">
        <v>6671</v>
      </c>
      <c r="O1439" s="8" t="s">
        <v>1013</v>
      </c>
      <c r="P1439" s="8" t="s">
        <v>401</v>
      </c>
      <c r="Q1439" s="12" t="s">
        <v>6672</v>
      </c>
      <c r="R1439" s="8" t="s">
        <v>100</v>
      </c>
      <c r="S1439" s="7" t="s">
        <v>28</v>
      </c>
      <c r="T1439" s="6"/>
      <c r="U1439" s="8"/>
    </row>
    <row r="1440" spans="1:39" ht="13" customHeight="1">
      <c r="A1440" s="8" t="s">
        <v>6661</v>
      </c>
      <c r="B1440" s="16">
        <v>44</v>
      </c>
      <c r="C1440" s="8" t="s">
        <v>20</v>
      </c>
      <c r="D1440" s="8" t="s">
        <v>85</v>
      </c>
      <c r="F1440" s="17">
        <v>41930</v>
      </c>
      <c r="G1440" s="8" t="s">
        <v>6662</v>
      </c>
      <c r="H1440" s="8" t="s">
        <v>6663</v>
      </c>
      <c r="I1440" s="8" t="s">
        <v>69</v>
      </c>
      <c r="J1440" s="16" t="s">
        <v>6664</v>
      </c>
      <c r="K1440" s="2" t="s">
        <v>105</v>
      </c>
      <c r="L1440" s="8" t="s">
        <v>6665</v>
      </c>
      <c r="M1440" s="8" t="s">
        <v>27</v>
      </c>
      <c r="N1440" s="2" t="s">
        <v>6666</v>
      </c>
      <c r="P1440" s="8" t="s">
        <v>401</v>
      </c>
      <c r="Q1440" s="12" t="s">
        <v>6667</v>
      </c>
      <c r="R1440" s="8" t="s">
        <v>100</v>
      </c>
      <c r="S1440" s="7" t="s">
        <v>28</v>
      </c>
      <c r="T1440" s="6"/>
      <c r="U1440" s="8"/>
    </row>
    <row r="1441" spans="1:21" ht="13" customHeight="1">
      <c r="A1441" s="8" t="s">
        <v>6680</v>
      </c>
      <c r="B1441" s="16">
        <v>38</v>
      </c>
      <c r="C1441" s="8" t="s">
        <v>20</v>
      </c>
      <c r="D1441" s="8" t="s">
        <v>37</v>
      </c>
      <c r="E1441" s="8" t="s">
        <v>6681</v>
      </c>
      <c r="F1441" s="17">
        <v>41930</v>
      </c>
      <c r="G1441" s="8" t="s">
        <v>6682</v>
      </c>
      <c r="H1441" s="8" t="s">
        <v>6683</v>
      </c>
      <c r="I1441" s="8" t="s">
        <v>671</v>
      </c>
      <c r="J1441" s="16" t="s">
        <v>6684</v>
      </c>
      <c r="K1441" s="2" t="s">
        <v>1186</v>
      </c>
      <c r="L1441" s="8" t="s">
        <v>1187</v>
      </c>
      <c r="M1441" s="8" t="s">
        <v>27</v>
      </c>
      <c r="N1441" s="2" t="s">
        <v>6685</v>
      </c>
      <c r="O1441" s="8" t="s">
        <v>1013</v>
      </c>
      <c r="P1441" s="8" t="s">
        <v>401</v>
      </c>
      <c r="Q1441" s="12" t="s">
        <v>6686</v>
      </c>
      <c r="R1441" s="8" t="s">
        <v>100</v>
      </c>
      <c r="S1441" s="7" t="s">
        <v>28</v>
      </c>
      <c r="T1441" s="6"/>
      <c r="U1441" s="8"/>
    </row>
    <row r="1442" spans="1:21" ht="13" customHeight="1">
      <c r="A1442" s="8" t="s">
        <v>6673</v>
      </c>
      <c r="B1442" s="16">
        <v>63</v>
      </c>
      <c r="C1442" s="8" t="s">
        <v>20</v>
      </c>
      <c r="D1442" s="8" t="s">
        <v>37</v>
      </c>
      <c r="E1442" s="8" t="s">
        <v>6674</v>
      </c>
      <c r="F1442" s="17">
        <v>41930</v>
      </c>
      <c r="G1442" s="8" t="s">
        <v>6675</v>
      </c>
      <c r="H1442" s="8" t="s">
        <v>6676</v>
      </c>
      <c r="I1442" s="8" t="s">
        <v>73</v>
      </c>
      <c r="J1442" s="16">
        <v>79404</v>
      </c>
      <c r="K1442" s="2" t="s">
        <v>6676</v>
      </c>
      <c r="L1442" s="8" t="s">
        <v>6677</v>
      </c>
      <c r="M1442" s="8" t="s">
        <v>2297</v>
      </c>
      <c r="N1442" s="2" t="s">
        <v>6678</v>
      </c>
      <c r="P1442" s="8" t="s">
        <v>401</v>
      </c>
      <c r="Q1442" s="12" t="s">
        <v>6679</v>
      </c>
      <c r="S1442" s="7" t="s">
        <v>18</v>
      </c>
      <c r="T1442" s="6"/>
      <c r="U1442" s="8"/>
    </row>
    <row r="1443" spans="1:21" ht="13" customHeight="1">
      <c r="A1443" s="8" t="s">
        <v>6687</v>
      </c>
      <c r="B1443" s="16">
        <v>28</v>
      </c>
      <c r="C1443" s="8" t="s">
        <v>20</v>
      </c>
      <c r="D1443" s="8" t="s">
        <v>85</v>
      </c>
      <c r="E1443" s="8" t="s">
        <v>6688</v>
      </c>
      <c r="F1443" s="17">
        <v>41929</v>
      </c>
      <c r="G1443" s="8" t="s">
        <v>6689</v>
      </c>
      <c r="H1443" s="8" t="s">
        <v>6690</v>
      </c>
      <c r="I1443" s="8" t="s">
        <v>94</v>
      </c>
      <c r="J1443" s="16" t="s">
        <v>6691</v>
      </c>
      <c r="K1443" s="2" t="s">
        <v>1781</v>
      </c>
      <c r="L1443" s="8" t="s">
        <v>6692</v>
      </c>
      <c r="M1443" s="8" t="s">
        <v>27</v>
      </c>
      <c r="N1443" s="2" t="s">
        <v>6693</v>
      </c>
      <c r="O1443" s="8" t="s">
        <v>1013</v>
      </c>
      <c r="P1443" s="8" t="s">
        <v>401</v>
      </c>
      <c r="Q1443" s="12" t="s">
        <v>6694</v>
      </c>
      <c r="R1443" s="8" t="s">
        <v>100</v>
      </c>
      <c r="S1443" s="7" t="s">
        <v>18</v>
      </c>
      <c r="T1443" s="6"/>
      <c r="U1443" s="8"/>
    </row>
    <row r="1444" spans="1:21" ht="13" customHeight="1">
      <c r="A1444" s="8" t="s">
        <v>6695</v>
      </c>
      <c r="B1444" s="16">
        <v>75</v>
      </c>
      <c r="C1444" s="8" t="s">
        <v>20</v>
      </c>
      <c r="D1444" s="8" t="s">
        <v>37</v>
      </c>
      <c r="E1444" s="8" t="s">
        <v>6696</v>
      </c>
      <c r="F1444" s="17">
        <v>41929</v>
      </c>
      <c r="G1444" s="8" t="s">
        <v>6697</v>
      </c>
      <c r="H1444" s="8" t="s">
        <v>6698</v>
      </c>
      <c r="I1444" s="8" t="s">
        <v>981</v>
      </c>
      <c r="J1444" s="16" t="s">
        <v>6699</v>
      </c>
      <c r="K1444" s="2" t="s">
        <v>6700</v>
      </c>
      <c r="L1444" s="8" t="s">
        <v>6701</v>
      </c>
      <c r="M1444" s="8" t="s">
        <v>27</v>
      </c>
      <c r="N1444" s="2" t="s">
        <v>6702</v>
      </c>
      <c r="O1444" s="8" t="s">
        <v>400</v>
      </c>
      <c r="P1444" s="8" t="s">
        <v>401</v>
      </c>
      <c r="Q1444" s="12" t="s">
        <v>6703</v>
      </c>
      <c r="R1444" s="8" t="s">
        <v>29</v>
      </c>
      <c r="S1444" s="7" t="s">
        <v>28</v>
      </c>
      <c r="T1444" s="6"/>
      <c r="U1444" s="8"/>
    </row>
    <row r="1445" spans="1:21" ht="13" customHeight="1">
      <c r="A1445" s="8" t="s">
        <v>6704</v>
      </c>
      <c r="B1445" s="16">
        <v>31</v>
      </c>
      <c r="C1445" s="8" t="s">
        <v>20</v>
      </c>
      <c r="D1445" s="8" t="s">
        <v>37</v>
      </c>
      <c r="E1445" s="8" t="s">
        <v>6705</v>
      </c>
      <c r="F1445" s="17">
        <v>41929</v>
      </c>
      <c r="G1445" s="8" t="s">
        <v>6706</v>
      </c>
      <c r="H1445" s="8" t="s">
        <v>5283</v>
      </c>
      <c r="I1445" s="8" t="s">
        <v>123</v>
      </c>
      <c r="J1445" s="16" t="s">
        <v>5284</v>
      </c>
      <c r="K1445" s="2" t="s">
        <v>635</v>
      </c>
      <c r="L1445" s="8" t="s">
        <v>6707</v>
      </c>
      <c r="M1445" s="8" t="s">
        <v>27</v>
      </c>
      <c r="N1445" s="2" t="s">
        <v>6708</v>
      </c>
      <c r="O1445" s="8" t="s">
        <v>400</v>
      </c>
      <c r="P1445" s="8" t="s">
        <v>401</v>
      </c>
      <c r="Q1445" s="12" t="s">
        <v>6709</v>
      </c>
      <c r="R1445" s="8" t="s">
        <v>29</v>
      </c>
      <c r="S1445" s="7" t="s">
        <v>35</v>
      </c>
      <c r="T1445" s="6"/>
      <c r="U1445" s="8"/>
    </row>
    <row r="1446" spans="1:21" ht="13" customHeight="1">
      <c r="A1446" s="8" t="s">
        <v>6710</v>
      </c>
      <c r="B1446" s="16">
        <v>59</v>
      </c>
      <c r="C1446" s="8" t="s">
        <v>20</v>
      </c>
      <c r="D1446" s="8" t="s">
        <v>37</v>
      </c>
      <c r="E1446" s="8" t="s">
        <v>6711</v>
      </c>
      <c r="F1446" s="17">
        <v>41928</v>
      </c>
      <c r="G1446" s="8" t="s">
        <v>6712</v>
      </c>
      <c r="H1446" s="8" t="s">
        <v>6713</v>
      </c>
      <c r="I1446" s="8" t="s">
        <v>370</v>
      </c>
      <c r="J1446" s="16" t="s">
        <v>6714</v>
      </c>
      <c r="K1446" s="2" t="s">
        <v>6715</v>
      </c>
      <c r="L1446" s="8" t="s">
        <v>6716</v>
      </c>
      <c r="M1446" s="8" t="s">
        <v>27</v>
      </c>
      <c r="N1446" s="2" t="s">
        <v>6717</v>
      </c>
      <c r="O1446" s="8" t="s">
        <v>550</v>
      </c>
      <c r="P1446" s="8" t="s">
        <v>401</v>
      </c>
      <c r="Q1446" s="12" t="s">
        <v>6718</v>
      </c>
      <c r="R1446" s="8" t="s">
        <v>29</v>
      </c>
      <c r="S1446" s="7" t="s">
        <v>28</v>
      </c>
      <c r="T1446" s="6"/>
      <c r="U1446" s="8"/>
    </row>
    <row r="1447" spans="1:21" ht="13" customHeight="1">
      <c r="A1447" s="8" t="s">
        <v>6719</v>
      </c>
      <c r="B1447" s="16">
        <v>36</v>
      </c>
      <c r="C1447" s="8" t="s">
        <v>20</v>
      </c>
      <c r="D1447" s="8" t="s">
        <v>48</v>
      </c>
      <c r="F1447" s="17">
        <v>41925</v>
      </c>
      <c r="G1447" s="8" t="s">
        <v>6720</v>
      </c>
      <c r="H1447" s="8" t="s">
        <v>6721</v>
      </c>
      <c r="I1447" s="8" t="s">
        <v>73</v>
      </c>
      <c r="J1447" s="16" t="s">
        <v>6722</v>
      </c>
      <c r="K1447" s="2" t="s">
        <v>6723</v>
      </c>
      <c r="L1447" s="8" t="s">
        <v>6724</v>
      </c>
      <c r="M1447" s="8" t="s">
        <v>27</v>
      </c>
      <c r="N1447" s="2" t="s">
        <v>6725</v>
      </c>
      <c r="O1447" s="8" t="s">
        <v>1013</v>
      </c>
      <c r="P1447" s="8" t="s">
        <v>401</v>
      </c>
      <c r="Q1447" s="12" t="s">
        <v>6726</v>
      </c>
      <c r="R1447" s="8" t="s">
        <v>100</v>
      </c>
      <c r="S1447" s="7" t="s">
        <v>28</v>
      </c>
      <c r="T1447" s="6"/>
      <c r="U1447" s="8"/>
    </row>
    <row r="1448" spans="1:21" ht="13" customHeight="1">
      <c r="A1448" s="8" t="s">
        <v>6735</v>
      </c>
      <c r="B1448" s="16">
        <v>35</v>
      </c>
      <c r="C1448" s="8" t="s">
        <v>20</v>
      </c>
      <c r="D1448" s="8" t="s">
        <v>37</v>
      </c>
      <c r="E1448" s="8" t="s">
        <v>6736</v>
      </c>
      <c r="F1448" s="17">
        <v>41925</v>
      </c>
      <c r="G1448" s="8" t="s">
        <v>6737</v>
      </c>
      <c r="H1448" s="8" t="s">
        <v>420</v>
      </c>
      <c r="I1448" s="8" t="s">
        <v>73</v>
      </c>
      <c r="J1448" s="16" t="s">
        <v>6738</v>
      </c>
      <c r="K1448" s="2" t="s">
        <v>6739</v>
      </c>
      <c r="L1448" s="8" t="s">
        <v>5671</v>
      </c>
      <c r="M1448" s="8" t="s">
        <v>27</v>
      </c>
      <c r="N1448" s="2" t="s">
        <v>6740</v>
      </c>
      <c r="O1448" s="8" t="s">
        <v>1013</v>
      </c>
      <c r="P1448" s="8" t="s">
        <v>401</v>
      </c>
      <c r="Q1448" s="12" t="s">
        <v>6741</v>
      </c>
      <c r="R1448" s="8" t="s">
        <v>100</v>
      </c>
      <c r="S1448" s="7" t="s">
        <v>28</v>
      </c>
      <c r="T1448" s="6"/>
      <c r="U1448" s="8"/>
    </row>
    <row r="1449" spans="1:21" ht="13" customHeight="1">
      <c r="A1449" s="8" t="s">
        <v>6727</v>
      </c>
      <c r="B1449" s="16">
        <v>36</v>
      </c>
      <c r="C1449" s="8" t="s">
        <v>20</v>
      </c>
      <c r="D1449" s="8" t="s">
        <v>37</v>
      </c>
      <c r="F1449" s="17">
        <v>41925</v>
      </c>
      <c r="G1449" s="8" t="s">
        <v>6728</v>
      </c>
      <c r="H1449" s="8" t="s">
        <v>6729</v>
      </c>
      <c r="I1449" s="8" t="s">
        <v>395</v>
      </c>
      <c r="J1449" s="16" t="s">
        <v>6730</v>
      </c>
      <c r="K1449" s="2" t="s">
        <v>6731</v>
      </c>
      <c r="L1449" s="8" t="s">
        <v>6732</v>
      </c>
      <c r="M1449" s="8" t="s">
        <v>27</v>
      </c>
      <c r="N1449" s="2" t="s">
        <v>6733</v>
      </c>
      <c r="O1449" s="8" t="s">
        <v>550</v>
      </c>
      <c r="P1449" s="8" t="s">
        <v>401</v>
      </c>
      <c r="Q1449" s="12" t="s">
        <v>6734</v>
      </c>
      <c r="R1449" s="8" t="s">
        <v>100</v>
      </c>
      <c r="S1449" s="7" t="s">
        <v>28</v>
      </c>
      <c r="T1449" s="6"/>
      <c r="U1449" s="8"/>
    </row>
    <row r="1450" spans="1:21" ht="13" customHeight="1">
      <c r="A1450" s="8" t="s">
        <v>6747</v>
      </c>
      <c r="B1450" s="16">
        <v>20</v>
      </c>
      <c r="C1450" s="8" t="s">
        <v>20</v>
      </c>
      <c r="D1450" s="8" t="s">
        <v>85</v>
      </c>
      <c r="E1450" s="8" t="s">
        <v>6748</v>
      </c>
      <c r="F1450" s="17">
        <v>41924</v>
      </c>
      <c r="G1450" s="8" t="s">
        <v>6749</v>
      </c>
      <c r="H1450" s="8" t="s">
        <v>1571</v>
      </c>
      <c r="I1450" s="8" t="s">
        <v>62</v>
      </c>
      <c r="J1450" s="16" t="s">
        <v>6750</v>
      </c>
      <c r="K1450" s="2" t="s">
        <v>640</v>
      </c>
      <c r="L1450" s="8" t="s">
        <v>1573</v>
      </c>
      <c r="M1450" s="8" t="s">
        <v>27</v>
      </c>
      <c r="N1450" s="2" t="s">
        <v>6751</v>
      </c>
      <c r="O1450" s="8" t="s">
        <v>1013</v>
      </c>
      <c r="P1450" s="8" t="s">
        <v>401</v>
      </c>
      <c r="Q1450" s="12" t="s">
        <v>6752</v>
      </c>
      <c r="R1450" s="8" t="s">
        <v>100</v>
      </c>
      <c r="S1450" s="7" t="s">
        <v>28</v>
      </c>
      <c r="T1450" s="6"/>
      <c r="U1450" s="8"/>
    </row>
    <row r="1451" spans="1:21" ht="13" customHeight="1">
      <c r="A1451" s="8" t="s">
        <v>6742</v>
      </c>
      <c r="B1451" s="16">
        <v>25</v>
      </c>
      <c r="C1451" s="8" t="s">
        <v>20</v>
      </c>
      <c r="D1451" s="8" t="s">
        <v>85</v>
      </c>
      <c r="F1451" s="17">
        <v>41924</v>
      </c>
      <c r="G1451" s="8" t="s">
        <v>6743</v>
      </c>
      <c r="H1451" s="8" t="s">
        <v>87</v>
      </c>
      <c r="I1451" s="8" t="s">
        <v>44</v>
      </c>
      <c r="J1451" s="16" t="s">
        <v>6744</v>
      </c>
      <c r="K1451" s="2" t="s">
        <v>88</v>
      </c>
      <c r="L1451" s="8" t="s">
        <v>89</v>
      </c>
      <c r="M1451" s="8" t="s">
        <v>27</v>
      </c>
      <c r="N1451" s="2" t="s">
        <v>6745</v>
      </c>
      <c r="O1451" s="8" t="s">
        <v>1013</v>
      </c>
      <c r="P1451" s="8" t="s">
        <v>401</v>
      </c>
      <c r="Q1451" s="12" t="s">
        <v>6746</v>
      </c>
      <c r="R1451" s="8" t="s">
        <v>100</v>
      </c>
      <c r="S1451" s="7" t="s">
        <v>35</v>
      </c>
      <c r="T1451" s="6"/>
      <c r="U1451" s="8"/>
    </row>
    <row r="1452" spans="1:21" ht="13" customHeight="1">
      <c r="A1452" s="8" t="s">
        <v>6753</v>
      </c>
      <c r="B1452" s="16">
        <v>27</v>
      </c>
      <c r="C1452" s="8" t="s">
        <v>20</v>
      </c>
      <c r="D1452" s="8" t="s">
        <v>48</v>
      </c>
      <c r="E1452" s="8" t="s">
        <v>6754</v>
      </c>
      <c r="F1452" s="17">
        <v>41924</v>
      </c>
      <c r="G1452" s="8" t="s">
        <v>6755</v>
      </c>
      <c r="H1452" s="8" t="s">
        <v>6756</v>
      </c>
      <c r="I1452" s="8" t="s">
        <v>209</v>
      </c>
      <c r="J1452" s="16" t="s">
        <v>6757</v>
      </c>
      <c r="K1452" s="2" t="s">
        <v>6758</v>
      </c>
      <c r="L1452" s="8" t="s">
        <v>6759</v>
      </c>
      <c r="M1452" s="8" t="s">
        <v>27</v>
      </c>
      <c r="N1452" s="2" t="s">
        <v>6760</v>
      </c>
      <c r="O1452" s="8" t="s">
        <v>1161</v>
      </c>
      <c r="P1452" s="8" t="s">
        <v>1162</v>
      </c>
      <c r="Q1452" s="12" t="s">
        <v>6761</v>
      </c>
      <c r="R1452" s="8" t="s">
        <v>100</v>
      </c>
      <c r="S1452" s="7" t="s">
        <v>18</v>
      </c>
      <c r="T1452" s="6"/>
      <c r="U1452" s="8"/>
    </row>
    <row r="1453" spans="1:21" ht="13" customHeight="1">
      <c r="A1453" s="8" t="s">
        <v>6762</v>
      </c>
      <c r="B1453" s="16">
        <v>52</v>
      </c>
      <c r="C1453" s="8" t="s">
        <v>20</v>
      </c>
      <c r="D1453" s="8" t="s">
        <v>37</v>
      </c>
      <c r="F1453" s="17">
        <v>41924</v>
      </c>
      <c r="G1453" s="8" t="s">
        <v>6763</v>
      </c>
      <c r="H1453" s="8" t="s">
        <v>6764</v>
      </c>
      <c r="I1453" s="8" t="s">
        <v>4399</v>
      </c>
      <c r="J1453" s="16" t="s">
        <v>6765</v>
      </c>
      <c r="K1453" s="2" t="s">
        <v>4401</v>
      </c>
      <c r="L1453" s="8" t="s">
        <v>4402</v>
      </c>
      <c r="M1453" s="8" t="s">
        <v>27</v>
      </c>
      <c r="N1453" s="2" t="s">
        <v>6766</v>
      </c>
      <c r="O1453" s="8" t="s">
        <v>1013</v>
      </c>
      <c r="P1453" s="8" t="s">
        <v>401</v>
      </c>
      <c r="Q1453" s="12" t="s">
        <v>6767</v>
      </c>
      <c r="R1453" s="8" t="s">
        <v>100</v>
      </c>
      <c r="S1453" s="7" t="s">
        <v>28</v>
      </c>
      <c r="T1453" s="6"/>
      <c r="U1453" s="8"/>
    </row>
    <row r="1454" spans="1:21" ht="13" customHeight="1">
      <c r="A1454" s="8" t="s">
        <v>6768</v>
      </c>
      <c r="B1454" s="16">
        <v>49</v>
      </c>
      <c r="C1454" s="8" t="s">
        <v>114</v>
      </c>
      <c r="D1454" s="8" t="s">
        <v>37</v>
      </c>
      <c r="E1454" s="8" t="s">
        <v>6769</v>
      </c>
      <c r="F1454" s="17">
        <v>41924</v>
      </c>
      <c r="G1454" s="8" t="s">
        <v>6770</v>
      </c>
      <c r="H1454" s="8" t="s">
        <v>6771</v>
      </c>
      <c r="I1454" s="8" t="s">
        <v>319</v>
      </c>
      <c r="J1454" s="16" t="s">
        <v>6772</v>
      </c>
      <c r="K1454" s="2" t="s">
        <v>1196</v>
      </c>
      <c r="L1454" s="8" t="s">
        <v>6773</v>
      </c>
      <c r="M1454" s="8" t="s">
        <v>379</v>
      </c>
      <c r="N1454" s="2" t="s">
        <v>6774</v>
      </c>
      <c r="O1454" s="8" t="s">
        <v>1013</v>
      </c>
      <c r="P1454" s="8" t="s">
        <v>401</v>
      </c>
      <c r="Q1454" s="12" t="s">
        <v>6775</v>
      </c>
      <c r="R1454" s="8" t="s">
        <v>100</v>
      </c>
      <c r="S1454" s="7" t="s">
        <v>18</v>
      </c>
      <c r="T1454" s="6"/>
      <c r="U1454" s="8"/>
    </row>
    <row r="1455" spans="1:21" ht="13" customHeight="1">
      <c r="A1455" s="8" t="s">
        <v>6776</v>
      </c>
      <c r="B1455" s="16">
        <v>63</v>
      </c>
      <c r="C1455" s="8" t="s">
        <v>20</v>
      </c>
      <c r="D1455" s="8" t="s">
        <v>37</v>
      </c>
      <c r="E1455" s="8" t="s">
        <v>6769</v>
      </c>
      <c r="F1455" s="17">
        <v>41924</v>
      </c>
      <c r="G1455" s="8" t="s">
        <v>6770</v>
      </c>
      <c r="H1455" s="8" t="s">
        <v>6771</v>
      </c>
      <c r="I1455" s="8" t="s">
        <v>319</v>
      </c>
      <c r="J1455" s="16" t="s">
        <v>6772</v>
      </c>
      <c r="K1455" s="2" t="s">
        <v>1196</v>
      </c>
      <c r="L1455" s="8" t="s">
        <v>6773</v>
      </c>
      <c r="M1455" s="8" t="s">
        <v>379</v>
      </c>
      <c r="N1455" s="2" t="s">
        <v>6777</v>
      </c>
      <c r="O1455" s="8" t="s">
        <v>1013</v>
      </c>
      <c r="P1455" s="8" t="s">
        <v>401</v>
      </c>
      <c r="Q1455" s="12" t="s">
        <v>6775</v>
      </c>
      <c r="R1455" s="8" t="s">
        <v>100</v>
      </c>
      <c r="S1455" s="7" t="s">
        <v>18</v>
      </c>
      <c r="T1455" s="6"/>
      <c r="U1455" s="8"/>
    </row>
    <row r="1456" spans="1:21" ht="13" customHeight="1">
      <c r="A1456" s="8" t="s">
        <v>6778</v>
      </c>
      <c r="B1456" s="16">
        <v>51</v>
      </c>
      <c r="C1456" s="8" t="s">
        <v>20</v>
      </c>
      <c r="D1456" s="8" t="s">
        <v>85</v>
      </c>
      <c r="E1456" s="8" t="s">
        <v>6779</v>
      </c>
      <c r="F1456" s="17">
        <v>41923</v>
      </c>
      <c r="G1456" s="8" t="s">
        <v>6780</v>
      </c>
      <c r="H1456" s="8" t="s">
        <v>6781</v>
      </c>
      <c r="I1456" s="8" t="s">
        <v>32</v>
      </c>
      <c r="J1456" s="16" t="s">
        <v>6782</v>
      </c>
      <c r="K1456" s="2" t="s">
        <v>2221</v>
      </c>
      <c r="L1456" s="8" t="s">
        <v>6783</v>
      </c>
      <c r="M1456" s="8" t="s">
        <v>27</v>
      </c>
      <c r="N1456" s="2" t="s">
        <v>6784</v>
      </c>
      <c r="O1456" s="8" t="s">
        <v>1013</v>
      </c>
      <c r="P1456" s="8" t="s">
        <v>401</v>
      </c>
      <c r="Q1456" s="12" t="s">
        <v>6785</v>
      </c>
      <c r="R1456" s="8" t="s">
        <v>555</v>
      </c>
      <c r="S1456" s="7" t="s">
        <v>28</v>
      </c>
      <c r="T1456" s="6"/>
      <c r="U1456" s="8"/>
    </row>
    <row r="1457" spans="1:21" ht="13" customHeight="1">
      <c r="A1457" s="8" t="s">
        <v>6786</v>
      </c>
      <c r="B1457" s="16">
        <v>40</v>
      </c>
      <c r="C1457" s="8" t="s">
        <v>20</v>
      </c>
      <c r="D1457" s="8" t="s">
        <v>30</v>
      </c>
      <c r="F1457" s="17">
        <v>41923</v>
      </c>
      <c r="G1457" s="8" t="s">
        <v>6787</v>
      </c>
      <c r="H1457" s="8" t="s">
        <v>430</v>
      </c>
      <c r="I1457" s="8" t="s">
        <v>431</v>
      </c>
      <c r="J1457" s="16" t="s">
        <v>6788</v>
      </c>
      <c r="K1457" s="2" t="s">
        <v>3414</v>
      </c>
      <c r="L1457" s="8" t="s">
        <v>434</v>
      </c>
      <c r="M1457" s="8" t="s">
        <v>27</v>
      </c>
      <c r="N1457" s="2" t="s">
        <v>6789</v>
      </c>
      <c r="O1457" s="8" t="s">
        <v>400</v>
      </c>
      <c r="P1457" s="8" t="s">
        <v>401</v>
      </c>
      <c r="Q1457" s="12" t="s">
        <v>6790</v>
      </c>
      <c r="R1457" s="8" t="s">
        <v>555</v>
      </c>
      <c r="S1457" s="7" t="s">
        <v>28</v>
      </c>
      <c r="T1457" s="6"/>
      <c r="U1457" s="8"/>
    </row>
    <row r="1458" spans="1:21" ht="13" customHeight="1">
      <c r="A1458" s="8" t="s">
        <v>6791</v>
      </c>
      <c r="B1458" s="16">
        <v>33</v>
      </c>
      <c r="C1458" s="8" t="s">
        <v>20</v>
      </c>
      <c r="D1458" s="8" t="s">
        <v>37</v>
      </c>
      <c r="F1458" s="17">
        <v>41923</v>
      </c>
      <c r="G1458" s="8" t="s">
        <v>6792</v>
      </c>
      <c r="H1458" s="8" t="s">
        <v>929</v>
      </c>
      <c r="I1458" s="8" t="s">
        <v>73</v>
      </c>
      <c r="J1458" s="16" t="s">
        <v>6793</v>
      </c>
      <c r="K1458" s="2" t="s">
        <v>74</v>
      </c>
      <c r="L1458" s="8" t="s">
        <v>930</v>
      </c>
      <c r="M1458" s="8" t="s">
        <v>27</v>
      </c>
      <c r="N1458" s="2" t="s">
        <v>6794</v>
      </c>
      <c r="O1458" s="8" t="s">
        <v>1013</v>
      </c>
      <c r="P1458" s="8" t="s">
        <v>401</v>
      </c>
      <c r="Q1458" s="12" t="s">
        <v>6795</v>
      </c>
      <c r="R1458" s="8" t="s">
        <v>100</v>
      </c>
      <c r="S1458" s="7" t="s">
        <v>28</v>
      </c>
      <c r="T1458" s="6"/>
      <c r="U1458" s="8"/>
    </row>
    <row r="1459" spans="1:21" ht="13" customHeight="1">
      <c r="A1459" s="8" t="s">
        <v>6796</v>
      </c>
      <c r="B1459" s="16">
        <v>18</v>
      </c>
      <c r="C1459" s="8" t="s">
        <v>20</v>
      </c>
      <c r="D1459" s="8" t="s">
        <v>85</v>
      </c>
      <c r="E1459" s="8" t="s">
        <v>6797</v>
      </c>
      <c r="F1459" s="17">
        <v>41922</v>
      </c>
      <c r="G1459" s="8" t="s">
        <v>6798</v>
      </c>
      <c r="H1459" s="8" t="s">
        <v>1290</v>
      </c>
      <c r="I1459" s="8" t="s">
        <v>69</v>
      </c>
      <c r="J1459" s="16" t="s">
        <v>4637</v>
      </c>
      <c r="K1459" s="2" t="s">
        <v>1291</v>
      </c>
      <c r="L1459" s="8" t="s">
        <v>12628</v>
      </c>
      <c r="M1459" s="8" t="s">
        <v>27</v>
      </c>
      <c r="N1459" s="2" t="s">
        <v>6799</v>
      </c>
      <c r="O1459" s="8" t="s">
        <v>1013</v>
      </c>
      <c r="P1459" s="8" t="s">
        <v>401</v>
      </c>
      <c r="Q1459" s="12" t="s">
        <v>6800</v>
      </c>
      <c r="R1459" s="8" t="s">
        <v>100</v>
      </c>
      <c r="S1459" s="7" t="s">
        <v>28</v>
      </c>
      <c r="T1459" s="6"/>
      <c r="U1459" s="8"/>
    </row>
    <row r="1460" spans="1:21" ht="13" customHeight="1">
      <c r="A1460" s="8" t="s">
        <v>6801</v>
      </c>
      <c r="B1460" s="16">
        <v>20</v>
      </c>
      <c r="C1460" s="8" t="s">
        <v>20</v>
      </c>
      <c r="D1460" s="8" t="s">
        <v>85</v>
      </c>
      <c r="E1460" s="8" t="s">
        <v>6802</v>
      </c>
      <c r="F1460" s="17">
        <v>41922</v>
      </c>
      <c r="G1460" s="8" t="s">
        <v>6798</v>
      </c>
      <c r="H1460" s="8" t="s">
        <v>1290</v>
      </c>
      <c r="I1460" s="8" t="s">
        <v>69</v>
      </c>
      <c r="J1460" s="16" t="s">
        <v>4637</v>
      </c>
      <c r="K1460" s="2" t="s">
        <v>1291</v>
      </c>
      <c r="L1460" s="8" t="s">
        <v>12628</v>
      </c>
      <c r="M1460" s="8" t="s">
        <v>27</v>
      </c>
      <c r="N1460" s="2" t="s">
        <v>6803</v>
      </c>
      <c r="O1460" s="8" t="s">
        <v>1013</v>
      </c>
      <c r="P1460" s="8" t="s">
        <v>401</v>
      </c>
      <c r="Q1460" s="12" t="s">
        <v>6800</v>
      </c>
      <c r="R1460" s="8" t="s">
        <v>100</v>
      </c>
      <c r="S1460" s="7" t="s">
        <v>28</v>
      </c>
      <c r="T1460" s="6"/>
      <c r="U1460" s="8"/>
    </row>
    <row r="1461" spans="1:21" ht="13" customHeight="1">
      <c r="A1461" s="8" t="s">
        <v>6804</v>
      </c>
      <c r="B1461" s="16">
        <v>40</v>
      </c>
      <c r="C1461" s="8" t="s">
        <v>20</v>
      </c>
      <c r="D1461" s="8" t="s">
        <v>37</v>
      </c>
      <c r="E1461" s="8" t="s">
        <v>6805</v>
      </c>
      <c r="F1461" s="17">
        <v>41922</v>
      </c>
      <c r="G1461" s="8" t="s">
        <v>6806</v>
      </c>
      <c r="H1461" s="8" t="s">
        <v>561</v>
      </c>
      <c r="I1461" s="8" t="s">
        <v>123</v>
      </c>
      <c r="J1461" s="16" t="s">
        <v>6807</v>
      </c>
      <c r="K1461" s="2" t="s">
        <v>562</v>
      </c>
      <c r="L1461" s="8" t="s">
        <v>6808</v>
      </c>
      <c r="M1461" s="8" t="s">
        <v>27</v>
      </c>
      <c r="N1461" s="2" t="s">
        <v>6809</v>
      </c>
      <c r="O1461" s="8" t="s">
        <v>1013</v>
      </c>
      <c r="P1461" s="8" t="s">
        <v>401</v>
      </c>
      <c r="Q1461" s="12" t="s">
        <v>6810</v>
      </c>
      <c r="R1461" s="8" t="s">
        <v>100</v>
      </c>
      <c r="S1461" s="7" t="s">
        <v>28</v>
      </c>
      <c r="T1461" s="6"/>
      <c r="U1461" s="8"/>
    </row>
    <row r="1462" spans="1:21" ht="13" customHeight="1">
      <c r="A1462" s="8" t="s">
        <v>6811</v>
      </c>
      <c r="B1462" s="16">
        <v>39</v>
      </c>
      <c r="C1462" s="8" t="s">
        <v>20</v>
      </c>
      <c r="D1462" s="8" t="s">
        <v>85</v>
      </c>
      <c r="E1462" s="8" t="s">
        <v>6812</v>
      </c>
      <c r="F1462" s="17">
        <v>41921</v>
      </c>
      <c r="G1462" s="8" t="s">
        <v>6813</v>
      </c>
      <c r="H1462" s="8" t="s">
        <v>1037</v>
      </c>
      <c r="I1462" s="8" t="s">
        <v>173</v>
      </c>
      <c r="J1462" s="16" t="s">
        <v>6814</v>
      </c>
      <c r="K1462" s="2" t="s">
        <v>1307</v>
      </c>
      <c r="L1462" s="8" t="s">
        <v>865</v>
      </c>
      <c r="M1462" s="8" t="s">
        <v>27</v>
      </c>
      <c r="N1462" s="2" t="s">
        <v>6815</v>
      </c>
      <c r="O1462" s="8" t="s">
        <v>1013</v>
      </c>
      <c r="P1462" s="8" t="s">
        <v>401</v>
      </c>
      <c r="Q1462" s="12" t="s">
        <v>6816</v>
      </c>
      <c r="R1462" s="8" t="s">
        <v>100</v>
      </c>
      <c r="S1462" s="7" t="s">
        <v>28</v>
      </c>
      <c r="T1462" s="6"/>
      <c r="U1462" s="8"/>
    </row>
    <row r="1463" spans="1:21" ht="13" customHeight="1">
      <c r="A1463" s="8" t="s">
        <v>6817</v>
      </c>
      <c r="B1463" s="16">
        <v>51</v>
      </c>
      <c r="C1463" s="8" t="s">
        <v>20</v>
      </c>
      <c r="D1463" s="8" t="s">
        <v>37</v>
      </c>
      <c r="E1463" s="8" t="s">
        <v>6818</v>
      </c>
      <c r="F1463" s="17">
        <v>41921</v>
      </c>
      <c r="G1463" s="8" t="s">
        <v>6819</v>
      </c>
      <c r="H1463" s="8" t="s">
        <v>6820</v>
      </c>
      <c r="I1463" s="8" t="s">
        <v>133</v>
      </c>
      <c r="J1463" s="16" t="s">
        <v>6821</v>
      </c>
      <c r="K1463" s="2" t="s">
        <v>1075</v>
      </c>
      <c r="L1463" s="8" t="s">
        <v>6822</v>
      </c>
      <c r="M1463" s="8" t="s">
        <v>27</v>
      </c>
      <c r="N1463" s="2" t="s">
        <v>6823</v>
      </c>
      <c r="O1463" s="8" t="s">
        <v>400</v>
      </c>
      <c r="P1463" s="8" t="s">
        <v>401</v>
      </c>
      <c r="Q1463" s="12" t="s">
        <v>6824</v>
      </c>
      <c r="R1463" s="8" t="s">
        <v>100</v>
      </c>
      <c r="S1463" s="7" t="s">
        <v>28</v>
      </c>
      <c r="T1463" s="6"/>
      <c r="U1463" s="8"/>
    </row>
    <row r="1464" spans="1:21" ht="13" customHeight="1">
      <c r="A1464" s="8" t="s">
        <v>6825</v>
      </c>
      <c r="B1464" s="16">
        <v>18</v>
      </c>
      <c r="C1464" s="8" t="s">
        <v>20</v>
      </c>
      <c r="D1464" s="8" t="s">
        <v>85</v>
      </c>
      <c r="E1464" s="8" t="s">
        <v>6826</v>
      </c>
      <c r="F1464" s="17">
        <v>41920</v>
      </c>
      <c r="G1464" s="8" t="s">
        <v>6827</v>
      </c>
      <c r="H1464" s="8" t="s">
        <v>712</v>
      </c>
      <c r="I1464" s="8" t="s">
        <v>431</v>
      </c>
      <c r="J1464" s="16" t="s">
        <v>6828</v>
      </c>
      <c r="K1464" s="2" t="s">
        <v>712</v>
      </c>
      <c r="L1464" s="8" t="s">
        <v>4545</v>
      </c>
      <c r="M1464" s="8" t="s">
        <v>27</v>
      </c>
      <c r="N1464" s="2" t="s">
        <v>6829</v>
      </c>
      <c r="O1464" s="8" t="s">
        <v>550</v>
      </c>
      <c r="P1464" s="8" t="s">
        <v>401</v>
      </c>
      <c r="Q1464" s="12" t="s">
        <v>6830</v>
      </c>
      <c r="R1464" s="8" t="s">
        <v>100</v>
      </c>
      <c r="S1464" s="7" t="s">
        <v>35</v>
      </c>
      <c r="T1464" s="6"/>
      <c r="U1464" s="8"/>
    </row>
    <row r="1465" spans="1:21" ht="13" customHeight="1">
      <c r="A1465" s="8" t="s">
        <v>6831</v>
      </c>
      <c r="B1465" s="16">
        <v>20</v>
      </c>
      <c r="C1465" s="8" t="s">
        <v>20</v>
      </c>
      <c r="D1465" s="8" t="s">
        <v>48</v>
      </c>
      <c r="F1465" s="17">
        <v>41920</v>
      </c>
      <c r="G1465" s="8" t="s">
        <v>6832</v>
      </c>
      <c r="H1465" s="8" t="s">
        <v>1836</v>
      </c>
      <c r="I1465" s="8" t="s">
        <v>81</v>
      </c>
      <c r="J1465" s="16" t="s">
        <v>6833</v>
      </c>
      <c r="K1465" s="2" t="s">
        <v>1836</v>
      </c>
      <c r="L1465" s="8" t="s">
        <v>6834</v>
      </c>
      <c r="M1465" s="8" t="s">
        <v>27</v>
      </c>
      <c r="N1465" s="2" t="s">
        <v>6835</v>
      </c>
      <c r="O1465" s="8" t="s">
        <v>550</v>
      </c>
      <c r="P1465" s="8" t="s">
        <v>401</v>
      </c>
      <c r="Q1465" s="12" t="s">
        <v>6836</v>
      </c>
      <c r="R1465" s="8" t="s">
        <v>100</v>
      </c>
      <c r="S1465" s="7" t="s">
        <v>379</v>
      </c>
      <c r="T1465" s="6"/>
      <c r="U1465" s="8"/>
    </row>
    <row r="1466" spans="1:21" ht="13" customHeight="1">
      <c r="A1466" s="8" t="s">
        <v>6837</v>
      </c>
      <c r="B1466" s="16">
        <v>41</v>
      </c>
      <c r="C1466" s="8" t="s">
        <v>20</v>
      </c>
      <c r="D1466" s="8" t="s">
        <v>945</v>
      </c>
      <c r="F1466" s="17">
        <v>41920</v>
      </c>
      <c r="G1466" s="8" t="s">
        <v>6838</v>
      </c>
      <c r="H1466" s="8" t="s">
        <v>430</v>
      </c>
      <c r="I1466" s="8" t="s">
        <v>431</v>
      </c>
      <c r="J1466" s="16" t="s">
        <v>6839</v>
      </c>
      <c r="K1466" s="2" t="s">
        <v>6840</v>
      </c>
      <c r="L1466" s="8" t="s">
        <v>434</v>
      </c>
      <c r="M1466" s="8" t="s">
        <v>27</v>
      </c>
      <c r="N1466" s="2" t="s">
        <v>6841</v>
      </c>
      <c r="O1466" s="8" t="s">
        <v>400</v>
      </c>
      <c r="P1466" s="8" t="s">
        <v>401</v>
      </c>
      <c r="Q1466" s="12" t="s">
        <v>6842</v>
      </c>
      <c r="R1466" s="8" t="s">
        <v>29</v>
      </c>
      <c r="S1466" s="7" t="s">
        <v>28</v>
      </c>
      <c r="T1466" s="6"/>
      <c r="U1466" s="8"/>
    </row>
    <row r="1467" spans="1:21" ht="13" customHeight="1">
      <c r="A1467" s="8" t="s">
        <v>6843</v>
      </c>
      <c r="B1467" s="16">
        <v>35</v>
      </c>
      <c r="C1467" s="8" t="s">
        <v>20</v>
      </c>
      <c r="D1467" s="8" t="s">
        <v>37</v>
      </c>
      <c r="E1467" s="8" t="s">
        <v>6844</v>
      </c>
      <c r="F1467" s="17">
        <v>41920</v>
      </c>
      <c r="G1467" s="8" t="s">
        <v>6845</v>
      </c>
      <c r="H1467" s="8" t="s">
        <v>2497</v>
      </c>
      <c r="I1467" s="8" t="s">
        <v>395</v>
      </c>
      <c r="J1467" s="16" t="s">
        <v>6846</v>
      </c>
      <c r="K1467" s="2" t="s">
        <v>2497</v>
      </c>
      <c r="L1467" s="8" t="s">
        <v>3398</v>
      </c>
      <c r="M1467" s="8" t="s">
        <v>27</v>
      </c>
      <c r="N1467" s="2" t="s">
        <v>6847</v>
      </c>
      <c r="O1467" s="8" t="s">
        <v>1013</v>
      </c>
      <c r="P1467" s="8" t="s">
        <v>401</v>
      </c>
      <c r="Q1467" s="12" t="s">
        <v>6848</v>
      </c>
      <c r="R1467" s="8" t="s">
        <v>100</v>
      </c>
      <c r="S1467" s="7" t="s">
        <v>28</v>
      </c>
      <c r="T1467" s="6"/>
      <c r="U1467" s="8"/>
    </row>
    <row r="1468" spans="1:21" ht="13" customHeight="1">
      <c r="A1468" s="8" t="s">
        <v>6867</v>
      </c>
      <c r="B1468" s="16">
        <v>26</v>
      </c>
      <c r="C1468" s="8" t="s">
        <v>20</v>
      </c>
      <c r="D1468" s="8" t="s">
        <v>85</v>
      </c>
      <c r="E1468" s="8" t="s">
        <v>6868</v>
      </c>
      <c r="F1468" s="17">
        <v>41919</v>
      </c>
      <c r="G1468" s="8" t="s">
        <v>6869</v>
      </c>
      <c r="H1468" s="8" t="s">
        <v>948</v>
      </c>
      <c r="I1468" s="8" t="s">
        <v>45</v>
      </c>
      <c r="J1468" s="16" t="s">
        <v>6870</v>
      </c>
      <c r="K1468" s="2" t="s">
        <v>948</v>
      </c>
      <c r="L1468" s="8" t="s">
        <v>949</v>
      </c>
      <c r="M1468" s="8" t="s">
        <v>27</v>
      </c>
      <c r="N1468" s="2" t="s">
        <v>6871</v>
      </c>
      <c r="O1468" s="8" t="s">
        <v>1013</v>
      </c>
      <c r="P1468" s="8" t="s">
        <v>401</v>
      </c>
      <c r="Q1468" s="12" t="s">
        <v>6872</v>
      </c>
      <c r="R1468" s="8" t="s">
        <v>100</v>
      </c>
      <c r="S1468" s="7" t="s">
        <v>28</v>
      </c>
      <c r="T1468" s="6"/>
      <c r="U1468" s="8"/>
    </row>
    <row r="1469" spans="1:21" ht="13" customHeight="1">
      <c r="A1469" s="8" t="s">
        <v>6862</v>
      </c>
      <c r="B1469" s="16">
        <v>29</v>
      </c>
      <c r="C1469" s="8" t="s">
        <v>20</v>
      </c>
      <c r="D1469" s="8" t="s">
        <v>85</v>
      </c>
      <c r="E1469" s="8" t="s">
        <v>6863</v>
      </c>
      <c r="F1469" s="17">
        <v>41919</v>
      </c>
      <c r="G1469" s="8" t="s">
        <v>6864</v>
      </c>
      <c r="H1469" s="8" t="s">
        <v>268</v>
      </c>
      <c r="I1469" s="8" t="s">
        <v>269</v>
      </c>
      <c r="J1469" s="16" t="s">
        <v>6865</v>
      </c>
      <c r="K1469" s="2" t="s">
        <v>570</v>
      </c>
      <c r="L1469" s="8" t="s">
        <v>270</v>
      </c>
      <c r="M1469" s="8" t="s">
        <v>27</v>
      </c>
      <c r="N1469" s="2" t="s">
        <v>6866</v>
      </c>
      <c r="O1469" s="8" t="s">
        <v>1013</v>
      </c>
      <c r="P1469" s="8" t="s">
        <v>401</v>
      </c>
      <c r="Q1469" s="12" t="str">
        <f>HYPERLINK("http://www.jrn.com/ktnv/news/Family-speaks-out-after-man-killed-by-police-in-shootout-278597311.html","http://www.jrn.com/ktnv/news/Family-speaks-out-after-man-killed-by-police-in-shootout-278597311.html")</f>
        <v>http://www.jrn.com/ktnv/news/Family-speaks-out-after-man-killed-by-police-in-shootout-278597311.html</v>
      </c>
      <c r="R1469" s="8" t="s">
        <v>100</v>
      </c>
      <c r="S1469" s="7" t="s">
        <v>28</v>
      </c>
      <c r="T1469" s="6"/>
      <c r="U1469" s="8"/>
    </row>
    <row r="1470" spans="1:21" ht="13" customHeight="1">
      <c r="A1470" s="8" t="s">
        <v>6849</v>
      </c>
      <c r="B1470" s="16">
        <v>34</v>
      </c>
      <c r="C1470" s="8" t="s">
        <v>20</v>
      </c>
      <c r="D1470" s="8" t="s">
        <v>85</v>
      </c>
      <c r="E1470" s="8" t="s">
        <v>6850</v>
      </c>
      <c r="F1470" s="17">
        <v>41919</v>
      </c>
      <c r="G1470" s="8" t="s">
        <v>6851</v>
      </c>
      <c r="H1470" s="8" t="s">
        <v>2163</v>
      </c>
      <c r="I1470" s="8" t="s">
        <v>94</v>
      </c>
      <c r="J1470" s="16" t="s">
        <v>6852</v>
      </c>
      <c r="K1470" s="2" t="s">
        <v>2165</v>
      </c>
      <c r="L1470" s="8" t="s">
        <v>2166</v>
      </c>
      <c r="M1470" s="8" t="s">
        <v>27</v>
      </c>
      <c r="N1470" s="2" t="s">
        <v>6853</v>
      </c>
      <c r="O1470" s="8" t="s">
        <v>400</v>
      </c>
      <c r="P1470" s="8" t="s">
        <v>401</v>
      </c>
      <c r="Q1470" s="12" t="str">
        <f>HYPERLINK("http://www.al.com/news/huntsville/index.ssf/2014/10/officer-involved_shooting_at_m.html#incart_2box","http://www.al.com/news/huntsville/index.ssf/2014/10/officer-involved_shooting_at_m.html#incart_2box")</f>
        <v>http://www.al.com/news/huntsville/index.ssf/2014/10/officer-involved_shooting_at_m.html#incart_2box</v>
      </c>
      <c r="R1470" s="8" t="s">
        <v>29</v>
      </c>
      <c r="S1470" s="7" t="s">
        <v>28</v>
      </c>
      <c r="T1470" s="6"/>
      <c r="U1470" s="8"/>
    </row>
    <row r="1471" spans="1:21" ht="13" customHeight="1">
      <c r="A1471" s="8" t="s">
        <v>6854</v>
      </c>
      <c r="B1471" s="16">
        <v>37</v>
      </c>
      <c r="C1471" s="8" t="s">
        <v>114</v>
      </c>
      <c r="D1471" s="8" t="s">
        <v>85</v>
      </c>
      <c r="E1471" s="8" t="str">
        <f>HYPERLINK("http://bloximages.chicago2.vip.townnews.com/wacotrib.com/content/tncms/assets/v3/editorial/d/8f/d8f5c52a-c474-5323-bbcf-9da3b5d574a5/543498624ad06.image.jpg","http://bloximages.chicago2.vip.townnews.com/wacotrib.com/content/tncms/assets/v3/editorial/d/8f/d8f5c52a-c474-5323-bbcf-9da3b5d574a5/543498624ad06.image.jpg")</f>
        <v>http://bloximages.chicago2.vip.townnews.com/wacotrib.com/content/tncms/assets/v3/editorial/d/8f/d8f5c52a-c474-5323-bbcf-9da3b5d574a5/543498624ad06.image.jpg</v>
      </c>
      <c r="F1471" s="17">
        <v>41919</v>
      </c>
      <c r="G1471" s="8" t="s">
        <v>6855</v>
      </c>
      <c r="H1471" s="8" t="s">
        <v>802</v>
      </c>
      <c r="I1471" s="8" t="s">
        <v>73</v>
      </c>
      <c r="J1471" s="16">
        <v>76705</v>
      </c>
      <c r="K1471" s="2" t="s">
        <v>803</v>
      </c>
      <c r="L1471" s="8" t="s">
        <v>6856</v>
      </c>
      <c r="M1471" s="8" t="s">
        <v>391</v>
      </c>
      <c r="N1471" s="2" t="s">
        <v>6857</v>
      </c>
      <c r="O1471" s="8" t="s">
        <v>550</v>
      </c>
      <c r="P1471" s="8" t="s">
        <v>401</v>
      </c>
      <c r="Q1471" s="59" t="str">
        <f>HYPERLINK("http://www.wacotrib.com/news/courts_and_trials/woman-dies-in-mclennan-county-jail/article_295a2448-47f5-565b-b08b-7d0104877301.html","http://www.wacotrib.com/news/courts_and_trials/woman-dies-in-mclennan-county-jail/article_295a2448-47f5-565b-b08b-7d0104877301.html")</f>
        <v>http://www.wacotrib.com/news/courts_and_trials/woman-dies-in-mclennan-county-jail/article_295a2448-47f5-565b-b08b-7d0104877301.html</v>
      </c>
      <c r="R1471" s="8" t="s">
        <v>967</v>
      </c>
      <c r="S1471" s="7" t="s">
        <v>18</v>
      </c>
      <c r="T1471" s="6"/>
      <c r="U1471" s="8"/>
    </row>
    <row r="1472" spans="1:21" ht="13" customHeight="1">
      <c r="A1472" s="8" t="s">
        <v>6858</v>
      </c>
      <c r="B1472" s="16">
        <v>36</v>
      </c>
      <c r="C1472" s="8" t="s">
        <v>114</v>
      </c>
      <c r="D1472" s="8" t="s">
        <v>85</v>
      </c>
      <c r="E1472" s="8" t="str">
        <f>HYPERLINK("http://www.miamiherald.com/news/state/florida/mqonpy/picture2628797/ALTERNATES/FREE_960/latandraellington","http://www.miamiherald.com/news/state/florida/mqonpy/picture2628797/ALTERNATES/FREE_960/latandraellington")</f>
        <v>http://www.miamiherald.com/news/state/florida/mqonpy/picture2628797/ALTERNATES/FREE_960/latandraellington</v>
      </c>
      <c r="F1472" s="17">
        <v>41919</v>
      </c>
      <c r="G1472" s="8" t="s">
        <v>6859</v>
      </c>
      <c r="H1472" s="8" t="s">
        <v>3064</v>
      </c>
      <c r="I1472" s="8" t="s">
        <v>62</v>
      </c>
      <c r="J1472" s="16">
        <v>34482</v>
      </c>
      <c r="K1472" s="2" t="s">
        <v>420</v>
      </c>
      <c r="L1472" s="8" t="s">
        <v>6860</v>
      </c>
      <c r="M1472" s="8" t="s">
        <v>29</v>
      </c>
      <c r="N1472" s="2" t="s">
        <v>6861</v>
      </c>
      <c r="O1472" s="8" t="s">
        <v>1013</v>
      </c>
      <c r="P1472" s="8" t="s">
        <v>401</v>
      </c>
      <c r="Q1472" s="12" t="str">
        <f>HYPERLINK("http://www.miamiherald.com/news/state/florida/article2564576.html","http://www.miamiherald.com/news/state/florida/article2564576.html")</f>
        <v>http://www.miamiherald.com/news/state/florida/article2564576.html</v>
      </c>
      <c r="R1472" s="8" t="s">
        <v>100</v>
      </c>
      <c r="S1472" s="7" t="s">
        <v>18</v>
      </c>
      <c r="T1472" s="6"/>
      <c r="U1472" s="8"/>
    </row>
    <row r="1473" spans="1:24" ht="13" customHeight="1">
      <c r="A1473" s="8" t="s">
        <v>6873</v>
      </c>
      <c r="B1473" s="16">
        <v>36</v>
      </c>
      <c r="C1473" s="8" t="s">
        <v>20</v>
      </c>
      <c r="D1473" s="8" t="s">
        <v>48</v>
      </c>
      <c r="F1473" s="17">
        <v>41919</v>
      </c>
      <c r="G1473" s="8" t="s">
        <v>6874</v>
      </c>
      <c r="H1473" s="8" t="s">
        <v>726</v>
      </c>
      <c r="I1473" s="8" t="s">
        <v>73</v>
      </c>
      <c r="J1473" s="16" t="s">
        <v>6875</v>
      </c>
      <c r="K1473" s="2" t="s">
        <v>558</v>
      </c>
      <c r="L1473" s="8" t="s">
        <v>727</v>
      </c>
      <c r="M1473" s="8" t="s">
        <v>27</v>
      </c>
      <c r="N1473" s="2" t="s">
        <v>6876</v>
      </c>
      <c r="O1473" s="8" t="s">
        <v>1013</v>
      </c>
      <c r="P1473" s="8" t="s">
        <v>401</v>
      </c>
      <c r="Q1473" s="12" t="s">
        <v>6877</v>
      </c>
      <c r="R1473" s="8" t="s">
        <v>100</v>
      </c>
      <c r="S1473" s="7" t="s">
        <v>28</v>
      </c>
      <c r="T1473" s="6"/>
      <c r="U1473" s="8"/>
    </row>
    <row r="1474" spans="1:24" ht="13" customHeight="1">
      <c r="A1474" s="8" t="s">
        <v>6878</v>
      </c>
      <c r="B1474" s="16">
        <v>65</v>
      </c>
      <c r="C1474" s="8" t="s">
        <v>20</v>
      </c>
      <c r="D1474" s="8" t="s">
        <v>85</v>
      </c>
      <c r="E1474" s="8" t="s">
        <v>6879</v>
      </c>
      <c r="F1474" s="17">
        <v>41918</v>
      </c>
      <c r="G1474" s="8" t="s">
        <v>6880</v>
      </c>
      <c r="H1474" s="8" t="s">
        <v>634</v>
      </c>
      <c r="I1474" s="8" t="s">
        <v>123</v>
      </c>
      <c r="J1474" s="16" t="s">
        <v>6206</v>
      </c>
      <c r="K1474" s="2" t="s">
        <v>635</v>
      </c>
      <c r="L1474" s="8" t="s">
        <v>636</v>
      </c>
      <c r="M1474" s="8" t="s">
        <v>391</v>
      </c>
      <c r="N1474" s="2" t="s">
        <v>6881</v>
      </c>
      <c r="O1474" s="8" t="s">
        <v>1013</v>
      </c>
      <c r="P1474" s="8" t="s">
        <v>401</v>
      </c>
      <c r="Q1474" s="12" t="s">
        <v>6882</v>
      </c>
      <c r="R1474" s="8" t="s">
        <v>100</v>
      </c>
      <c r="S1474" s="7" t="s">
        <v>18</v>
      </c>
      <c r="T1474" s="6"/>
      <c r="U1474" s="8"/>
      <c r="V1474" s="8"/>
      <c r="W1474" s="8"/>
      <c r="X1474" s="8"/>
    </row>
    <row r="1475" spans="1:24" ht="13" customHeight="1">
      <c r="A1475" s="8" t="s">
        <v>6883</v>
      </c>
      <c r="B1475" s="16">
        <v>27</v>
      </c>
      <c r="C1475" s="8" t="s">
        <v>20</v>
      </c>
      <c r="D1475" s="8" t="s">
        <v>48</v>
      </c>
      <c r="E1475" s="8" t="s">
        <v>6884</v>
      </c>
      <c r="F1475" s="17">
        <v>41917</v>
      </c>
      <c r="G1475" s="8" t="s">
        <v>6885</v>
      </c>
      <c r="H1475" s="8" t="s">
        <v>1174</v>
      </c>
      <c r="I1475" s="8" t="s">
        <v>209</v>
      </c>
      <c r="J1475" s="16" t="s">
        <v>6886</v>
      </c>
      <c r="K1475" s="2" t="s">
        <v>553</v>
      </c>
      <c r="L1475" s="8" t="s">
        <v>1175</v>
      </c>
      <c r="M1475" s="8" t="s">
        <v>27</v>
      </c>
      <c r="N1475" s="2" t="s">
        <v>6887</v>
      </c>
      <c r="O1475" s="8" t="s">
        <v>550</v>
      </c>
      <c r="P1475" s="8" t="s">
        <v>401</v>
      </c>
      <c r="Q1475" s="12" t="s">
        <v>6888</v>
      </c>
      <c r="R1475" s="8" t="s">
        <v>100</v>
      </c>
      <c r="S1475" s="7" t="s">
        <v>28</v>
      </c>
      <c r="T1475" s="6"/>
      <c r="U1475" s="8"/>
    </row>
    <row r="1476" spans="1:24" ht="13" customHeight="1">
      <c r="A1476" s="8" t="s">
        <v>6897</v>
      </c>
      <c r="B1476" s="16">
        <v>36</v>
      </c>
      <c r="C1476" s="8" t="s">
        <v>20</v>
      </c>
      <c r="D1476" s="8" t="s">
        <v>85</v>
      </c>
      <c r="F1476" s="17">
        <v>41916</v>
      </c>
      <c r="G1476" s="8" t="s">
        <v>6898</v>
      </c>
      <c r="H1476" s="8" t="s">
        <v>118</v>
      </c>
      <c r="I1476" s="8" t="s">
        <v>3685</v>
      </c>
      <c r="J1476" s="16" t="s">
        <v>6899</v>
      </c>
      <c r="K1476" s="2" t="s">
        <v>3687</v>
      </c>
      <c r="L1476" s="8" t="s">
        <v>19723</v>
      </c>
      <c r="M1476" s="8" t="s">
        <v>27</v>
      </c>
      <c r="N1476" s="2" t="s">
        <v>6900</v>
      </c>
      <c r="O1476" s="8" t="s">
        <v>1013</v>
      </c>
      <c r="P1476" s="8" t="s">
        <v>401</v>
      </c>
      <c r="Q1476" s="12" t="str">
        <f>HYPERLINK("http://www.washingtonpost.com/local/man-shot-and-killed-by-officers-trying-to-serve-a-warrant-in-southeast-dc/2014/10/05/b755dfea-4c9b-11e4-aa5e-7153e466a02d_story.html","http://www.washingtonpost.com/local/man-shot-and-killed-by-officers-trying-to-serve-a-warrant-in-southeast-dc/2014/10/05/b755dfea-4c9b-11e4-aa5e-7153e466a02d_story.html")</f>
        <v>http://www.washingtonpost.com/local/man-shot-and-killed-by-officers-trying-to-serve-a-warrant-in-southeast-dc/2014/10/05/b755dfea-4c9b-11e4-aa5e-7153e466a02d_story.html</v>
      </c>
      <c r="R1476" s="8" t="s">
        <v>100</v>
      </c>
      <c r="S1476" s="7" t="s">
        <v>28</v>
      </c>
      <c r="T1476" s="6"/>
      <c r="U1476" s="8"/>
    </row>
    <row r="1477" spans="1:24" ht="13" customHeight="1">
      <c r="A1477" s="8" t="s">
        <v>6889</v>
      </c>
      <c r="B1477" s="16">
        <v>31</v>
      </c>
      <c r="C1477" s="8" t="s">
        <v>20</v>
      </c>
      <c r="D1477" s="8" t="s">
        <v>85</v>
      </c>
      <c r="E1477" s="8" t="s">
        <v>6890</v>
      </c>
      <c r="F1477" s="17">
        <v>41916</v>
      </c>
      <c r="G1477" s="8" t="s">
        <v>6891</v>
      </c>
      <c r="H1477" s="8" t="s">
        <v>6892</v>
      </c>
      <c r="I1477" s="8" t="s">
        <v>41</v>
      </c>
      <c r="J1477" s="16" t="s">
        <v>6893</v>
      </c>
      <c r="K1477" s="2" t="s">
        <v>6892</v>
      </c>
      <c r="L1477" s="8" t="s">
        <v>6894</v>
      </c>
      <c r="M1477" s="8" t="s">
        <v>391</v>
      </c>
      <c r="N1477" s="2" t="s">
        <v>6895</v>
      </c>
      <c r="O1477" s="8" t="s">
        <v>550</v>
      </c>
      <c r="P1477" s="8" t="s">
        <v>401</v>
      </c>
      <c r="Q1477" s="12" t="s">
        <v>6896</v>
      </c>
      <c r="R1477" s="8" t="s">
        <v>29</v>
      </c>
      <c r="S1477" s="7" t="s">
        <v>18</v>
      </c>
      <c r="T1477" s="6"/>
      <c r="U1477" s="8"/>
    </row>
    <row r="1478" spans="1:24" ht="13" customHeight="1">
      <c r="A1478" s="8" t="s">
        <v>6901</v>
      </c>
      <c r="B1478" s="16">
        <v>22</v>
      </c>
      <c r="C1478" s="8" t="s">
        <v>20</v>
      </c>
      <c r="D1478" s="8" t="s">
        <v>85</v>
      </c>
      <c r="F1478" s="17">
        <v>41916</v>
      </c>
      <c r="G1478" s="8" t="s">
        <v>6902</v>
      </c>
      <c r="H1478" s="8" t="s">
        <v>4218</v>
      </c>
      <c r="I1478" s="8" t="s">
        <v>366</v>
      </c>
      <c r="J1478" s="16" t="s">
        <v>6903</v>
      </c>
      <c r="K1478" s="2" t="s">
        <v>4220</v>
      </c>
      <c r="L1478" s="8" t="s">
        <v>6904</v>
      </c>
      <c r="M1478" s="8" t="s">
        <v>379</v>
      </c>
      <c r="N1478" s="2" t="s">
        <v>6905</v>
      </c>
      <c r="O1478" s="8" t="s">
        <v>1013</v>
      </c>
      <c r="P1478" s="8" t="s">
        <v>401</v>
      </c>
      <c r="Q1478" s="12" t="s">
        <v>6906</v>
      </c>
      <c r="R1478" s="8" t="s">
        <v>100</v>
      </c>
      <c r="S1478" s="7" t="s">
        <v>379</v>
      </c>
      <c r="T1478" s="6"/>
      <c r="U1478" s="8"/>
    </row>
    <row r="1479" spans="1:24" ht="13" customHeight="1">
      <c r="A1479" s="8" t="s">
        <v>6907</v>
      </c>
      <c r="B1479" s="16">
        <v>29</v>
      </c>
      <c r="C1479" s="8" t="s">
        <v>20</v>
      </c>
      <c r="D1479" s="8" t="s">
        <v>48</v>
      </c>
      <c r="E1479" s="8" t="s">
        <v>6908</v>
      </c>
      <c r="F1479" s="17">
        <v>41916</v>
      </c>
      <c r="G1479" s="8" t="s">
        <v>6909</v>
      </c>
      <c r="H1479" s="8" t="s">
        <v>98</v>
      </c>
      <c r="I1479" s="8" t="s">
        <v>45</v>
      </c>
      <c r="J1479" s="16" t="s">
        <v>3317</v>
      </c>
      <c r="K1479" s="2" t="s">
        <v>98</v>
      </c>
      <c r="L1479" s="8" t="s">
        <v>99</v>
      </c>
      <c r="M1479" s="8" t="s">
        <v>6910</v>
      </c>
      <c r="N1479" s="2" t="s">
        <v>6911</v>
      </c>
      <c r="O1479" s="8" t="s">
        <v>29</v>
      </c>
      <c r="P1479" s="8" t="s">
        <v>401</v>
      </c>
      <c r="Q1479" s="12" t="s">
        <v>6912</v>
      </c>
      <c r="R1479" s="8" t="s">
        <v>29</v>
      </c>
      <c r="S1479" s="7" t="s">
        <v>28</v>
      </c>
      <c r="T1479" s="6"/>
      <c r="U1479" s="8"/>
    </row>
    <row r="1480" spans="1:24" ht="13" customHeight="1">
      <c r="A1480" s="8" t="s">
        <v>6913</v>
      </c>
      <c r="B1480" s="16">
        <v>48</v>
      </c>
      <c r="C1480" s="8" t="s">
        <v>20</v>
      </c>
      <c r="D1480" s="8" t="s">
        <v>30</v>
      </c>
      <c r="F1480" s="17">
        <v>41915</v>
      </c>
      <c r="G1480" s="8" t="s">
        <v>6914</v>
      </c>
      <c r="H1480" s="8" t="s">
        <v>309</v>
      </c>
      <c r="I1480" s="8" t="s">
        <v>45</v>
      </c>
      <c r="J1480" s="16" t="s">
        <v>6915</v>
      </c>
      <c r="K1480" s="2" t="s">
        <v>309</v>
      </c>
      <c r="L1480" s="8" t="s">
        <v>4348</v>
      </c>
      <c r="M1480" s="8" t="s">
        <v>27</v>
      </c>
      <c r="N1480" s="2" t="s">
        <v>6916</v>
      </c>
      <c r="O1480" s="8" t="s">
        <v>1013</v>
      </c>
      <c r="P1480" s="8" t="s">
        <v>401</v>
      </c>
      <c r="Q1480" s="12" t="s">
        <v>6917</v>
      </c>
      <c r="R1480" s="8" t="s">
        <v>100</v>
      </c>
      <c r="S1480" s="7" t="s">
        <v>28</v>
      </c>
      <c r="T1480" s="6"/>
      <c r="U1480" s="8"/>
    </row>
    <row r="1481" spans="1:24" ht="13" customHeight="1">
      <c r="A1481" s="8" t="s">
        <v>6918</v>
      </c>
      <c r="B1481" s="16">
        <v>28</v>
      </c>
      <c r="C1481" s="8" t="s">
        <v>20</v>
      </c>
      <c r="D1481" s="8" t="s">
        <v>37</v>
      </c>
      <c r="F1481" s="17">
        <v>41915</v>
      </c>
      <c r="G1481" s="8" t="s">
        <v>6919</v>
      </c>
      <c r="H1481" s="8" t="s">
        <v>757</v>
      </c>
      <c r="I1481" s="8" t="s">
        <v>423</v>
      </c>
      <c r="J1481" s="16" t="s">
        <v>1715</v>
      </c>
      <c r="K1481" s="2" t="s">
        <v>1716</v>
      </c>
      <c r="L1481" s="8" t="s">
        <v>582</v>
      </c>
      <c r="M1481" s="8" t="s">
        <v>27</v>
      </c>
      <c r="N1481" s="2" t="s">
        <v>6920</v>
      </c>
      <c r="O1481" s="8" t="s">
        <v>1013</v>
      </c>
      <c r="P1481" s="8" t="s">
        <v>401</v>
      </c>
      <c r="Q1481" s="12" t="s">
        <v>6921</v>
      </c>
      <c r="R1481" s="8" t="s">
        <v>555</v>
      </c>
      <c r="S1481" s="7" t="s">
        <v>28</v>
      </c>
      <c r="T1481" s="6"/>
      <c r="U1481" s="8"/>
    </row>
    <row r="1482" spans="1:24" ht="13" customHeight="1">
      <c r="A1482" s="8" t="s">
        <v>6922</v>
      </c>
      <c r="B1482" s="16">
        <v>49</v>
      </c>
      <c r="C1482" s="8" t="s">
        <v>20</v>
      </c>
      <c r="D1482" s="8" t="s">
        <v>37</v>
      </c>
      <c r="F1482" s="17">
        <v>41915</v>
      </c>
      <c r="G1482" s="8" t="s">
        <v>6923</v>
      </c>
      <c r="H1482" s="8" t="s">
        <v>6924</v>
      </c>
      <c r="I1482" s="8" t="s">
        <v>123</v>
      </c>
      <c r="J1482" s="16">
        <v>86001</v>
      </c>
      <c r="K1482" s="2" t="s">
        <v>6925</v>
      </c>
      <c r="L1482" s="8" t="s">
        <v>6926</v>
      </c>
      <c r="M1482" s="8" t="s">
        <v>2297</v>
      </c>
      <c r="N1482" s="2" t="s">
        <v>6927</v>
      </c>
      <c r="P1482" s="8" t="s">
        <v>401</v>
      </c>
      <c r="Q1482" s="12" t="s">
        <v>6928</v>
      </c>
      <c r="R1482" s="8" t="s">
        <v>555</v>
      </c>
      <c r="S1482" s="7" t="s">
        <v>18</v>
      </c>
      <c r="T1482" s="6"/>
      <c r="U1482" s="8"/>
    </row>
    <row r="1483" spans="1:24" ht="13" customHeight="1">
      <c r="A1483" s="8" t="s">
        <v>6929</v>
      </c>
      <c r="B1483" s="16">
        <v>19</v>
      </c>
      <c r="C1483" s="8" t="s">
        <v>20</v>
      </c>
      <c r="D1483" s="8" t="s">
        <v>85</v>
      </c>
      <c r="E1483" s="8" t="str">
        <f>HYPERLINK("http://www.gannett-cdn.com/-mm-/90407faa708f948b3bc41ed885ae0b6dbee7db9f/c=0-743-2448-2587&amp;r=x383&amp;c=540x380/local/-/media/WXIA/None/2014/10/03/1412363614000-photo-2-.JPG","http://www.gannett-cdn.com/-mm-/90407faa708f948b3bc41ed885ae0b6dbee7db9f/c=0-743-2448-2587&amp;r=x383&amp;c=540x380/local/-/media/WXIA/None/2014/10/03/1412363614000-photo-2-.JPG")</f>
        <v>http://www.gannett-cdn.com/-mm-/90407faa708f948b3bc41ed885ae0b6dbee7db9f/c=0-743-2448-2587&amp;r=x383&amp;c=540x380/local/-/media/WXIA/None/2014/10/03/1412363614000-photo-2-.JPG</v>
      </c>
      <c r="F1483" s="17">
        <v>41914</v>
      </c>
      <c r="G1483" s="8" t="s">
        <v>6930</v>
      </c>
      <c r="H1483" s="8" t="s">
        <v>1037</v>
      </c>
      <c r="I1483" s="8" t="s">
        <v>173</v>
      </c>
      <c r="J1483" s="16">
        <v>30032</v>
      </c>
      <c r="K1483" s="2" t="s">
        <v>864</v>
      </c>
      <c r="L1483" s="8" t="s">
        <v>865</v>
      </c>
      <c r="M1483" s="8" t="s">
        <v>27</v>
      </c>
      <c r="N1483" s="2" t="s">
        <v>6931</v>
      </c>
      <c r="P1483" s="8" t="s">
        <v>401</v>
      </c>
      <c r="Q1483" s="12" t="s">
        <v>6932</v>
      </c>
      <c r="R1483" s="8" t="s">
        <v>100</v>
      </c>
      <c r="S1483" s="7" t="s">
        <v>28</v>
      </c>
      <c r="T1483" s="6"/>
      <c r="U1483" s="8"/>
    </row>
    <row r="1484" spans="1:24" ht="13" customHeight="1">
      <c r="A1484" s="8" t="s">
        <v>6933</v>
      </c>
      <c r="B1484" s="16">
        <v>69</v>
      </c>
      <c r="C1484" s="8" t="s">
        <v>20</v>
      </c>
      <c r="D1484" s="8" t="s">
        <v>30</v>
      </c>
      <c r="F1484" s="17">
        <v>41914</v>
      </c>
      <c r="G1484" s="8" t="s">
        <v>6934</v>
      </c>
      <c r="H1484" s="8" t="s">
        <v>6935</v>
      </c>
      <c r="I1484" s="8" t="s">
        <v>244</v>
      </c>
      <c r="J1484" s="16" t="s">
        <v>6936</v>
      </c>
      <c r="K1484" s="2" t="s">
        <v>1059</v>
      </c>
      <c r="L1484" s="8" t="s">
        <v>3333</v>
      </c>
      <c r="M1484" s="8" t="s">
        <v>27</v>
      </c>
      <c r="N1484" s="2" t="s">
        <v>6937</v>
      </c>
      <c r="O1484" s="8" t="s">
        <v>4714</v>
      </c>
      <c r="P1484" s="8" t="s">
        <v>401</v>
      </c>
      <c r="Q1484" s="12" t="s">
        <v>6938</v>
      </c>
      <c r="R1484" s="8" t="s">
        <v>100</v>
      </c>
      <c r="S1484" s="7" t="s">
        <v>28</v>
      </c>
      <c r="T1484" s="6"/>
      <c r="U1484" s="8"/>
    </row>
    <row r="1485" spans="1:24" ht="13" customHeight="1">
      <c r="A1485" s="8" t="s">
        <v>6939</v>
      </c>
      <c r="B1485" s="16">
        <v>39</v>
      </c>
      <c r="C1485" s="8" t="s">
        <v>114</v>
      </c>
      <c r="D1485" s="8" t="s">
        <v>85</v>
      </c>
      <c r="E1485" s="8" t="s">
        <v>6940</v>
      </c>
      <c r="F1485" s="17">
        <v>41913</v>
      </c>
      <c r="G1485" s="8" t="s">
        <v>6941</v>
      </c>
      <c r="H1485" s="8" t="s">
        <v>893</v>
      </c>
      <c r="I1485" s="8" t="s">
        <v>315</v>
      </c>
      <c r="J1485" s="16" t="s">
        <v>6942</v>
      </c>
      <c r="K1485" s="2" t="s">
        <v>1781</v>
      </c>
      <c r="L1485" s="8" t="s">
        <v>894</v>
      </c>
      <c r="M1485" s="8" t="s">
        <v>27</v>
      </c>
      <c r="N1485" s="2" t="s">
        <v>6943</v>
      </c>
      <c r="O1485" s="8" t="s">
        <v>4714</v>
      </c>
      <c r="P1485" s="8" t="s">
        <v>401</v>
      </c>
      <c r="Q1485" s="12" t="str">
        <f>HYPERLINK("http://www.wlky.com/news/woman-shot-by-lmpd-officers-in-swat-situation-dies/28371462","http://www.wlky.com/news/woman-shot-by-lmpd-officers-in-swat-situation-dies/28371462")</f>
        <v>http://www.wlky.com/news/woman-shot-by-lmpd-officers-in-swat-situation-dies/28371462</v>
      </c>
      <c r="R1485" s="8" t="s">
        <v>100</v>
      </c>
      <c r="S1485" s="7" t="s">
        <v>28</v>
      </c>
      <c r="T1485" s="6"/>
      <c r="U1485" s="8"/>
    </row>
    <row r="1486" spans="1:24" ht="13" customHeight="1">
      <c r="A1486" s="8" t="s">
        <v>6944</v>
      </c>
      <c r="B1486" s="16">
        <v>33</v>
      </c>
      <c r="C1486" s="8" t="s">
        <v>20</v>
      </c>
      <c r="D1486" s="8" t="s">
        <v>48</v>
      </c>
      <c r="F1486" s="17">
        <v>41913</v>
      </c>
      <c r="G1486" s="8" t="s">
        <v>6945</v>
      </c>
      <c r="H1486" s="8" t="s">
        <v>2899</v>
      </c>
      <c r="I1486" s="8" t="s">
        <v>45</v>
      </c>
      <c r="J1486" s="16" t="s">
        <v>6946</v>
      </c>
      <c r="K1486" s="2" t="s">
        <v>309</v>
      </c>
      <c r="L1486" s="8" t="s">
        <v>310</v>
      </c>
      <c r="M1486" s="8" t="s">
        <v>27</v>
      </c>
      <c r="N1486" s="2" t="s">
        <v>6947</v>
      </c>
      <c r="O1486" s="8" t="s">
        <v>4714</v>
      </c>
      <c r="P1486" s="8" t="s">
        <v>401</v>
      </c>
      <c r="Q1486" s="12" t="s">
        <v>6948</v>
      </c>
      <c r="R1486" s="8" t="s">
        <v>100</v>
      </c>
      <c r="S1486" s="7" t="s">
        <v>28</v>
      </c>
      <c r="T1486" s="6"/>
      <c r="U1486" s="8"/>
    </row>
    <row r="1487" spans="1:24" ht="13" customHeight="1">
      <c r="A1487" s="8" t="s">
        <v>6949</v>
      </c>
      <c r="B1487" s="16">
        <v>34</v>
      </c>
      <c r="C1487" s="8" t="s">
        <v>20</v>
      </c>
      <c r="D1487" s="8" t="s">
        <v>37</v>
      </c>
      <c r="F1487" s="17">
        <v>41913</v>
      </c>
      <c r="G1487" s="8" t="s">
        <v>6950</v>
      </c>
      <c r="H1487" s="8" t="s">
        <v>726</v>
      </c>
      <c r="I1487" s="8" t="s">
        <v>73</v>
      </c>
      <c r="J1487" s="16" t="s">
        <v>6951</v>
      </c>
      <c r="K1487" s="2" t="s">
        <v>558</v>
      </c>
      <c r="L1487" s="8" t="s">
        <v>727</v>
      </c>
      <c r="M1487" s="8" t="s">
        <v>27</v>
      </c>
      <c r="N1487" s="2" t="s">
        <v>6952</v>
      </c>
      <c r="O1487" s="8" t="s">
        <v>4714</v>
      </c>
      <c r="P1487" s="8" t="s">
        <v>401</v>
      </c>
      <c r="Q1487" s="12" t="s">
        <v>6953</v>
      </c>
      <c r="R1487" s="8" t="s">
        <v>100</v>
      </c>
      <c r="S1487" s="7" t="s">
        <v>28</v>
      </c>
      <c r="T1487" s="6"/>
      <c r="U1487" s="8"/>
    </row>
    <row r="1488" spans="1:24" ht="13" customHeight="1">
      <c r="A1488" s="8" t="s">
        <v>6962</v>
      </c>
      <c r="B1488" s="16">
        <v>20</v>
      </c>
      <c r="C1488" s="8" t="s">
        <v>20</v>
      </c>
      <c r="D1488" s="8" t="s">
        <v>85</v>
      </c>
      <c r="E1488" s="8" t="s">
        <v>6963</v>
      </c>
      <c r="F1488" s="17">
        <v>41912</v>
      </c>
      <c r="G1488" s="8" t="s">
        <v>6964</v>
      </c>
      <c r="H1488" s="8" t="s">
        <v>6965</v>
      </c>
      <c r="I1488" s="8" t="s">
        <v>173</v>
      </c>
      <c r="J1488" s="16" t="s">
        <v>6966</v>
      </c>
      <c r="K1488" s="2" t="s">
        <v>1374</v>
      </c>
      <c r="L1488" s="8" t="s">
        <v>6967</v>
      </c>
      <c r="M1488" s="8" t="s">
        <v>27</v>
      </c>
      <c r="N1488" s="2" t="s">
        <v>6968</v>
      </c>
      <c r="O1488" s="8" t="s">
        <v>4714</v>
      </c>
      <c r="P1488" s="8" t="s">
        <v>401</v>
      </c>
      <c r="Q1488" s="12" t="s">
        <v>6969</v>
      </c>
      <c r="R1488" s="8" t="s">
        <v>100</v>
      </c>
      <c r="S1488" s="7" t="s">
        <v>28</v>
      </c>
      <c r="T1488" s="6"/>
      <c r="U1488" s="8"/>
    </row>
    <row r="1489" spans="1:21" ht="13" customHeight="1">
      <c r="A1489" s="8" t="s">
        <v>6954</v>
      </c>
      <c r="B1489" s="16">
        <v>38</v>
      </c>
      <c r="C1489" s="8" t="s">
        <v>20</v>
      </c>
      <c r="D1489" s="8" t="s">
        <v>85</v>
      </c>
      <c r="E1489" s="8" t="s">
        <v>6955</v>
      </c>
      <c r="F1489" s="17">
        <v>41912</v>
      </c>
      <c r="G1489" s="8" t="s">
        <v>6956</v>
      </c>
      <c r="H1489" s="8" t="s">
        <v>6957</v>
      </c>
      <c r="I1489" s="8" t="s">
        <v>62</v>
      </c>
      <c r="J1489" s="16" t="s">
        <v>6958</v>
      </c>
      <c r="K1489" s="2" t="s">
        <v>1127</v>
      </c>
      <c r="L1489" s="8" t="s">
        <v>6959</v>
      </c>
      <c r="M1489" s="8" t="s">
        <v>27</v>
      </c>
      <c r="N1489" s="2" t="s">
        <v>6960</v>
      </c>
      <c r="O1489" s="8" t="s">
        <v>4714</v>
      </c>
      <c r="P1489" s="8" t="s">
        <v>401</v>
      </c>
      <c r="Q1489" s="12" t="s">
        <v>6961</v>
      </c>
      <c r="R1489" s="8" t="s">
        <v>555</v>
      </c>
      <c r="S1489" s="7" t="s">
        <v>28</v>
      </c>
      <c r="T1489" s="6"/>
      <c r="U1489" s="8"/>
    </row>
    <row r="1490" spans="1:21" ht="13" customHeight="1">
      <c r="A1490" s="8" t="s">
        <v>6982</v>
      </c>
      <c r="B1490" s="16">
        <v>26</v>
      </c>
      <c r="C1490" s="8" t="s">
        <v>20</v>
      </c>
      <c r="D1490" s="8" t="s">
        <v>37</v>
      </c>
      <c r="E1490" s="8" t="s">
        <v>6983</v>
      </c>
      <c r="F1490" s="17">
        <v>41912</v>
      </c>
      <c r="G1490" s="8" t="s">
        <v>6984</v>
      </c>
      <c r="H1490" s="8" t="s">
        <v>6985</v>
      </c>
      <c r="I1490" s="8" t="s">
        <v>404</v>
      </c>
      <c r="J1490" s="16" t="s">
        <v>6986</v>
      </c>
      <c r="K1490" s="2" t="s">
        <v>1059</v>
      </c>
      <c r="L1490" s="8" t="s">
        <v>9400</v>
      </c>
      <c r="M1490" s="8" t="s">
        <v>27</v>
      </c>
      <c r="N1490" s="2" t="s">
        <v>6987</v>
      </c>
      <c r="O1490" s="8" t="s">
        <v>3400</v>
      </c>
      <c r="P1490" s="8" t="s">
        <v>401</v>
      </c>
      <c r="Q1490" s="12" t="s">
        <v>6988</v>
      </c>
      <c r="R1490" s="8" t="s">
        <v>100</v>
      </c>
      <c r="S1490" s="7" t="s">
        <v>28</v>
      </c>
      <c r="T1490" s="6"/>
      <c r="U1490" s="8"/>
    </row>
    <row r="1491" spans="1:21" ht="13" customHeight="1">
      <c r="A1491" s="8" t="s">
        <v>6970</v>
      </c>
      <c r="B1491" s="16">
        <v>32</v>
      </c>
      <c r="C1491" s="8" t="s">
        <v>20</v>
      </c>
      <c r="D1491" s="8" t="s">
        <v>37</v>
      </c>
      <c r="E1491" s="8" t="s">
        <v>6971</v>
      </c>
      <c r="F1491" s="17">
        <v>41912</v>
      </c>
      <c r="G1491" s="8" t="s">
        <v>6972</v>
      </c>
      <c r="H1491" s="8" t="s">
        <v>6973</v>
      </c>
      <c r="I1491" s="8" t="s">
        <v>73</v>
      </c>
      <c r="J1491" s="16" t="s">
        <v>6974</v>
      </c>
      <c r="K1491" s="2" t="s">
        <v>5318</v>
      </c>
      <c r="L1491" s="8" t="s">
        <v>727</v>
      </c>
      <c r="M1491" s="8" t="s">
        <v>27</v>
      </c>
      <c r="N1491" s="2" t="s">
        <v>6975</v>
      </c>
      <c r="O1491" s="8" t="s">
        <v>4714</v>
      </c>
      <c r="P1491" s="8" t="s">
        <v>401</v>
      </c>
      <c r="Q1491" s="12" t="str">
        <f>HYPERLINK("http://www.houstontx.gov/police/nr/2014/oct/nr141001-3.htm","http://www.houstontx.gov/police/nr/2014/oct/nr141001-3.htm")</f>
        <v>http://www.houstontx.gov/police/nr/2014/oct/nr141001-3.htm</v>
      </c>
      <c r="R1491" s="8" t="s">
        <v>100</v>
      </c>
      <c r="S1491" s="7" t="s">
        <v>28</v>
      </c>
      <c r="T1491" s="6"/>
      <c r="U1491" s="8"/>
    </row>
    <row r="1492" spans="1:21" ht="13" customHeight="1">
      <c r="A1492" s="8" t="s">
        <v>6976</v>
      </c>
      <c r="B1492" s="16">
        <v>40</v>
      </c>
      <c r="C1492" s="8" t="s">
        <v>20</v>
      </c>
      <c r="D1492" s="8" t="s">
        <v>37</v>
      </c>
      <c r="E1492" s="8" t="s">
        <v>6977</v>
      </c>
      <c r="F1492" s="17">
        <v>41912</v>
      </c>
      <c r="G1492" s="8" t="s">
        <v>6978</v>
      </c>
      <c r="H1492" s="8" t="s">
        <v>1322</v>
      </c>
      <c r="I1492" s="8" t="s">
        <v>1086</v>
      </c>
      <c r="J1492" s="16" t="s">
        <v>6979</v>
      </c>
      <c r="K1492" s="2" t="s">
        <v>1323</v>
      </c>
      <c r="L1492" s="8" t="s">
        <v>1324</v>
      </c>
      <c r="M1492" s="8" t="s">
        <v>27</v>
      </c>
      <c r="N1492" s="2" t="s">
        <v>6980</v>
      </c>
      <c r="O1492" s="8" t="s">
        <v>4714</v>
      </c>
      <c r="P1492" s="8" t="s">
        <v>401</v>
      </c>
      <c r="Q1492" s="12" t="s">
        <v>6981</v>
      </c>
      <c r="R1492" s="8" t="s">
        <v>100</v>
      </c>
      <c r="S1492" s="7" t="s">
        <v>28</v>
      </c>
      <c r="T1492" s="6"/>
      <c r="U1492" s="8"/>
    </row>
    <row r="1493" spans="1:21" ht="13" customHeight="1">
      <c r="A1493" s="8" t="s">
        <v>6995</v>
      </c>
      <c r="B1493" s="16">
        <v>47</v>
      </c>
      <c r="C1493" s="8" t="s">
        <v>20</v>
      </c>
      <c r="D1493" s="8" t="s">
        <v>48</v>
      </c>
      <c r="F1493" s="17">
        <v>41911</v>
      </c>
      <c r="G1493" s="8" t="s">
        <v>6991</v>
      </c>
      <c r="H1493" s="8" t="s">
        <v>757</v>
      </c>
      <c r="I1493" s="8" t="s">
        <v>423</v>
      </c>
      <c r="J1493" s="16" t="s">
        <v>6992</v>
      </c>
      <c r="K1493" s="2" t="s">
        <v>757</v>
      </c>
      <c r="L1493" s="8" t="s">
        <v>582</v>
      </c>
      <c r="M1493" s="8" t="s">
        <v>27</v>
      </c>
      <c r="N1493" s="2" t="s">
        <v>6996</v>
      </c>
      <c r="O1493" s="8" t="s">
        <v>4714</v>
      </c>
      <c r="P1493" s="8" t="s">
        <v>401</v>
      </c>
      <c r="Q1493" s="12" t="s">
        <v>6994</v>
      </c>
      <c r="R1493" s="8" t="s">
        <v>100</v>
      </c>
      <c r="S1493" s="7" t="s">
        <v>28</v>
      </c>
      <c r="T1493" s="6"/>
      <c r="U1493" s="8"/>
    </row>
    <row r="1494" spans="1:21" ht="13" customHeight="1">
      <c r="A1494" s="8" t="s">
        <v>6989</v>
      </c>
      <c r="B1494" s="16">
        <v>51</v>
      </c>
      <c r="C1494" s="8" t="s">
        <v>20</v>
      </c>
      <c r="D1494" s="8" t="s">
        <v>48</v>
      </c>
      <c r="E1494" s="8" t="s">
        <v>6990</v>
      </c>
      <c r="F1494" s="17">
        <v>41911</v>
      </c>
      <c r="G1494" s="8" t="s">
        <v>6991</v>
      </c>
      <c r="H1494" s="8" t="s">
        <v>757</v>
      </c>
      <c r="I1494" s="8" t="s">
        <v>423</v>
      </c>
      <c r="J1494" s="16" t="s">
        <v>6992</v>
      </c>
      <c r="K1494" s="2" t="s">
        <v>757</v>
      </c>
      <c r="L1494" s="8" t="s">
        <v>582</v>
      </c>
      <c r="M1494" s="8" t="s">
        <v>27</v>
      </c>
      <c r="N1494" s="2" t="s">
        <v>6993</v>
      </c>
      <c r="O1494" s="8" t="s">
        <v>4714</v>
      </c>
      <c r="P1494" s="8" t="s">
        <v>401</v>
      </c>
      <c r="Q1494" s="12" t="s">
        <v>6994</v>
      </c>
      <c r="R1494" s="8" t="s">
        <v>100</v>
      </c>
      <c r="S1494" s="7" t="s">
        <v>18</v>
      </c>
      <c r="T1494" s="6"/>
      <c r="U1494" s="8"/>
    </row>
    <row r="1495" spans="1:21" ht="13" customHeight="1">
      <c r="A1495" s="8" t="s">
        <v>6997</v>
      </c>
      <c r="B1495" s="16">
        <v>26</v>
      </c>
      <c r="C1495" s="8" t="s">
        <v>20</v>
      </c>
      <c r="D1495" s="8" t="s">
        <v>85</v>
      </c>
      <c r="E1495" s="8" t="s">
        <v>6998</v>
      </c>
      <c r="F1495" s="17">
        <v>41910</v>
      </c>
      <c r="G1495" s="8" t="s">
        <v>6999</v>
      </c>
      <c r="H1495" s="8" t="s">
        <v>3175</v>
      </c>
      <c r="I1495" s="8" t="s">
        <v>73</v>
      </c>
      <c r="J1495" s="16" t="s">
        <v>7000</v>
      </c>
      <c r="K1495" s="2" t="s">
        <v>1154</v>
      </c>
      <c r="L1495" s="8" t="s">
        <v>7001</v>
      </c>
      <c r="M1495" s="8" t="s">
        <v>391</v>
      </c>
      <c r="N1495" s="2" t="s">
        <v>7002</v>
      </c>
      <c r="O1495" s="8" t="s">
        <v>550</v>
      </c>
      <c r="P1495" s="8" t="s">
        <v>401</v>
      </c>
      <c r="Q1495" s="12" t="s">
        <v>21442</v>
      </c>
      <c r="R1495" s="8" t="s">
        <v>100</v>
      </c>
      <c r="S1495" s="7" t="s">
        <v>18</v>
      </c>
      <c r="T1495" s="6"/>
      <c r="U1495" s="8"/>
    </row>
    <row r="1496" spans="1:21" ht="13" customHeight="1">
      <c r="A1496" s="8" t="s">
        <v>7003</v>
      </c>
      <c r="B1496" s="16">
        <v>26</v>
      </c>
      <c r="C1496" s="8" t="s">
        <v>20</v>
      </c>
      <c r="D1496" s="8" t="s">
        <v>30</v>
      </c>
      <c r="F1496" s="17">
        <v>41910</v>
      </c>
      <c r="G1496" s="8" t="s">
        <v>7004</v>
      </c>
      <c r="H1496" s="8" t="s">
        <v>7005</v>
      </c>
      <c r="I1496" s="8" t="s">
        <v>370</v>
      </c>
      <c r="J1496" s="16" t="s">
        <v>7006</v>
      </c>
      <c r="K1496" s="2" t="s">
        <v>5135</v>
      </c>
      <c r="L1496" s="8" t="s">
        <v>7007</v>
      </c>
      <c r="M1496" s="8" t="s">
        <v>379</v>
      </c>
      <c r="N1496" s="2" t="s">
        <v>7008</v>
      </c>
      <c r="O1496" s="8" t="s">
        <v>4714</v>
      </c>
      <c r="P1496" s="8" t="s">
        <v>401</v>
      </c>
      <c r="Q1496" s="12" t="s">
        <v>7009</v>
      </c>
      <c r="R1496" s="8" t="s">
        <v>100</v>
      </c>
      <c r="S1496" s="7" t="s">
        <v>379</v>
      </c>
      <c r="T1496" s="6"/>
      <c r="U1496" s="8"/>
    </row>
    <row r="1497" spans="1:21" ht="13" customHeight="1">
      <c r="A1497" s="8" t="s">
        <v>7010</v>
      </c>
      <c r="B1497" s="16">
        <v>72</v>
      </c>
      <c r="C1497" s="8" t="s">
        <v>114</v>
      </c>
      <c r="D1497" s="8" t="s">
        <v>37</v>
      </c>
      <c r="E1497" s="8" t="s">
        <v>7011</v>
      </c>
      <c r="F1497" s="17">
        <v>41910</v>
      </c>
      <c r="G1497" s="8" t="s">
        <v>7012</v>
      </c>
      <c r="H1497" s="8" t="s">
        <v>681</v>
      </c>
      <c r="I1497" s="8" t="s">
        <v>45</v>
      </c>
      <c r="J1497" s="16" t="s">
        <v>3499</v>
      </c>
      <c r="K1497" s="2" t="s">
        <v>682</v>
      </c>
      <c r="L1497" s="8" t="s">
        <v>750</v>
      </c>
      <c r="M1497" s="8" t="s">
        <v>379</v>
      </c>
      <c r="N1497" s="2" t="s">
        <v>7013</v>
      </c>
      <c r="O1497" s="8" t="s">
        <v>4714</v>
      </c>
      <c r="P1497" s="8" t="s">
        <v>401</v>
      </c>
      <c r="Q1497" s="12" t="s">
        <v>7014</v>
      </c>
      <c r="R1497" s="8" t="s">
        <v>100</v>
      </c>
      <c r="S1497" s="7" t="s">
        <v>18</v>
      </c>
      <c r="T1497" s="6"/>
      <c r="U1497" s="8"/>
    </row>
    <row r="1498" spans="1:21" ht="13" customHeight="1">
      <c r="A1498" s="8" t="s">
        <v>7015</v>
      </c>
      <c r="B1498" s="16">
        <v>38</v>
      </c>
      <c r="C1498" s="8" t="s">
        <v>20</v>
      </c>
      <c r="D1498" s="8" t="s">
        <v>85</v>
      </c>
      <c r="E1498" s="8" t="s">
        <v>7016</v>
      </c>
      <c r="F1498" s="17">
        <v>41909</v>
      </c>
      <c r="G1498" s="8" t="s">
        <v>7017</v>
      </c>
      <c r="H1498" s="8" t="s">
        <v>430</v>
      </c>
      <c r="I1498" s="8" t="s">
        <v>431</v>
      </c>
      <c r="J1498" s="16" t="s">
        <v>7018</v>
      </c>
      <c r="K1498" s="2" t="s">
        <v>433</v>
      </c>
      <c r="L1498" s="8" t="s">
        <v>434</v>
      </c>
      <c r="M1498" s="8" t="s">
        <v>391</v>
      </c>
      <c r="N1498" s="2" t="s">
        <v>7019</v>
      </c>
      <c r="O1498" s="8" t="s">
        <v>1013</v>
      </c>
      <c r="P1498" s="8" t="s">
        <v>401</v>
      </c>
      <c r="Q1498" s="12" t="s">
        <v>7020</v>
      </c>
      <c r="R1498" s="8" t="s">
        <v>967</v>
      </c>
      <c r="S1498" s="7" t="s">
        <v>18</v>
      </c>
      <c r="T1498" s="6"/>
      <c r="U1498" s="8"/>
    </row>
    <row r="1499" spans="1:21" ht="13" customHeight="1">
      <c r="A1499" s="8" t="s">
        <v>3267</v>
      </c>
      <c r="B1499" s="16" t="s">
        <v>29</v>
      </c>
      <c r="C1499" s="8" t="s">
        <v>20</v>
      </c>
      <c r="D1499" s="8" t="s">
        <v>30</v>
      </c>
      <c r="F1499" s="17">
        <v>41909</v>
      </c>
      <c r="G1499" s="8" t="s">
        <v>7021</v>
      </c>
      <c r="H1499" s="8" t="s">
        <v>1227</v>
      </c>
      <c r="I1499" s="8" t="s">
        <v>62</v>
      </c>
      <c r="J1499" s="16" t="s">
        <v>7022</v>
      </c>
      <c r="K1499" s="2" t="s">
        <v>161</v>
      </c>
      <c r="L1499" s="8" t="s">
        <v>7023</v>
      </c>
      <c r="M1499" s="8" t="s">
        <v>27</v>
      </c>
      <c r="N1499" s="2" t="s">
        <v>7024</v>
      </c>
      <c r="O1499" s="8" t="s">
        <v>4714</v>
      </c>
      <c r="P1499" s="8" t="s">
        <v>401</v>
      </c>
      <c r="Q1499" s="12" t="s">
        <v>7025</v>
      </c>
      <c r="R1499" s="8" t="s">
        <v>100</v>
      </c>
      <c r="S1499" s="7" t="s">
        <v>28</v>
      </c>
      <c r="T1499" s="6"/>
      <c r="U1499" s="8"/>
    </row>
    <row r="1500" spans="1:21" ht="13" customHeight="1">
      <c r="A1500" s="8" t="s">
        <v>7026</v>
      </c>
      <c r="B1500" s="16">
        <v>34</v>
      </c>
      <c r="C1500" s="8" t="s">
        <v>20</v>
      </c>
      <c r="D1500" s="8" t="s">
        <v>37</v>
      </c>
      <c r="F1500" s="17">
        <v>41909</v>
      </c>
      <c r="G1500" s="8" t="s">
        <v>7027</v>
      </c>
      <c r="H1500" s="8" t="s">
        <v>403</v>
      </c>
      <c r="I1500" s="8" t="s">
        <v>4399</v>
      </c>
      <c r="J1500" s="16" t="s">
        <v>7028</v>
      </c>
      <c r="K1500" s="2" t="s">
        <v>7029</v>
      </c>
      <c r="L1500" s="8" t="s">
        <v>4402</v>
      </c>
      <c r="M1500" s="8" t="s">
        <v>27</v>
      </c>
      <c r="N1500" s="2" t="s">
        <v>7030</v>
      </c>
      <c r="O1500" s="8" t="s">
        <v>1013</v>
      </c>
      <c r="P1500" s="8" t="s">
        <v>401</v>
      </c>
      <c r="Q1500" s="12" t="s">
        <v>7031</v>
      </c>
      <c r="R1500" s="8" t="s">
        <v>100</v>
      </c>
      <c r="S1500" s="7" t="s">
        <v>28</v>
      </c>
      <c r="T1500" s="6"/>
      <c r="U1500" s="8"/>
    </row>
    <row r="1501" spans="1:21" ht="13" customHeight="1">
      <c r="A1501" s="8" t="s">
        <v>7032</v>
      </c>
      <c r="B1501" s="16">
        <v>18</v>
      </c>
      <c r="C1501" s="8" t="s">
        <v>20</v>
      </c>
      <c r="D1501" s="8" t="s">
        <v>37</v>
      </c>
      <c r="E1501" s="8" t="s">
        <v>7033</v>
      </c>
      <c r="F1501" s="17">
        <v>41909</v>
      </c>
      <c r="G1501" s="8" t="s">
        <v>7034</v>
      </c>
      <c r="H1501" s="8" t="s">
        <v>7035</v>
      </c>
      <c r="I1501" s="8" t="s">
        <v>319</v>
      </c>
      <c r="J1501" s="16" t="s">
        <v>7036</v>
      </c>
      <c r="K1501" s="2" t="s">
        <v>2165</v>
      </c>
      <c r="L1501" s="8" t="s">
        <v>7037</v>
      </c>
      <c r="M1501" s="8" t="s">
        <v>27</v>
      </c>
      <c r="N1501" s="2" t="s">
        <v>7038</v>
      </c>
      <c r="O1501" s="8" t="s">
        <v>400</v>
      </c>
      <c r="P1501" s="8" t="s">
        <v>401</v>
      </c>
      <c r="Q1501" s="12" t="s">
        <v>7039</v>
      </c>
      <c r="R1501" s="8" t="s">
        <v>100</v>
      </c>
      <c r="S1501" s="7" t="s">
        <v>379</v>
      </c>
      <c r="T1501" s="6"/>
      <c r="U1501" s="8"/>
    </row>
    <row r="1502" spans="1:21" ht="13" customHeight="1">
      <c r="A1502" s="8" t="s">
        <v>7040</v>
      </c>
      <c r="B1502" s="16">
        <v>25</v>
      </c>
      <c r="C1502" s="8" t="s">
        <v>20</v>
      </c>
      <c r="D1502" s="8" t="s">
        <v>37</v>
      </c>
      <c r="E1502" s="8" t="s">
        <v>7041</v>
      </c>
      <c r="F1502" s="17">
        <v>41908</v>
      </c>
      <c r="G1502" s="8" t="s">
        <v>7042</v>
      </c>
      <c r="H1502" s="8" t="s">
        <v>7043</v>
      </c>
      <c r="I1502" s="8" t="s">
        <v>69</v>
      </c>
      <c r="J1502" s="16" t="s">
        <v>7044</v>
      </c>
      <c r="K1502" s="2" t="s">
        <v>1265</v>
      </c>
      <c r="L1502" s="8" t="s">
        <v>7045</v>
      </c>
      <c r="M1502" s="8" t="s">
        <v>27</v>
      </c>
      <c r="N1502" s="2" t="s">
        <v>7046</v>
      </c>
      <c r="O1502" s="8" t="s">
        <v>400</v>
      </c>
      <c r="P1502" s="8" t="s">
        <v>401</v>
      </c>
      <c r="Q1502" s="12" t="s">
        <v>7047</v>
      </c>
      <c r="R1502" s="8" t="s">
        <v>100</v>
      </c>
      <c r="S1502" s="7" t="s">
        <v>28</v>
      </c>
      <c r="T1502" s="6"/>
      <c r="U1502" s="8"/>
    </row>
    <row r="1503" spans="1:21" ht="13" customHeight="1">
      <c r="A1503" s="8" t="s">
        <v>7048</v>
      </c>
      <c r="B1503" s="16">
        <v>34</v>
      </c>
      <c r="C1503" s="8" t="s">
        <v>20</v>
      </c>
      <c r="D1503" s="8" t="s">
        <v>37</v>
      </c>
      <c r="F1503" s="17">
        <v>41908</v>
      </c>
      <c r="G1503" s="8" t="s">
        <v>7049</v>
      </c>
      <c r="H1503" s="8" t="s">
        <v>7050</v>
      </c>
      <c r="I1503" s="8" t="s">
        <v>73</v>
      </c>
      <c r="J1503" s="16" t="s">
        <v>7051</v>
      </c>
      <c r="K1503" s="2" t="s">
        <v>7052</v>
      </c>
      <c r="L1503" s="8" t="s">
        <v>7053</v>
      </c>
      <c r="M1503" s="8" t="s">
        <v>27</v>
      </c>
      <c r="N1503" s="2" t="s">
        <v>7054</v>
      </c>
      <c r="O1503" s="8" t="s">
        <v>1013</v>
      </c>
      <c r="P1503" s="8" t="s">
        <v>401</v>
      </c>
      <c r="Q1503" s="12" t="s">
        <v>7055</v>
      </c>
      <c r="R1503" s="8" t="s">
        <v>100</v>
      </c>
      <c r="S1503" s="7" t="s">
        <v>28</v>
      </c>
      <c r="T1503" s="6"/>
      <c r="U1503" s="8"/>
    </row>
    <row r="1504" spans="1:21" ht="13" customHeight="1">
      <c r="A1504" s="8" t="s">
        <v>7056</v>
      </c>
      <c r="B1504" s="16">
        <v>34</v>
      </c>
      <c r="C1504" s="8" t="s">
        <v>20</v>
      </c>
      <c r="D1504" s="8" t="s">
        <v>48</v>
      </c>
      <c r="F1504" s="17">
        <v>41907</v>
      </c>
      <c r="G1504" s="8" t="s">
        <v>7057</v>
      </c>
      <c r="H1504" s="8" t="s">
        <v>948</v>
      </c>
      <c r="I1504" s="8" t="s">
        <v>45</v>
      </c>
      <c r="J1504" s="16" t="s">
        <v>7058</v>
      </c>
      <c r="K1504" s="2" t="s">
        <v>948</v>
      </c>
      <c r="L1504" s="8" t="s">
        <v>949</v>
      </c>
      <c r="M1504" s="8" t="s">
        <v>27</v>
      </c>
      <c r="N1504" s="2" t="s">
        <v>7059</v>
      </c>
      <c r="O1504" s="8" t="s">
        <v>400</v>
      </c>
      <c r="P1504" s="8" t="s">
        <v>401</v>
      </c>
      <c r="Q1504" s="12" t="s">
        <v>7060</v>
      </c>
      <c r="R1504" s="8" t="s">
        <v>100</v>
      </c>
      <c r="S1504" s="7" t="s">
        <v>28</v>
      </c>
      <c r="T1504" s="6"/>
      <c r="U1504" s="8"/>
    </row>
    <row r="1505" spans="1:34" ht="13" customHeight="1">
      <c r="A1505" s="8" t="s">
        <v>7061</v>
      </c>
      <c r="B1505" s="16">
        <v>59</v>
      </c>
      <c r="C1505" s="8" t="s">
        <v>20</v>
      </c>
      <c r="D1505" s="8" t="s">
        <v>37</v>
      </c>
      <c r="E1505" s="8" t="s">
        <v>7062</v>
      </c>
      <c r="F1505" s="17">
        <v>41907</v>
      </c>
      <c r="G1505" s="8" t="s">
        <v>7063</v>
      </c>
      <c r="H1505" s="8" t="s">
        <v>3566</v>
      </c>
      <c r="I1505" s="8" t="s">
        <v>173</v>
      </c>
      <c r="J1505" s="16" t="s">
        <v>7064</v>
      </c>
      <c r="K1505" s="2" t="s">
        <v>7065</v>
      </c>
      <c r="L1505" s="8" t="s">
        <v>7066</v>
      </c>
      <c r="M1505" s="8" t="s">
        <v>27</v>
      </c>
      <c r="N1505" s="2" t="s">
        <v>7067</v>
      </c>
      <c r="O1505" s="8" t="s">
        <v>4714</v>
      </c>
      <c r="P1505" s="8" t="s">
        <v>401</v>
      </c>
      <c r="Q1505" s="12" t="s">
        <v>7068</v>
      </c>
      <c r="R1505" s="8" t="s">
        <v>100</v>
      </c>
      <c r="S1505" s="7" t="s">
        <v>28</v>
      </c>
      <c r="T1505" s="6"/>
      <c r="U1505" s="8"/>
    </row>
    <row r="1506" spans="1:34" ht="13" customHeight="1">
      <c r="A1506" s="8" t="s">
        <v>7069</v>
      </c>
      <c r="B1506" s="16">
        <v>50</v>
      </c>
      <c r="C1506" s="8" t="s">
        <v>20</v>
      </c>
      <c r="D1506" s="8" t="s">
        <v>85</v>
      </c>
      <c r="E1506" s="8" t="s">
        <v>7070</v>
      </c>
      <c r="F1506" s="17">
        <v>41906</v>
      </c>
      <c r="G1506" s="8" t="s">
        <v>7071</v>
      </c>
      <c r="H1506" s="8" t="s">
        <v>7072</v>
      </c>
      <c r="I1506" s="8" t="s">
        <v>25</v>
      </c>
      <c r="J1506" s="16" t="s">
        <v>7073</v>
      </c>
      <c r="K1506" s="2" t="s">
        <v>7074</v>
      </c>
      <c r="L1506" s="8" t="s">
        <v>7075</v>
      </c>
      <c r="M1506" s="8" t="s">
        <v>27</v>
      </c>
      <c r="N1506" s="2" t="s">
        <v>7076</v>
      </c>
      <c r="O1506" s="8" t="s">
        <v>4714</v>
      </c>
      <c r="P1506" s="8" t="s">
        <v>401</v>
      </c>
      <c r="Q1506" s="12" t="s">
        <v>7077</v>
      </c>
      <c r="R1506" s="8" t="s">
        <v>100</v>
      </c>
      <c r="S1506" s="7" t="s">
        <v>28</v>
      </c>
      <c r="T1506" s="6"/>
      <c r="U1506" s="8"/>
    </row>
    <row r="1507" spans="1:34" ht="13" customHeight="1">
      <c r="A1507" s="8" t="s">
        <v>7078</v>
      </c>
      <c r="B1507" s="16">
        <v>25</v>
      </c>
      <c r="C1507" s="8" t="s">
        <v>20</v>
      </c>
      <c r="D1507" s="8" t="s">
        <v>37</v>
      </c>
      <c r="E1507" s="8" t="s">
        <v>7079</v>
      </c>
      <c r="F1507" s="17">
        <v>41906</v>
      </c>
      <c r="G1507" s="8" t="s">
        <v>7080</v>
      </c>
      <c r="H1507" s="8" t="s">
        <v>4381</v>
      </c>
      <c r="I1507" s="8" t="s">
        <v>303</v>
      </c>
      <c r="J1507" s="16" t="s">
        <v>4382</v>
      </c>
      <c r="K1507" s="2" t="s">
        <v>841</v>
      </c>
      <c r="L1507" s="8" t="s">
        <v>4383</v>
      </c>
      <c r="M1507" s="8" t="s">
        <v>27</v>
      </c>
      <c r="N1507" s="2" t="s">
        <v>7081</v>
      </c>
      <c r="O1507" s="8" t="s">
        <v>1013</v>
      </c>
      <c r="P1507" s="8" t="s">
        <v>401</v>
      </c>
      <c r="Q1507" s="12" t="s">
        <v>7082</v>
      </c>
      <c r="R1507" s="8" t="s">
        <v>100</v>
      </c>
      <c r="S1507" s="7" t="s">
        <v>28</v>
      </c>
      <c r="T1507" s="6"/>
      <c r="U1507" s="8"/>
    </row>
    <row r="1508" spans="1:34" ht="13" customHeight="1">
      <c r="A1508" s="8" t="s">
        <v>7083</v>
      </c>
      <c r="B1508" s="16">
        <v>28</v>
      </c>
      <c r="C1508" s="8" t="s">
        <v>20</v>
      </c>
      <c r="D1508" s="8" t="s">
        <v>85</v>
      </c>
      <c r="F1508" s="17">
        <v>41905</v>
      </c>
      <c r="G1508" s="8" t="s">
        <v>7084</v>
      </c>
      <c r="H1508" s="8" t="s">
        <v>893</v>
      </c>
      <c r="I1508" s="8" t="s">
        <v>315</v>
      </c>
      <c r="J1508" s="16" t="s">
        <v>1780</v>
      </c>
      <c r="K1508" s="2" t="s">
        <v>1781</v>
      </c>
      <c r="L1508" s="8" t="s">
        <v>894</v>
      </c>
      <c r="M1508" s="8" t="s">
        <v>27</v>
      </c>
      <c r="N1508" s="2" t="s">
        <v>7085</v>
      </c>
      <c r="O1508" s="8" t="s">
        <v>400</v>
      </c>
      <c r="P1508" s="8" t="s">
        <v>401</v>
      </c>
      <c r="Q1508" s="12" t="s">
        <v>7086</v>
      </c>
      <c r="R1508" s="8" t="s">
        <v>100</v>
      </c>
      <c r="S1508" s="7" t="s">
        <v>28</v>
      </c>
      <c r="T1508" s="6"/>
      <c r="U1508" s="8"/>
    </row>
    <row r="1509" spans="1:34" ht="13" customHeight="1">
      <c r="A1509" s="8" t="s">
        <v>7087</v>
      </c>
      <c r="B1509" s="16">
        <v>14</v>
      </c>
      <c r="C1509" s="8" t="s">
        <v>20</v>
      </c>
      <c r="D1509" s="8" t="s">
        <v>85</v>
      </c>
      <c r="E1509" s="8" t="s">
        <v>7088</v>
      </c>
      <c r="F1509" s="17">
        <v>41905</v>
      </c>
      <c r="G1509" s="8" t="s">
        <v>7089</v>
      </c>
      <c r="H1509" s="8" t="s">
        <v>1004</v>
      </c>
      <c r="I1509" s="8" t="s">
        <v>25</v>
      </c>
      <c r="J1509" s="16" t="s">
        <v>7090</v>
      </c>
      <c r="K1509" s="2" t="s">
        <v>1005</v>
      </c>
      <c r="L1509" s="8" t="s">
        <v>7091</v>
      </c>
      <c r="M1509" s="8" t="s">
        <v>27</v>
      </c>
      <c r="N1509" s="2" t="s">
        <v>21443</v>
      </c>
      <c r="O1509" s="8" t="s">
        <v>550</v>
      </c>
      <c r="P1509" s="8" t="s">
        <v>401</v>
      </c>
      <c r="Q1509" s="12" t="s">
        <v>21444</v>
      </c>
      <c r="R1509" s="8" t="s">
        <v>100</v>
      </c>
      <c r="S1509" s="7" t="s">
        <v>18</v>
      </c>
      <c r="T1509" s="6"/>
      <c r="U1509" s="8"/>
    </row>
    <row r="1510" spans="1:34" ht="13" customHeight="1">
      <c r="A1510" s="8" t="s">
        <v>7121</v>
      </c>
      <c r="B1510" s="16">
        <v>32</v>
      </c>
      <c r="C1510" s="8" t="s">
        <v>20</v>
      </c>
      <c r="D1510" s="8" t="s">
        <v>37</v>
      </c>
      <c r="E1510" s="8" t="s">
        <v>7122</v>
      </c>
      <c r="F1510" s="17">
        <v>41905</v>
      </c>
      <c r="G1510" s="8" t="s">
        <v>7123</v>
      </c>
      <c r="H1510" s="8" t="s">
        <v>7124</v>
      </c>
      <c r="I1510" s="8" t="s">
        <v>217</v>
      </c>
      <c r="J1510" s="16" t="s">
        <v>7125</v>
      </c>
      <c r="K1510" s="2" t="s">
        <v>7124</v>
      </c>
      <c r="L1510" s="8" t="s">
        <v>7126</v>
      </c>
      <c r="M1510" s="8" t="s">
        <v>27</v>
      </c>
      <c r="N1510" s="2" t="s">
        <v>7127</v>
      </c>
      <c r="O1510" s="8" t="s">
        <v>400</v>
      </c>
      <c r="P1510" s="8" t="s">
        <v>401</v>
      </c>
      <c r="Q1510" s="12" t="str">
        <f>HYPERLINK("http://www.elkharttruth.com/news/crime-fire-courts/2014/09/29/Joseph-Adam-Lee-died-from-multiple-gunshot-wounds-shooting-investigation-continues.html","http://www.elkharttruth.com/news/crime-fire-courts/2014/09/29/Joseph-Adam-Lee-died-from-multiple-gunshot-wounds-shooting-investigation-continues.html")</f>
        <v>http://www.elkharttruth.com/news/crime-fire-courts/2014/09/29/Joseph-Adam-Lee-died-from-multiple-gunshot-wounds-shooting-investigation-continues.html</v>
      </c>
      <c r="R1510" s="8" t="s">
        <v>100</v>
      </c>
      <c r="S1510" s="7" t="s">
        <v>28</v>
      </c>
      <c r="T1510" s="6"/>
      <c r="U1510" s="8"/>
    </row>
    <row r="1511" spans="1:34" ht="13" customHeight="1">
      <c r="A1511" s="8" t="s">
        <v>7092</v>
      </c>
      <c r="B1511" s="16">
        <v>54</v>
      </c>
      <c r="C1511" s="8" t="s">
        <v>20</v>
      </c>
      <c r="D1511" s="8" t="s">
        <v>37</v>
      </c>
      <c r="E1511" s="8" t="s">
        <v>7093</v>
      </c>
      <c r="F1511" s="17">
        <v>41905</v>
      </c>
      <c r="G1511" s="8" t="s">
        <v>7094</v>
      </c>
      <c r="H1511" s="8" t="s">
        <v>7095</v>
      </c>
      <c r="I1511" s="8" t="s">
        <v>370</v>
      </c>
      <c r="J1511" s="16" t="s">
        <v>7096</v>
      </c>
      <c r="K1511" s="2" t="s">
        <v>7097</v>
      </c>
      <c r="L1511" s="8" t="s">
        <v>7098</v>
      </c>
      <c r="M1511" s="8" t="s">
        <v>27</v>
      </c>
      <c r="N1511" s="2" t="s">
        <v>7099</v>
      </c>
      <c r="O1511" s="8" t="s">
        <v>400</v>
      </c>
      <c r="P1511" s="8" t="s">
        <v>401</v>
      </c>
      <c r="Q1511" s="12" t="s">
        <v>7100</v>
      </c>
      <c r="R1511" s="8" t="s">
        <v>967</v>
      </c>
      <c r="S1511" s="7" t="s">
        <v>28</v>
      </c>
      <c r="T1511" s="6"/>
      <c r="U1511" s="8"/>
    </row>
    <row r="1512" spans="1:34" ht="13" customHeight="1">
      <c r="A1512" s="8" t="s">
        <v>7113</v>
      </c>
      <c r="B1512" s="16">
        <v>57</v>
      </c>
      <c r="C1512" s="8" t="s">
        <v>20</v>
      </c>
      <c r="D1512" s="8" t="s">
        <v>37</v>
      </c>
      <c r="E1512" s="8" t="s">
        <v>7114</v>
      </c>
      <c r="F1512" s="17">
        <v>41905</v>
      </c>
      <c r="G1512" s="8" t="s">
        <v>7115</v>
      </c>
      <c r="H1512" s="8" t="s">
        <v>7116</v>
      </c>
      <c r="I1512" s="8" t="s">
        <v>32</v>
      </c>
      <c r="J1512" s="16" t="s">
        <v>7117</v>
      </c>
      <c r="K1512" s="2" t="s">
        <v>5365</v>
      </c>
      <c r="L1512" s="8" t="s">
        <v>7118</v>
      </c>
      <c r="M1512" s="8" t="s">
        <v>27</v>
      </c>
      <c r="N1512" s="2" t="s">
        <v>7119</v>
      </c>
      <c r="O1512" s="8" t="s">
        <v>4714</v>
      </c>
      <c r="P1512" s="8" t="s">
        <v>401</v>
      </c>
      <c r="Q1512" s="12" t="s">
        <v>7120</v>
      </c>
      <c r="R1512" s="8" t="s">
        <v>555</v>
      </c>
      <c r="S1512" s="7" t="s">
        <v>28</v>
      </c>
      <c r="T1512" s="6"/>
      <c r="U1512" s="8"/>
    </row>
    <row r="1513" spans="1:34" ht="13" customHeight="1">
      <c r="A1513" s="8" t="s">
        <v>7107</v>
      </c>
      <c r="B1513" s="16">
        <v>23</v>
      </c>
      <c r="C1513" s="8" t="s">
        <v>20</v>
      </c>
      <c r="D1513" s="8" t="s">
        <v>37</v>
      </c>
      <c r="E1513" s="8" t="s">
        <v>7108</v>
      </c>
      <c r="F1513" s="17">
        <v>41905</v>
      </c>
      <c r="G1513" s="8" t="s">
        <v>7109</v>
      </c>
      <c r="H1513" s="8" t="s">
        <v>285</v>
      </c>
      <c r="I1513" s="8" t="s">
        <v>73</v>
      </c>
      <c r="J1513" s="16" t="s">
        <v>7110</v>
      </c>
      <c r="K1513" s="2" t="s">
        <v>285</v>
      </c>
      <c r="L1513" s="8" t="s">
        <v>7111</v>
      </c>
      <c r="M1513" s="8" t="s">
        <v>5665</v>
      </c>
      <c r="N1513" s="2" t="s">
        <v>7112</v>
      </c>
      <c r="O1513" s="8" t="s">
        <v>1013</v>
      </c>
      <c r="P1513" s="8" t="s">
        <v>401</v>
      </c>
      <c r="Q1513" s="12" t="str">
        <f>HYPERLINK("http://www.wfaa.com/story/news/crime/2014/09/23/man-death-police-custody-pepper-spray-dallas-university-park-police/16100715/","http://www.wfaa.com/story/news/crime/2014/09/23/man-death-police-custody-pepper-spray-dallas-university-park-police/16100715/")</f>
        <v>http://www.wfaa.com/story/news/crime/2014/09/23/man-death-police-custody-pepper-spray-dallas-university-park-police/16100715/</v>
      </c>
      <c r="R1513" s="8" t="s">
        <v>100</v>
      </c>
      <c r="S1513" s="7" t="s">
        <v>18</v>
      </c>
      <c r="T1513" s="6"/>
      <c r="U1513" s="8"/>
    </row>
    <row r="1514" spans="1:34" ht="13" customHeight="1">
      <c r="A1514" s="8" t="s">
        <v>7101</v>
      </c>
      <c r="B1514" s="16">
        <v>39</v>
      </c>
      <c r="C1514" s="8" t="s">
        <v>20</v>
      </c>
      <c r="D1514" s="8" t="s">
        <v>37</v>
      </c>
      <c r="E1514" s="8" t="s">
        <v>7102</v>
      </c>
      <c r="F1514" s="17">
        <v>41905</v>
      </c>
      <c r="G1514" s="8" t="s">
        <v>7103</v>
      </c>
      <c r="H1514" s="8" t="s">
        <v>7104</v>
      </c>
      <c r="I1514" s="8" t="s">
        <v>671</v>
      </c>
      <c r="J1514" s="16">
        <v>39652</v>
      </c>
      <c r="K1514" s="2" t="s">
        <v>3238</v>
      </c>
      <c r="L1514" s="8" t="s">
        <v>3239</v>
      </c>
      <c r="M1514" s="8" t="s">
        <v>29</v>
      </c>
      <c r="N1514" s="2" t="s">
        <v>7105</v>
      </c>
      <c r="P1514" s="8" t="s">
        <v>401</v>
      </c>
      <c r="Q1514" s="12" t="s">
        <v>7106</v>
      </c>
      <c r="S1514" s="7" t="s">
        <v>28</v>
      </c>
      <c r="T1514" s="6"/>
      <c r="U1514" s="8"/>
    </row>
    <row r="1515" spans="1:34" ht="13" customHeight="1">
      <c r="A1515" s="8" t="s">
        <v>7128</v>
      </c>
      <c r="B1515" s="16">
        <v>36</v>
      </c>
      <c r="C1515" s="8" t="s">
        <v>20</v>
      </c>
      <c r="D1515" s="8" t="s">
        <v>48</v>
      </c>
      <c r="E1515" s="8" t="s">
        <v>7129</v>
      </c>
      <c r="F1515" s="17">
        <v>41904</v>
      </c>
      <c r="G1515" s="8" t="s">
        <v>7130</v>
      </c>
      <c r="H1515" s="8" t="s">
        <v>200</v>
      </c>
      <c r="I1515" s="8" t="s">
        <v>45</v>
      </c>
      <c r="J1515" s="16" t="s">
        <v>7131</v>
      </c>
      <c r="K1515" s="2" t="s">
        <v>200</v>
      </c>
      <c r="L1515" s="8" t="s">
        <v>201</v>
      </c>
      <c r="M1515" s="8" t="s">
        <v>27</v>
      </c>
      <c r="N1515" s="2" t="s">
        <v>7132</v>
      </c>
      <c r="O1515" s="8" t="s">
        <v>550</v>
      </c>
      <c r="P1515" s="8" t="s">
        <v>401</v>
      </c>
      <c r="Q1515" s="12" t="s">
        <v>7133</v>
      </c>
      <c r="R1515" s="8" t="s">
        <v>555</v>
      </c>
      <c r="S1515" s="7" t="s">
        <v>28</v>
      </c>
      <c r="T1515" s="6"/>
      <c r="U1515" s="8"/>
    </row>
    <row r="1516" spans="1:34" ht="13" customHeight="1">
      <c r="A1516" s="8" t="s">
        <v>7134</v>
      </c>
      <c r="B1516" s="16">
        <v>39</v>
      </c>
      <c r="C1516" s="8" t="s">
        <v>20</v>
      </c>
      <c r="D1516" s="8" t="s">
        <v>37</v>
      </c>
      <c r="E1516" s="8" t="s">
        <v>7135</v>
      </c>
      <c r="F1516" s="17">
        <v>41904</v>
      </c>
      <c r="G1516" s="8" t="s">
        <v>7136</v>
      </c>
      <c r="H1516" s="8" t="s">
        <v>2598</v>
      </c>
      <c r="I1516" s="8" t="s">
        <v>69</v>
      </c>
      <c r="J1516" s="16" t="s">
        <v>7137</v>
      </c>
      <c r="K1516" s="2" t="s">
        <v>2599</v>
      </c>
      <c r="L1516" s="8" t="s">
        <v>2600</v>
      </c>
      <c r="M1516" s="8" t="s">
        <v>27</v>
      </c>
      <c r="N1516" s="2" t="s">
        <v>7138</v>
      </c>
      <c r="O1516" s="8" t="s">
        <v>550</v>
      </c>
      <c r="P1516" s="8" t="s">
        <v>401</v>
      </c>
      <c r="Q1516" s="12" t="s">
        <v>7139</v>
      </c>
      <c r="R1516" s="8" t="s">
        <v>100</v>
      </c>
      <c r="S1516" s="7" t="s">
        <v>35</v>
      </c>
      <c r="T1516" s="6"/>
      <c r="U1516" s="8"/>
    </row>
    <row r="1517" spans="1:34" ht="13" customHeight="1">
      <c r="A1517" s="8" t="s">
        <v>7140</v>
      </c>
      <c r="B1517" s="16">
        <v>29</v>
      </c>
      <c r="C1517" s="8" t="s">
        <v>20</v>
      </c>
      <c r="D1517" s="8" t="s">
        <v>48</v>
      </c>
      <c r="F1517" s="17">
        <v>41903</v>
      </c>
      <c r="G1517" s="8" t="s">
        <v>7141</v>
      </c>
      <c r="H1517" s="8" t="s">
        <v>2053</v>
      </c>
      <c r="I1517" s="8" t="s">
        <v>117</v>
      </c>
      <c r="J1517" s="16" t="s">
        <v>7142</v>
      </c>
      <c r="K1517" s="2" t="s">
        <v>1541</v>
      </c>
      <c r="L1517" s="8" t="s">
        <v>7143</v>
      </c>
      <c r="M1517" s="8" t="s">
        <v>27</v>
      </c>
      <c r="N1517" s="2" t="s">
        <v>7144</v>
      </c>
      <c r="O1517" s="8" t="s">
        <v>1013</v>
      </c>
      <c r="P1517" s="8" t="s">
        <v>401</v>
      </c>
      <c r="Q1517" s="12" t="s">
        <v>7145</v>
      </c>
      <c r="R1517" s="8" t="s">
        <v>100</v>
      </c>
      <c r="S1517" s="7" t="s">
        <v>28</v>
      </c>
      <c r="T1517" s="6"/>
      <c r="U1517" s="8"/>
    </row>
    <row r="1518" spans="1:34" ht="13" customHeight="1">
      <c r="A1518" s="8" t="s">
        <v>7146</v>
      </c>
      <c r="B1518" s="16">
        <v>43</v>
      </c>
      <c r="C1518" s="8" t="s">
        <v>20</v>
      </c>
      <c r="D1518" s="8" t="s">
        <v>37</v>
      </c>
      <c r="F1518" s="17">
        <v>41903</v>
      </c>
      <c r="G1518" s="8" t="s">
        <v>7147</v>
      </c>
      <c r="H1518" s="8" t="s">
        <v>1882</v>
      </c>
      <c r="I1518" s="8" t="s">
        <v>45</v>
      </c>
      <c r="J1518" s="16" t="s">
        <v>7148</v>
      </c>
      <c r="K1518" s="2" t="s">
        <v>1064</v>
      </c>
      <c r="L1518" s="8" t="s">
        <v>1884</v>
      </c>
      <c r="M1518" s="8" t="s">
        <v>27</v>
      </c>
      <c r="N1518" s="2" t="s">
        <v>7149</v>
      </c>
      <c r="O1518" s="8" t="s">
        <v>1013</v>
      </c>
      <c r="P1518" s="8" t="s">
        <v>401</v>
      </c>
      <c r="Q1518" s="12" t="s">
        <v>7150</v>
      </c>
      <c r="R1518" s="8" t="s">
        <v>100</v>
      </c>
      <c r="S1518" s="7" t="s">
        <v>28</v>
      </c>
      <c r="T1518" s="6"/>
      <c r="U1518" s="8"/>
      <c r="Y1518" s="8"/>
      <c r="Z1518" s="8"/>
      <c r="AA1518" s="8"/>
      <c r="AB1518" s="8"/>
      <c r="AC1518" s="8"/>
      <c r="AD1518" s="8"/>
      <c r="AE1518" s="8"/>
      <c r="AF1518" s="8"/>
      <c r="AG1518" s="8"/>
      <c r="AH1518" s="8"/>
    </row>
    <row r="1519" spans="1:34" ht="13" customHeight="1">
      <c r="A1519" s="8" t="s">
        <v>7159</v>
      </c>
      <c r="B1519" s="16">
        <v>49</v>
      </c>
      <c r="C1519" s="8" t="s">
        <v>114</v>
      </c>
      <c r="D1519" s="8" t="s">
        <v>37</v>
      </c>
      <c r="E1519" s="8" t="s">
        <v>7160</v>
      </c>
      <c r="F1519" s="17">
        <v>41902</v>
      </c>
      <c r="G1519" s="8" t="s">
        <v>7161</v>
      </c>
      <c r="H1519" s="8" t="s">
        <v>7162</v>
      </c>
      <c r="I1519" s="8" t="s">
        <v>62</v>
      </c>
      <c r="J1519" s="16" t="s">
        <v>7163</v>
      </c>
      <c r="K1519" s="2" t="s">
        <v>6026</v>
      </c>
      <c r="L1519" s="8" t="s">
        <v>6027</v>
      </c>
      <c r="M1519" s="8" t="s">
        <v>27</v>
      </c>
      <c r="N1519" s="2" t="s">
        <v>7164</v>
      </c>
      <c r="O1519" s="8" t="s">
        <v>4714</v>
      </c>
      <c r="P1519" s="8" t="s">
        <v>401</v>
      </c>
      <c r="Q1519" s="12" t="s">
        <v>7165</v>
      </c>
      <c r="R1519" s="8" t="s">
        <v>555</v>
      </c>
      <c r="S1519" s="7" t="s">
        <v>28</v>
      </c>
      <c r="T1519" s="6"/>
      <c r="U1519" s="8"/>
    </row>
    <row r="1520" spans="1:34" ht="13" customHeight="1">
      <c r="A1520" s="8" t="s">
        <v>7166</v>
      </c>
      <c r="B1520" s="16">
        <v>52</v>
      </c>
      <c r="C1520" s="8" t="s">
        <v>20</v>
      </c>
      <c r="D1520" s="8" t="s">
        <v>37</v>
      </c>
      <c r="E1520" s="8" t="s">
        <v>7167</v>
      </c>
      <c r="F1520" s="17">
        <v>41902</v>
      </c>
      <c r="G1520" s="8" t="s">
        <v>7168</v>
      </c>
      <c r="H1520" s="8" t="s">
        <v>7169</v>
      </c>
      <c r="I1520" s="8" t="s">
        <v>62</v>
      </c>
      <c r="J1520" s="16" t="s">
        <v>7170</v>
      </c>
      <c r="K1520" s="2" t="s">
        <v>3916</v>
      </c>
      <c r="L1520" s="8" t="s">
        <v>261</v>
      </c>
      <c r="M1520" s="8" t="s">
        <v>27</v>
      </c>
      <c r="N1520" s="2" t="s">
        <v>7171</v>
      </c>
      <c r="O1520" s="8" t="s">
        <v>1013</v>
      </c>
      <c r="P1520" s="8" t="s">
        <v>401</v>
      </c>
      <c r="Q1520" s="12" t="s">
        <v>7172</v>
      </c>
      <c r="R1520" s="8" t="s">
        <v>100</v>
      </c>
      <c r="S1520" s="7" t="s">
        <v>28</v>
      </c>
      <c r="T1520" s="6"/>
      <c r="U1520" s="8"/>
    </row>
    <row r="1521" spans="1:39" ht="13" customHeight="1">
      <c r="A1521" s="8" t="s">
        <v>7151</v>
      </c>
      <c r="B1521" s="16">
        <v>43</v>
      </c>
      <c r="C1521" s="8" t="s">
        <v>20</v>
      </c>
      <c r="D1521" s="8" t="s">
        <v>37</v>
      </c>
      <c r="F1521" s="17">
        <v>41902</v>
      </c>
      <c r="G1521" s="8" t="s">
        <v>7152</v>
      </c>
      <c r="H1521" s="8" t="s">
        <v>7153</v>
      </c>
      <c r="I1521" s="8" t="s">
        <v>423</v>
      </c>
      <c r="J1521" s="16" t="s">
        <v>7154</v>
      </c>
      <c r="K1521" s="2" t="s">
        <v>7155</v>
      </c>
      <c r="L1521" s="8" t="s">
        <v>7156</v>
      </c>
      <c r="M1521" s="8" t="s">
        <v>391</v>
      </c>
      <c r="N1521" s="2" t="s">
        <v>7157</v>
      </c>
      <c r="O1521" s="8" t="s">
        <v>1013</v>
      </c>
      <c r="P1521" s="8" t="s">
        <v>401</v>
      </c>
      <c r="Q1521" s="12" t="s">
        <v>7158</v>
      </c>
      <c r="R1521" s="8" t="s">
        <v>29</v>
      </c>
      <c r="S1521" s="7" t="s">
        <v>18</v>
      </c>
      <c r="T1521" s="6"/>
      <c r="U1521" s="8"/>
    </row>
    <row r="1522" spans="1:39" ht="13" customHeight="1">
      <c r="A1522" s="8" t="s">
        <v>788</v>
      </c>
      <c r="B1522" s="16">
        <v>33</v>
      </c>
      <c r="C1522" s="8" t="s">
        <v>20</v>
      </c>
      <c r="D1522" s="8" t="s">
        <v>21</v>
      </c>
      <c r="E1522" s="8" t="s">
        <v>7173</v>
      </c>
      <c r="F1522" s="17">
        <v>41901</v>
      </c>
      <c r="G1522" s="8" t="s">
        <v>7174</v>
      </c>
      <c r="H1522" s="8" t="s">
        <v>974</v>
      </c>
      <c r="I1522" s="8" t="s">
        <v>195</v>
      </c>
      <c r="J1522" s="16" t="s">
        <v>7175</v>
      </c>
      <c r="K1522" s="2" t="s">
        <v>6450</v>
      </c>
      <c r="L1522" s="8" t="s">
        <v>7176</v>
      </c>
      <c r="M1522" s="8" t="s">
        <v>27</v>
      </c>
      <c r="N1522" s="2" t="s">
        <v>7177</v>
      </c>
      <c r="O1522" s="8" t="s">
        <v>1013</v>
      </c>
      <c r="P1522" s="8" t="s">
        <v>401</v>
      </c>
      <c r="Q1522" s="12"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1522" s="8" t="s">
        <v>100</v>
      </c>
      <c r="S1522" s="7" t="s">
        <v>28</v>
      </c>
      <c r="T1522" s="6"/>
      <c r="U1522" s="8"/>
      <c r="AI1522" s="8"/>
      <c r="AJ1522" s="8"/>
      <c r="AK1522" s="8"/>
      <c r="AL1522" s="8"/>
      <c r="AM1522" s="8"/>
    </row>
    <row r="1523" spans="1:39" ht="13" customHeight="1">
      <c r="A1523" s="8" t="s">
        <v>7178</v>
      </c>
      <c r="B1523" s="16">
        <v>66</v>
      </c>
      <c r="C1523" s="8" t="s">
        <v>20</v>
      </c>
      <c r="D1523" s="8" t="s">
        <v>30</v>
      </c>
      <c r="F1523" s="17">
        <v>41901</v>
      </c>
      <c r="G1523" s="8" t="s">
        <v>7179</v>
      </c>
      <c r="H1523" s="8" t="s">
        <v>7180</v>
      </c>
      <c r="I1523" s="8" t="s">
        <v>123</v>
      </c>
      <c r="J1523" s="16" t="s">
        <v>7181</v>
      </c>
      <c r="K1523" s="2" t="s">
        <v>7182</v>
      </c>
      <c r="L1523" s="8" t="s">
        <v>7183</v>
      </c>
      <c r="M1523" s="8" t="s">
        <v>27</v>
      </c>
      <c r="N1523" s="2" t="s">
        <v>7184</v>
      </c>
      <c r="O1523" s="8" t="s">
        <v>1013</v>
      </c>
      <c r="P1523" s="8" t="s">
        <v>401</v>
      </c>
      <c r="Q1523" s="12" t="s">
        <v>7185</v>
      </c>
      <c r="R1523" s="8" t="s">
        <v>100</v>
      </c>
      <c r="S1523" s="7" t="s">
        <v>28</v>
      </c>
      <c r="T1523" s="6"/>
      <c r="U1523" s="8"/>
    </row>
    <row r="1524" spans="1:39" ht="13" customHeight="1">
      <c r="A1524" s="8" t="s">
        <v>7186</v>
      </c>
      <c r="B1524" s="16">
        <v>18</v>
      </c>
      <c r="C1524" s="8" t="s">
        <v>20</v>
      </c>
      <c r="D1524" s="8" t="s">
        <v>37</v>
      </c>
      <c r="F1524" s="17">
        <v>41901</v>
      </c>
      <c r="G1524" s="8" t="s">
        <v>7187</v>
      </c>
      <c r="H1524" s="8" t="s">
        <v>7188</v>
      </c>
      <c r="I1524" s="8" t="s">
        <v>173</v>
      </c>
      <c r="J1524" s="16" t="s">
        <v>7189</v>
      </c>
      <c r="K1524" s="2" t="s">
        <v>1867</v>
      </c>
      <c r="L1524" s="8" t="s">
        <v>7190</v>
      </c>
      <c r="M1524" s="8" t="s">
        <v>27</v>
      </c>
      <c r="N1524" s="2" t="s">
        <v>7191</v>
      </c>
      <c r="O1524" s="8" t="s">
        <v>1013</v>
      </c>
      <c r="P1524" s="8" t="s">
        <v>401</v>
      </c>
      <c r="Q1524" s="12" t="str">
        <f>HYPERLINK("http://www.northwestgeorgianews.com/polkfishwrap/news/local/authorities--year-old-levi-weaver-shot-killed-by-polk/article_b26d6dba-408c-11e4-ba96-0017a43b2370.html","http://www.northwestgeorgianews.com/polkfishwrap/news/local/authorities--year-old-levi-weaver-shot-killed-by-polk/article_b26d6dba-408c-11e4-ba96-0017a43b2370.html")</f>
        <v>http://www.northwestgeorgianews.com/polkfishwrap/news/local/authorities--year-old-levi-weaver-shot-killed-by-polk/article_b26d6dba-408c-11e4-ba96-0017a43b2370.html</v>
      </c>
      <c r="R1524" s="8" t="s">
        <v>29</v>
      </c>
      <c r="S1524" s="7" t="s">
        <v>28</v>
      </c>
      <c r="T1524" s="6"/>
      <c r="U1524" s="8"/>
    </row>
    <row r="1525" spans="1:39" ht="13" customHeight="1">
      <c r="A1525" s="8" t="s">
        <v>7192</v>
      </c>
      <c r="B1525" s="16">
        <v>49</v>
      </c>
      <c r="C1525" s="8" t="s">
        <v>20</v>
      </c>
      <c r="D1525" s="8" t="s">
        <v>37</v>
      </c>
      <c r="E1525" s="8" t="s">
        <v>7193</v>
      </c>
      <c r="F1525" s="17">
        <v>41901</v>
      </c>
      <c r="G1525" s="8" t="s">
        <v>7194</v>
      </c>
      <c r="H1525" s="8" t="s">
        <v>7195</v>
      </c>
      <c r="I1525" s="8" t="s">
        <v>133</v>
      </c>
      <c r="J1525" s="16">
        <v>55811</v>
      </c>
      <c r="K1525" s="2" t="s">
        <v>712</v>
      </c>
      <c r="L1525" s="8" t="s">
        <v>7196</v>
      </c>
      <c r="M1525" s="8" t="s">
        <v>391</v>
      </c>
      <c r="N1525" s="2" t="s">
        <v>7197</v>
      </c>
      <c r="P1525" s="8" t="s">
        <v>401</v>
      </c>
      <c r="Q1525" s="12" t="str">
        <f>HYPERLINK("http://www.twincities.com/localnews/ci_26675527/hermantown-man-dies-after-police-use-taser","http://www.twincities.com/localnews/ci_26675527/hermantown-man-dies-after-police-use-taser")</f>
        <v>http://www.twincities.com/localnews/ci_26675527/hermantown-man-dies-after-police-use-taser</v>
      </c>
      <c r="R1525" s="8" t="s">
        <v>555</v>
      </c>
      <c r="S1525" s="7" t="s">
        <v>35</v>
      </c>
      <c r="T1525" s="6"/>
      <c r="U1525" s="8"/>
    </row>
    <row r="1526" spans="1:39" ht="13" customHeight="1">
      <c r="A1526" s="8" t="s">
        <v>7198</v>
      </c>
      <c r="B1526" s="16">
        <v>42</v>
      </c>
      <c r="C1526" s="8" t="s">
        <v>20</v>
      </c>
      <c r="D1526" s="8" t="s">
        <v>85</v>
      </c>
      <c r="E1526" s="8" t="s">
        <v>7199</v>
      </c>
      <c r="F1526" s="17">
        <v>41900</v>
      </c>
      <c r="G1526" s="8" t="s">
        <v>7200</v>
      </c>
      <c r="H1526" s="8" t="s">
        <v>2809</v>
      </c>
      <c r="I1526" s="8" t="s">
        <v>431</v>
      </c>
      <c r="J1526" s="16" t="s">
        <v>2810</v>
      </c>
      <c r="K1526" s="2" t="s">
        <v>712</v>
      </c>
      <c r="L1526" s="8" t="s">
        <v>7201</v>
      </c>
      <c r="M1526" s="8" t="s">
        <v>27</v>
      </c>
      <c r="N1526" s="2" t="s">
        <v>7202</v>
      </c>
      <c r="O1526" s="8" t="s">
        <v>4714</v>
      </c>
      <c r="P1526" s="8" t="s">
        <v>401</v>
      </c>
      <c r="Q1526" s="12" t="s">
        <v>7203</v>
      </c>
      <c r="R1526" s="8" t="s">
        <v>100</v>
      </c>
      <c r="S1526" s="7" t="s">
        <v>28</v>
      </c>
      <c r="T1526" s="6"/>
      <c r="U1526" s="8"/>
    </row>
    <row r="1527" spans="1:39" ht="13" customHeight="1">
      <c r="A1527" s="8" t="s">
        <v>7204</v>
      </c>
      <c r="B1527" s="16">
        <v>29</v>
      </c>
      <c r="C1527" s="8" t="s">
        <v>20</v>
      </c>
      <c r="D1527" s="8" t="s">
        <v>85</v>
      </c>
      <c r="E1527" s="8" t="s">
        <v>7205</v>
      </c>
      <c r="F1527" s="17">
        <v>41900</v>
      </c>
      <c r="G1527" s="8" t="s">
        <v>7206</v>
      </c>
      <c r="H1527" s="8" t="s">
        <v>5194</v>
      </c>
      <c r="I1527" s="8" t="s">
        <v>173</v>
      </c>
      <c r="J1527" s="16" t="s">
        <v>7207</v>
      </c>
      <c r="K1527" s="2" t="s">
        <v>3758</v>
      </c>
      <c r="L1527" s="8" t="s">
        <v>7208</v>
      </c>
      <c r="M1527" s="8" t="s">
        <v>27</v>
      </c>
      <c r="N1527" s="2" t="s">
        <v>7209</v>
      </c>
      <c r="O1527" s="8" t="s">
        <v>400</v>
      </c>
      <c r="P1527" s="8" t="s">
        <v>401</v>
      </c>
      <c r="Q1527" s="12" t="str">
        <f>HYPERLINK("http://www.ajc.com/news/news/man-fatally-shot-by-police-on-savannah-street/nhP97/","http://www.ajc.com/news/news/man-fatally-shot-by-police-on-savannah-street/nhP97/")</f>
        <v>http://www.ajc.com/news/news/man-fatally-shot-by-police-on-savannah-street/nhP97/</v>
      </c>
      <c r="R1527" s="8" t="s">
        <v>29</v>
      </c>
      <c r="S1527" s="7" t="s">
        <v>35</v>
      </c>
      <c r="T1527" s="6"/>
      <c r="U1527" s="8"/>
    </row>
    <row r="1528" spans="1:39" ht="13" customHeight="1">
      <c r="A1528" s="8" t="s">
        <v>7210</v>
      </c>
      <c r="B1528" s="16">
        <v>40</v>
      </c>
      <c r="C1528" s="8" t="s">
        <v>20</v>
      </c>
      <c r="D1528" s="8" t="s">
        <v>37</v>
      </c>
      <c r="E1528" s="8" t="s">
        <v>7211</v>
      </c>
      <c r="F1528" s="17">
        <v>41900</v>
      </c>
      <c r="G1528" s="8" t="s">
        <v>7212</v>
      </c>
      <c r="H1528" s="8" t="s">
        <v>7213</v>
      </c>
      <c r="I1528" s="8" t="s">
        <v>319</v>
      </c>
      <c r="J1528" s="16" t="s">
        <v>7214</v>
      </c>
      <c r="K1528" s="2" t="s">
        <v>7215</v>
      </c>
      <c r="L1528" s="8" t="s">
        <v>7216</v>
      </c>
      <c r="M1528" s="8" t="s">
        <v>27</v>
      </c>
      <c r="N1528" s="2" t="s">
        <v>7217</v>
      </c>
      <c r="O1528" s="8" t="s">
        <v>4714</v>
      </c>
      <c r="P1528" s="8" t="s">
        <v>401</v>
      </c>
      <c r="Q1528" s="12" t="s">
        <v>7218</v>
      </c>
      <c r="R1528" s="8" t="s">
        <v>100</v>
      </c>
      <c r="S1528" s="7" t="s">
        <v>28</v>
      </c>
      <c r="T1528" s="6"/>
      <c r="U1528" s="8"/>
    </row>
    <row r="1529" spans="1:39" ht="13" customHeight="1">
      <c r="A1529" s="8" t="s">
        <v>7225</v>
      </c>
      <c r="B1529" s="16">
        <v>22</v>
      </c>
      <c r="C1529" s="8" t="s">
        <v>20</v>
      </c>
      <c r="D1529" s="8" t="s">
        <v>37</v>
      </c>
      <c r="E1529" s="8" t="s">
        <v>7226</v>
      </c>
      <c r="F1529" s="17">
        <v>41899</v>
      </c>
      <c r="G1529" s="8" t="s">
        <v>7227</v>
      </c>
      <c r="H1529" s="8" t="s">
        <v>7228</v>
      </c>
      <c r="I1529" s="8" t="s">
        <v>45</v>
      </c>
      <c r="J1529" s="16" t="s">
        <v>7229</v>
      </c>
      <c r="K1529" s="2" t="s">
        <v>5446</v>
      </c>
      <c r="L1529" s="8" t="s">
        <v>7230</v>
      </c>
      <c r="M1529" s="8" t="s">
        <v>27</v>
      </c>
      <c r="N1529" s="2" t="s">
        <v>7231</v>
      </c>
      <c r="O1529" s="8" t="s">
        <v>400</v>
      </c>
      <c r="P1529" s="8" t="s">
        <v>401</v>
      </c>
      <c r="Q1529" s="12" t="s">
        <v>7232</v>
      </c>
      <c r="R1529" s="8" t="s">
        <v>100</v>
      </c>
      <c r="S1529" s="7" t="s">
        <v>28</v>
      </c>
      <c r="T1529" s="6"/>
      <c r="U1529" s="8"/>
    </row>
    <row r="1530" spans="1:39" ht="13" customHeight="1">
      <c r="A1530" s="8" t="s">
        <v>7219</v>
      </c>
      <c r="B1530" s="16">
        <v>41</v>
      </c>
      <c r="C1530" s="8" t="s">
        <v>20</v>
      </c>
      <c r="D1530" s="8" t="s">
        <v>37</v>
      </c>
      <c r="E1530" s="8" t="s">
        <v>7220</v>
      </c>
      <c r="F1530" s="17">
        <v>41899</v>
      </c>
      <c r="G1530" s="8" t="s">
        <v>7221</v>
      </c>
      <c r="H1530" s="8" t="s">
        <v>1865</v>
      </c>
      <c r="I1530" s="8" t="s">
        <v>370</v>
      </c>
      <c r="J1530" s="16" t="s">
        <v>7222</v>
      </c>
      <c r="K1530" s="2" t="s">
        <v>1867</v>
      </c>
      <c r="L1530" s="8" t="s">
        <v>1868</v>
      </c>
      <c r="M1530" s="8" t="s">
        <v>27</v>
      </c>
      <c r="N1530" s="2" t="s">
        <v>7223</v>
      </c>
      <c r="O1530" s="8" t="s">
        <v>4714</v>
      </c>
      <c r="P1530" s="8" t="s">
        <v>401</v>
      </c>
      <c r="Q1530" s="12" t="s">
        <v>7224</v>
      </c>
      <c r="R1530" s="8" t="s">
        <v>100</v>
      </c>
      <c r="S1530" s="7" t="s">
        <v>28</v>
      </c>
      <c r="T1530" s="6"/>
      <c r="U1530" s="8"/>
    </row>
    <row r="1531" spans="1:39" ht="13" customHeight="1">
      <c r="A1531" s="8" t="s">
        <v>7233</v>
      </c>
      <c r="B1531" s="16">
        <v>23</v>
      </c>
      <c r="C1531" s="8" t="s">
        <v>20</v>
      </c>
      <c r="D1531" s="8" t="s">
        <v>85</v>
      </c>
      <c r="E1531" s="8" t="s">
        <v>7234</v>
      </c>
      <c r="F1531" s="17">
        <v>41898</v>
      </c>
      <c r="G1531" s="8" t="s">
        <v>7235</v>
      </c>
      <c r="H1531" s="8" t="s">
        <v>7236</v>
      </c>
      <c r="I1531" s="8" t="s">
        <v>81</v>
      </c>
      <c r="J1531" s="16" t="s">
        <v>7237</v>
      </c>
      <c r="K1531" s="2" t="s">
        <v>1836</v>
      </c>
      <c r="L1531" s="8" t="s">
        <v>7238</v>
      </c>
      <c r="M1531" s="8" t="s">
        <v>27</v>
      </c>
      <c r="N1531" s="2" t="s">
        <v>7239</v>
      </c>
      <c r="O1531" s="8" t="s">
        <v>4714</v>
      </c>
      <c r="P1531" s="8" t="s">
        <v>401</v>
      </c>
      <c r="Q1531" s="12" t="s">
        <v>7240</v>
      </c>
      <c r="R1531" s="8" t="s">
        <v>100</v>
      </c>
      <c r="S1531" s="7" t="s">
        <v>28</v>
      </c>
      <c r="T1531" s="6"/>
      <c r="U1531" s="8"/>
    </row>
    <row r="1532" spans="1:39" ht="13" customHeight="1">
      <c r="A1532" s="8" t="s">
        <v>7241</v>
      </c>
      <c r="B1532" s="16">
        <v>21</v>
      </c>
      <c r="C1532" s="8" t="s">
        <v>20</v>
      </c>
      <c r="D1532" s="8" t="s">
        <v>48</v>
      </c>
      <c r="E1532" s="8" t="s">
        <v>7242</v>
      </c>
      <c r="F1532" s="17">
        <v>41898</v>
      </c>
      <c r="G1532" s="8" t="s">
        <v>7243</v>
      </c>
      <c r="H1532" s="8" t="s">
        <v>200</v>
      </c>
      <c r="I1532" s="8" t="s">
        <v>45</v>
      </c>
      <c r="J1532" s="16" t="s">
        <v>7244</v>
      </c>
      <c r="K1532" s="2" t="s">
        <v>200</v>
      </c>
      <c r="L1532" s="8" t="s">
        <v>201</v>
      </c>
      <c r="M1532" s="8" t="s">
        <v>27</v>
      </c>
      <c r="N1532" s="2" t="s">
        <v>7245</v>
      </c>
      <c r="O1532" s="8" t="s">
        <v>1013</v>
      </c>
      <c r="P1532" s="8" t="s">
        <v>401</v>
      </c>
      <c r="Q1532" s="12" t="s">
        <v>21445</v>
      </c>
      <c r="R1532" s="8" t="s">
        <v>100</v>
      </c>
      <c r="S1532" s="7" t="s">
        <v>18</v>
      </c>
      <c r="T1532" s="6"/>
      <c r="U1532" s="8"/>
    </row>
    <row r="1533" spans="1:39" ht="13" customHeight="1">
      <c r="A1533" s="8" t="s">
        <v>7246</v>
      </c>
      <c r="B1533" s="16">
        <v>40</v>
      </c>
      <c r="C1533" s="8" t="s">
        <v>20</v>
      </c>
      <c r="D1533" s="8" t="s">
        <v>37</v>
      </c>
      <c r="E1533" s="8" t="s">
        <v>7247</v>
      </c>
      <c r="F1533" s="17">
        <v>41898</v>
      </c>
      <c r="G1533" s="8" t="s">
        <v>7248</v>
      </c>
      <c r="H1533" s="8" t="s">
        <v>7249</v>
      </c>
      <c r="I1533" s="8" t="s">
        <v>671</v>
      </c>
      <c r="J1533" s="16" t="s">
        <v>7250</v>
      </c>
      <c r="K1533" s="2" t="s">
        <v>5786</v>
      </c>
      <c r="L1533" s="8" t="s">
        <v>7251</v>
      </c>
      <c r="M1533" s="8" t="s">
        <v>27</v>
      </c>
      <c r="N1533" s="2" t="s">
        <v>7252</v>
      </c>
      <c r="O1533" s="8" t="s">
        <v>4714</v>
      </c>
      <c r="P1533" s="8" t="s">
        <v>401</v>
      </c>
      <c r="Q1533" s="12" t="s">
        <v>7253</v>
      </c>
      <c r="R1533" s="8" t="s">
        <v>100</v>
      </c>
      <c r="S1533" s="7" t="s">
        <v>28</v>
      </c>
      <c r="T1533" s="6"/>
      <c r="U1533" s="8"/>
    </row>
    <row r="1534" spans="1:39" ht="13" customHeight="1">
      <c r="A1534" s="8" t="s">
        <v>7254</v>
      </c>
      <c r="B1534" s="16">
        <v>23</v>
      </c>
      <c r="C1534" s="8" t="s">
        <v>20</v>
      </c>
      <c r="D1534" s="8" t="s">
        <v>85</v>
      </c>
      <c r="E1534" s="8" t="s">
        <v>7255</v>
      </c>
      <c r="F1534" s="17">
        <v>41897</v>
      </c>
      <c r="G1534" s="8" t="s">
        <v>7256</v>
      </c>
      <c r="H1534" s="8" t="s">
        <v>7257</v>
      </c>
      <c r="I1534" s="8" t="s">
        <v>330</v>
      </c>
      <c r="J1534" s="16" t="s">
        <v>7258</v>
      </c>
      <c r="K1534" s="2" t="s">
        <v>7259</v>
      </c>
      <c r="L1534" s="8" t="s">
        <v>7260</v>
      </c>
      <c r="M1534" s="8" t="s">
        <v>27</v>
      </c>
      <c r="N1534" s="2" t="s">
        <v>7261</v>
      </c>
      <c r="O1534" s="8" t="s">
        <v>4714</v>
      </c>
      <c r="P1534" s="8" t="s">
        <v>401</v>
      </c>
      <c r="Q1534" s="12" t="s">
        <v>7262</v>
      </c>
      <c r="R1534" s="8" t="s">
        <v>29</v>
      </c>
      <c r="S1534" s="7" t="s">
        <v>28</v>
      </c>
      <c r="T1534" s="6"/>
      <c r="U1534" s="8"/>
    </row>
    <row r="1535" spans="1:39" ht="13" customHeight="1">
      <c r="A1535" s="8" t="s">
        <v>7263</v>
      </c>
      <c r="B1535" s="16">
        <v>26</v>
      </c>
      <c r="C1535" s="8" t="s">
        <v>20</v>
      </c>
      <c r="D1535" s="8" t="s">
        <v>85</v>
      </c>
      <c r="E1535" s="8" t="s">
        <v>7264</v>
      </c>
      <c r="F1535" s="17">
        <v>41897</v>
      </c>
      <c r="G1535" s="8" t="s">
        <v>7265</v>
      </c>
      <c r="H1535" s="8" t="s">
        <v>7266</v>
      </c>
      <c r="I1535" s="8" t="s">
        <v>303</v>
      </c>
      <c r="J1535" s="16" t="s">
        <v>7267</v>
      </c>
      <c r="K1535" s="2" t="s">
        <v>7268</v>
      </c>
      <c r="L1535" s="8" t="s">
        <v>7269</v>
      </c>
      <c r="M1535" s="8" t="s">
        <v>27</v>
      </c>
      <c r="N1535" s="2" t="s">
        <v>7270</v>
      </c>
      <c r="O1535" s="8" t="s">
        <v>4714</v>
      </c>
      <c r="P1535" s="8" t="s">
        <v>401</v>
      </c>
      <c r="Q1535" s="12" t="s">
        <v>7271</v>
      </c>
      <c r="R1535" s="8" t="s">
        <v>555</v>
      </c>
      <c r="S1535" s="7" t="s">
        <v>28</v>
      </c>
      <c r="T1535" s="6"/>
      <c r="U1535" s="8"/>
    </row>
    <row r="1536" spans="1:39" ht="13" customHeight="1">
      <c r="A1536" s="8" t="s">
        <v>7272</v>
      </c>
      <c r="B1536" s="16">
        <v>36</v>
      </c>
      <c r="C1536" s="8" t="s">
        <v>20</v>
      </c>
      <c r="D1536" s="8" t="s">
        <v>85</v>
      </c>
      <c r="F1536" s="17">
        <v>41896</v>
      </c>
      <c r="G1536" s="8" t="s">
        <v>7273</v>
      </c>
      <c r="H1536" s="8" t="s">
        <v>6414</v>
      </c>
      <c r="I1536" s="8" t="s">
        <v>25</v>
      </c>
      <c r="J1536" s="16" t="s">
        <v>7274</v>
      </c>
      <c r="K1536" s="2" t="s">
        <v>1781</v>
      </c>
      <c r="L1536" s="8" t="s">
        <v>1044</v>
      </c>
      <c r="M1536" s="8" t="s">
        <v>27</v>
      </c>
      <c r="N1536" s="2" t="s">
        <v>7275</v>
      </c>
      <c r="O1536" s="8" t="s">
        <v>550</v>
      </c>
      <c r="P1536" s="8" t="s">
        <v>401</v>
      </c>
      <c r="Q1536" s="12" t="str">
        <f>HYPERLINK("http://www.wwltv.com/story/news/local/orleans/2014/09/15/officer-shot-on-duty-in-good-spirits/15700815/","http://www.wwltv.com/story/news/local/orleans/2014/09/15/officer-shot-on-duty-in-good-spirits/15700815/")</f>
        <v>http://www.wwltv.com/story/news/local/orleans/2014/09/15/officer-shot-on-duty-in-good-spirits/15700815/</v>
      </c>
      <c r="R1536" s="8" t="s">
        <v>100</v>
      </c>
      <c r="S1536" s="7" t="s">
        <v>28</v>
      </c>
      <c r="T1536" s="6"/>
      <c r="U1536" s="8"/>
    </row>
    <row r="1537" spans="1:49" ht="13" customHeight="1">
      <c r="A1537" s="8" t="s">
        <v>7276</v>
      </c>
      <c r="B1537" s="16">
        <v>24</v>
      </c>
      <c r="C1537" s="8" t="s">
        <v>20</v>
      </c>
      <c r="D1537" s="8" t="s">
        <v>48</v>
      </c>
      <c r="E1537" s="8" t="s">
        <v>7277</v>
      </c>
      <c r="F1537" s="17">
        <v>41896</v>
      </c>
      <c r="G1537" s="8" t="s">
        <v>7278</v>
      </c>
      <c r="H1537" s="8" t="s">
        <v>877</v>
      </c>
      <c r="I1537" s="8" t="s">
        <v>45</v>
      </c>
      <c r="J1537" s="16" t="s">
        <v>7279</v>
      </c>
      <c r="K1537" s="2" t="s">
        <v>4529</v>
      </c>
      <c r="L1537" s="8" t="s">
        <v>19727</v>
      </c>
      <c r="M1537" s="8" t="s">
        <v>27</v>
      </c>
      <c r="N1537" s="2" t="s">
        <v>7280</v>
      </c>
      <c r="O1537" s="8" t="s">
        <v>1013</v>
      </c>
      <c r="P1537" s="8" t="s">
        <v>401</v>
      </c>
      <c r="Q1537" s="12" t="s">
        <v>7281</v>
      </c>
      <c r="R1537" s="8" t="s">
        <v>967</v>
      </c>
      <c r="S1537" s="7" t="s">
        <v>28</v>
      </c>
      <c r="T1537" s="6"/>
      <c r="U1537" s="8"/>
    </row>
    <row r="1538" spans="1:49" ht="13" customHeight="1">
      <c r="A1538" s="8" t="s">
        <v>7282</v>
      </c>
      <c r="B1538" s="16">
        <v>20</v>
      </c>
      <c r="C1538" s="8" t="s">
        <v>20</v>
      </c>
      <c r="D1538" s="8" t="s">
        <v>48</v>
      </c>
      <c r="E1538" s="8" t="s">
        <v>7283</v>
      </c>
      <c r="F1538" s="17">
        <v>41896</v>
      </c>
      <c r="G1538" s="8" t="s">
        <v>7284</v>
      </c>
      <c r="H1538" s="8" t="s">
        <v>7285</v>
      </c>
      <c r="I1538" s="8" t="s">
        <v>44</v>
      </c>
      <c r="J1538" s="16" t="s">
        <v>7286</v>
      </c>
      <c r="K1538" s="2" t="s">
        <v>88</v>
      </c>
      <c r="L1538" s="8" t="s">
        <v>7287</v>
      </c>
      <c r="M1538" s="8" t="s">
        <v>379</v>
      </c>
      <c r="N1538" s="2" t="s">
        <v>7288</v>
      </c>
      <c r="O1538" s="8" t="s">
        <v>1013</v>
      </c>
      <c r="P1538" s="8" t="s">
        <v>401</v>
      </c>
      <c r="Q1538" s="12" t="s">
        <v>7289</v>
      </c>
      <c r="R1538" s="8" t="s">
        <v>100</v>
      </c>
      <c r="S1538" s="7" t="s">
        <v>18</v>
      </c>
      <c r="T1538" s="6"/>
      <c r="U1538" s="8"/>
      <c r="V1538" s="8"/>
      <c r="W1538" s="8"/>
      <c r="X1538" s="8"/>
    </row>
    <row r="1539" spans="1:49" ht="13" customHeight="1">
      <c r="A1539" s="8" t="s">
        <v>3754</v>
      </c>
      <c r="B1539" s="16">
        <v>37</v>
      </c>
      <c r="C1539" s="8" t="s">
        <v>20</v>
      </c>
      <c r="D1539" s="8" t="s">
        <v>37</v>
      </c>
      <c r="F1539" s="17">
        <v>41896</v>
      </c>
      <c r="G1539" s="8" t="s">
        <v>7290</v>
      </c>
      <c r="H1539" s="8" t="s">
        <v>547</v>
      </c>
      <c r="I1539" s="8" t="s">
        <v>69</v>
      </c>
      <c r="J1539" s="16" t="s">
        <v>7291</v>
      </c>
      <c r="K1539" s="2" t="s">
        <v>548</v>
      </c>
      <c r="L1539" s="8" t="s">
        <v>549</v>
      </c>
      <c r="M1539" s="8" t="s">
        <v>27</v>
      </c>
      <c r="N1539" s="2" t="s">
        <v>7292</v>
      </c>
      <c r="O1539" s="8" t="s">
        <v>550</v>
      </c>
      <c r="P1539" s="8" t="s">
        <v>401</v>
      </c>
      <c r="Q1539" s="12" t="s">
        <v>7293</v>
      </c>
      <c r="R1539" s="8" t="s">
        <v>555</v>
      </c>
      <c r="S1539" s="7" t="s">
        <v>28</v>
      </c>
      <c r="T1539" s="6"/>
      <c r="U1539" s="8"/>
    </row>
    <row r="1540" spans="1:49" ht="13" customHeight="1">
      <c r="A1540" s="8" t="s">
        <v>7294</v>
      </c>
      <c r="B1540" s="16">
        <v>25</v>
      </c>
      <c r="C1540" s="8" t="s">
        <v>20</v>
      </c>
      <c r="D1540" s="8" t="s">
        <v>85</v>
      </c>
      <c r="E1540" s="8" t="s">
        <v>7295</v>
      </c>
      <c r="F1540" s="17">
        <v>41895</v>
      </c>
      <c r="G1540" s="8" t="s">
        <v>7296</v>
      </c>
      <c r="H1540" s="8" t="s">
        <v>4986</v>
      </c>
      <c r="I1540" s="8" t="s">
        <v>240</v>
      </c>
      <c r="J1540" s="16" t="s">
        <v>4987</v>
      </c>
      <c r="K1540" s="2" t="s">
        <v>613</v>
      </c>
      <c r="L1540" s="8" t="s">
        <v>7297</v>
      </c>
      <c r="M1540" s="8" t="s">
        <v>5665</v>
      </c>
      <c r="N1540" s="2" t="s">
        <v>7298</v>
      </c>
      <c r="O1540" s="8" t="s">
        <v>550</v>
      </c>
      <c r="P1540" s="8" t="s">
        <v>401</v>
      </c>
      <c r="Q1540" s="12" t="s">
        <v>7299</v>
      </c>
      <c r="R1540" s="8" t="s">
        <v>100</v>
      </c>
      <c r="S1540" s="7" t="s">
        <v>18</v>
      </c>
      <c r="T1540" s="6"/>
      <c r="U1540" s="8"/>
    </row>
    <row r="1541" spans="1:49" ht="13" customHeight="1">
      <c r="A1541" s="8" t="s">
        <v>7300</v>
      </c>
      <c r="B1541" s="16">
        <v>47</v>
      </c>
      <c r="C1541" s="8" t="s">
        <v>20</v>
      </c>
      <c r="D1541" s="8" t="s">
        <v>85</v>
      </c>
      <c r="E1541" s="8" t="str">
        <f>HYPERLINK("http://www.copblock.org/wp-content/uploads/2014/09/ricky-deangelo-hinkle-jefferson-county-alabama-copblock.png","http://www.copblock.org/wp-content/uploads/2014/09/ricky-deangelo-hinkle-jefferson-county-alabama-copblock.png")</f>
        <v>http://www.copblock.org/wp-content/uploads/2014/09/ricky-deangelo-hinkle-jefferson-county-alabama-copblock.png</v>
      </c>
      <c r="F1541" s="17">
        <v>41895</v>
      </c>
      <c r="G1541" s="8" t="s">
        <v>7301</v>
      </c>
      <c r="H1541" s="8" t="s">
        <v>4171</v>
      </c>
      <c r="I1541" s="8" t="s">
        <v>94</v>
      </c>
      <c r="J1541" s="16">
        <v>35203</v>
      </c>
      <c r="K1541" s="2" t="s">
        <v>1781</v>
      </c>
      <c r="L1541" s="8" t="s">
        <v>7302</v>
      </c>
      <c r="M1541" s="8" t="s">
        <v>391</v>
      </c>
      <c r="N1541" s="2" t="s">
        <v>7303</v>
      </c>
      <c r="O1541" s="8" t="s">
        <v>1013</v>
      </c>
      <c r="P1541" s="8" t="s">
        <v>401</v>
      </c>
      <c r="Q1541" s="59" t="str">
        <f>HYPERLINK("http://www.al.com/news/birmingham/index.ssf/2014/09/jefferson_county_inmate_dies_a.html","http://www.al.com/news/birmingham/index.ssf/2014/09/jefferson_county_inmate_dies_a.html")</f>
        <v>http://www.al.com/news/birmingham/index.ssf/2014/09/jefferson_county_inmate_dies_a.html</v>
      </c>
      <c r="R1541" s="8" t="s">
        <v>29</v>
      </c>
      <c r="S1541" s="7" t="s">
        <v>18</v>
      </c>
      <c r="T1541" s="6"/>
      <c r="U1541" s="8"/>
    </row>
    <row r="1542" spans="1:49" ht="13" customHeight="1">
      <c r="A1542" s="8" t="s">
        <v>7304</v>
      </c>
      <c r="B1542" s="16">
        <v>29</v>
      </c>
      <c r="C1542" s="8" t="s">
        <v>20</v>
      </c>
      <c r="D1542" s="8" t="s">
        <v>37</v>
      </c>
      <c r="E1542" s="8" t="s">
        <v>7305</v>
      </c>
      <c r="F1542" s="17">
        <v>41895</v>
      </c>
      <c r="G1542" s="8" t="s">
        <v>7306</v>
      </c>
      <c r="H1542" s="8" t="s">
        <v>1010</v>
      </c>
      <c r="I1542" s="8" t="s">
        <v>315</v>
      </c>
      <c r="J1542" s="16" t="s">
        <v>7307</v>
      </c>
      <c r="K1542" s="2" t="s">
        <v>1520</v>
      </c>
      <c r="L1542" s="8" t="s">
        <v>7308</v>
      </c>
      <c r="M1542" s="8" t="s">
        <v>27</v>
      </c>
      <c r="N1542" s="2" t="s">
        <v>7309</v>
      </c>
      <c r="O1542" s="8" t="s">
        <v>1013</v>
      </c>
      <c r="P1542" s="8" t="s">
        <v>401</v>
      </c>
      <c r="Q1542" s="12" t="str">
        <f>HYPERLINK("http://www.wkyt.com/home/headlines/Police-dealing-with-developing-situation-in-Madison-County-275029661.html","http://www.wkyt.com/home/headlines/Police-dealing-with-developing-situation-in-Madison-County-275029661.html")</f>
        <v>http://www.wkyt.com/home/headlines/Police-dealing-with-developing-situation-in-Madison-County-275029661.html</v>
      </c>
      <c r="R1542" s="8" t="s">
        <v>100</v>
      </c>
      <c r="S1542" s="7" t="s">
        <v>28</v>
      </c>
      <c r="T1542" s="6"/>
      <c r="U1542" s="8"/>
    </row>
    <row r="1543" spans="1:49" ht="13" customHeight="1">
      <c r="A1543" s="8" t="s">
        <v>7310</v>
      </c>
      <c r="B1543" s="16">
        <v>43</v>
      </c>
      <c r="C1543" s="8" t="s">
        <v>20</v>
      </c>
      <c r="D1543" s="8" t="s">
        <v>37</v>
      </c>
      <c r="E1543" s="8" t="s">
        <v>7311</v>
      </c>
      <c r="F1543" s="17">
        <v>41895</v>
      </c>
      <c r="G1543" s="8" t="s">
        <v>7312</v>
      </c>
      <c r="H1543" s="8" t="s">
        <v>7313</v>
      </c>
      <c r="I1543" s="8" t="s">
        <v>319</v>
      </c>
      <c r="J1543" s="16" t="s">
        <v>7314</v>
      </c>
      <c r="K1543" s="2" t="s">
        <v>5539</v>
      </c>
      <c r="L1543" s="8" t="s">
        <v>7315</v>
      </c>
      <c r="M1543" s="8" t="s">
        <v>27</v>
      </c>
      <c r="N1543" s="2" t="s">
        <v>7316</v>
      </c>
      <c r="O1543" s="8" t="s">
        <v>550</v>
      </c>
      <c r="P1543" s="8" t="s">
        <v>401</v>
      </c>
      <c r="Q1543" s="12" t="s">
        <v>7317</v>
      </c>
      <c r="R1543" s="8" t="s">
        <v>100</v>
      </c>
      <c r="S1543" s="7" t="s">
        <v>18</v>
      </c>
      <c r="T1543" s="6"/>
      <c r="U1543" s="8"/>
    </row>
    <row r="1544" spans="1:49" ht="13" customHeight="1">
      <c r="A1544" s="8" t="s">
        <v>7318</v>
      </c>
      <c r="B1544" s="16">
        <v>22</v>
      </c>
      <c r="C1544" s="8" t="s">
        <v>20</v>
      </c>
      <c r="D1544" s="8" t="s">
        <v>85</v>
      </c>
      <c r="E1544" s="8" t="s">
        <v>7319</v>
      </c>
      <c r="F1544" s="17">
        <v>41894</v>
      </c>
      <c r="G1544" s="8" t="s">
        <v>7320</v>
      </c>
      <c r="H1544" s="8" t="s">
        <v>7321</v>
      </c>
      <c r="I1544" s="8" t="s">
        <v>240</v>
      </c>
      <c r="J1544" s="16" t="s">
        <v>7322</v>
      </c>
      <c r="K1544" s="2" t="s">
        <v>590</v>
      </c>
      <c r="L1544" s="8" t="s">
        <v>7323</v>
      </c>
      <c r="M1544" s="8" t="s">
        <v>27</v>
      </c>
      <c r="N1544" s="2" t="s">
        <v>7324</v>
      </c>
      <c r="O1544" s="8" t="s">
        <v>400</v>
      </c>
      <c r="P1544" s="8" t="s">
        <v>401</v>
      </c>
      <c r="Q1544" s="12" t="s">
        <v>7325</v>
      </c>
      <c r="R1544" s="8" t="s">
        <v>100</v>
      </c>
      <c r="S1544" s="7" t="s">
        <v>18</v>
      </c>
      <c r="T1544" s="6"/>
      <c r="U1544" s="8"/>
    </row>
    <row r="1545" spans="1:49" ht="13" customHeight="1">
      <c r="A1545" s="8" t="s">
        <v>7326</v>
      </c>
      <c r="B1545" s="16">
        <v>33</v>
      </c>
      <c r="C1545" s="8" t="s">
        <v>20</v>
      </c>
      <c r="D1545" s="8" t="s">
        <v>85</v>
      </c>
      <c r="E1545" s="8" t="s">
        <v>7327</v>
      </c>
      <c r="F1545" s="17">
        <v>41894</v>
      </c>
      <c r="G1545" s="8" t="s">
        <v>7328</v>
      </c>
      <c r="H1545" s="8" t="s">
        <v>387</v>
      </c>
      <c r="I1545" s="8" t="s">
        <v>319</v>
      </c>
      <c r="J1545" s="16" t="s">
        <v>7329</v>
      </c>
      <c r="K1545" s="2" t="s">
        <v>2692</v>
      </c>
      <c r="L1545" s="8" t="s">
        <v>2693</v>
      </c>
      <c r="M1545" s="8" t="s">
        <v>27</v>
      </c>
      <c r="N1545" s="2" t="s">
        <v>7330</v>
      </c>
      <c r="O1545" s="8" t="s">
        <v>1013</v>
      </c>
      <c r="P1545" s="8" t="s">
        <v>401</v>
      </c>
      <c r="Q1545" s="12" t="s">
        <v>7331</v>
      </c>
      <c r="R1545" s="8" t="s">
        <v>100</v>
      </c>
      <c r="S1545" s="7" t="s">
        <v>379</v>
      </c>
      <c r="T1545" s="6"/>
      <c r="U1545" s="8"/>
    </row>
    <row r="1546" spans="1:49" ht="13" customHeight="1">
      <c r="A1546" s="8" t="s">
        <v>7332</v>
      </c>
      <c r="B1546" s="16">
        <v>33</v>
      </c>
      <c r="C1546" s="8" t="s">
        <v>20</v>
      </c>
      <c r="D1546" s="8" t="s">
        <v>37</v>
      </c>
      <c r="E1546" s="8" t="s">
        <v>7333</v>
      </c>
      <c r="F1546" s="17">
        <v>41894</v>
      </c>
      <c r="G1546" s="8" t="s">
        <v>7334</v>
      </c>
      <c r="H1546" s="8" t="s">
        <v>7335</v>
      </c>
      <c r="I1546" s="8" t="s">
        <v>73</v>
      </c>
      <c r="J1546" s="16" t="s">
        <v>7336</v>
      </c>
      <c r="K1546" s="2" t="s">
        <v>7337</v>
      </c>
      <c r="L1546" s="8" t="s">
        <v>7338</v>
      </c>
      <c r="M1546" s="8" t="s">
        <v>27</v>
      </c>
      <c r="N1546" s="2" t="s">
        <v>7339</v>
      </c>
      <c r="O1546" s="8" t="s">
        <v>1013</v>
      </c>
      <c r="P1546" s="8" t="s">
        <v>401</v>
      </c>
      <c r="Q1546" s="12" t="s">
        <v>7340</v>
      </c>
      <c r="R1546" s="8" t="s">
        <v>555</v>
      </c>
      <c r="S1546" s="7" t="s">
        <v>28</v>
      </c>
      <c r="T1546" s="6"/>
      <c r="U1546" s="8"/>
      <c r="Y1546" s="8"/>
      <c r="Z1546" s="8"/>
      <c r="AA1546" s="8"/>
      <c r="AB1546" s="8"/>
      <c r="AC1546" s="8"/>
      <c r="AD1546" s="8"/>
      <c r="AE1546" s="8"/>
      <c r="AF1546" s="8"/>
      <c r="AG1546" s="8"/>
      <c r="AH1546" s="8"/>
    </row>
    <row r="1547" spans="1:49" ht="13" customHeight="1">
      <c r="A1547" s="8" t="s">
        <v>7349</v>
      </c>
      <c r="B1547" s="16">
        <v>37</v>
      </c>
      <c r="C1547" s="8" t="s">
        <v>20</v>
      </c>
      <c r="D1547" s="8" t="s">
        <v>37</v>
      </c>
      <c r="E1547" s="8" t="s">
        <v>7350</v>
      </c>
      <c r="F1547" s="17">
        <v>41893</v>
      </c>
      <c r="G1547" s="8" t="s">
        <v>7351</v>
      </c>
      <c r="H1547" s="8" t="s">
        <v>7352</v>
      </c>
      <c r="I1547" s="8" t="s">
        <v>240</v>
      </c>
      <c r="J1547" s="16" t="s">
        <v>7353</v>
      </c>
      <c r="K1547" s="2" t="s">
        <v>118</v>
      </c>
      <c r="L1547" s="8" t="s">
        <v>7354</v>
      </c>
      <c r="M1547" s="8" t="s">
        <v>27</v>
      </c>
      <c r="N1547" s="2" t="s">
        <v>7355</v>
      </c>
      <c r="O1547" s="8" t="s">
        <v>550</v>
      </c>
      <c r="P1547" s="8" t="s">
        <v>401</v>
      </c>
      <c r="Q1547" s="12" t="s">
        <v>5296</v>
      </c>
      <c r="R1547" s="8" t="s">
        <v>100</v>
      </c>
      <c r="S1547" s="7" t="s">
        <v>28</v>
      </c>
      <c r="T1547" s="6"/>
      <c r="U1547" s="8"/>
    </row>
    <row r="1548" spans="1:49" ht="13" customHeight="1">
      <c r="A1548" s="8" t="s">
        <v>7356</v>
      </c>
      <c r="B1548" s="16">
        <v>40</v>
      </c>
      <c r="C1548" s="8" t="s">
        <v>20</v>
      </c>
      <c r="D1548" s="8" t="s">
        <v>37</v>
      </c>
      <c r="E1548" s="8" t="s">
        <v>7357</v>
      </c>
      <c r="F1548" s="17">
        <v>41893</v>
      </c>
      <c r="G1548" s="8" t="s">
        <v>7358</v>
      </c>
      <c r="H1548" s="8" t="s">
        <v>7359</v>
      </c>
      <c r="I1548" s="8" t="s">
        <v>73</v>
      </c>
      <c r="J1548" s="16" t="s">
        <v>2881</v>
      </c>
      <c r="K1548" s="2" t="s">
        <v>558</v>
      </c>
      <c r="L1548" s="8" t="s">
        <v>5671</v>
      </c>
      <c r="M1548" s="8" t="s">
        <v>27</v>
      </c>
      <c r="N1548" s="2" t="s">
        <v>7360</v>
      </c>
      <c r="O1548" s="8" t="s">
        <v>1013</v>
      </c>
      <c r="P1548" s="8" t="s">
        <v>401</v>
      </c>
      <c r="Q1548" s="12" t="s">
        <v>7361</v>
      </c>
      <c r="R1548" s="8" t="s">
        <v>100</v>
      </c>
      <c r="S1548" s="7" t="s">
        <v>28</v>
      </c>
      <c r="T1548" s="6"/>
      <c r="U1548" s="8"/>
      <c r="AU1548" s="37"/>
      <c r="AV1548" s="37"/>
      <c r="AW1548" s="37"/>
    </row>
    <row r="1549" spans="1:49" ht="13" customHeight="1">
      <c r="A1549" s="8" t="s">
        <v>7341</v>
      </c>
      <c r="B1549" s="16">
        <v>54</v>
      </c>
      <c r="C1549" s="8" t="s">
        <v>20</v>
      </c>
      <c r="D1549" s="8" t="s">
        <v>37</v>
      </c>
      <c r="F1549" s="17">
        <v>41893</v>
      </c>
      <c r="G1549" s="8" t="s">
        <v>7342</v>
      </c>
      <c r="H1549" s="8" t="s">
        <v>7343</v>
      </c>
      <c r="I1549" s="8" t="s">
        <v>73</v>
      </c>
      <c r="J1549" s="16" t="s">
        <v>7344</v>
      </c>
      <c r="K1549" s="2" t="s">
        <v>7345</v>
      </c>
      <c r="L1549" s="8" t="s">
        <v>7346</v>
      </c>
      <c r="M1549" s="8" t="s">
        <v>27</v>
      </c>
      <c r="N1549" s="2" t="s">
        <v>7347</v>
      </c>
      <c r="O1549" s="8" t="s">
        <v>4714</v>
      </c>
      <c r="P1549" s="8" t="s">
        <v>401</v>
      </c>
      <c r="Q1549" s="12" t="s">
        <v>7348</v>
      </c>
      <c r="R1549" s="8" t="s">
        <v>100</v>
      </c>
      <c r="S1549" s="7" t="s">
        <v>28</v>
      </c>
      <c r="T1549" s="6"/>
      <c r="U1549" s="8"/>
    </row>
    <row r="1550" spans="1:49" ht="13" customHeight="1">
      <c r="A1550" s="8" t="s">
        <v>7362</v>
      </c>
      <c r="B1550" s="16">
        <v>20</v>
      </c>
      <c r="C1550" s="8" t="s">
        <v>20</v>
      </c>
      <c r="D1550" s="8" t="s">
        <v>85</v>
      </c>
      <c r="F1550" s="17">
        <v>41891</v>
      </c>
      <c r="G1550" s="8" t="s">
        <v>7363</v>
      </c>
      <c r="H1550" s="8" t="s">
        <v>1403</v>
      </c>
      <c r="I1550" s="8" t="s">
        <v>81</v>
      </c>
      <c r="J1550" s="16" t="s">
        <v>7364</v>
      </c>
      <c r="K1550" s="2" t="s">
        <v>1404</v>
      </c>
      <c r="L1550" s="8" t="s">
        <v>1405</v>
      </c>
      <c r="M1550" s="8" t="s">
        <v>27</v>
      </c>
      <c r="N1550" s="2" t="s">
        <v>7365</v>
      </c>
      <c r="O1550" s="8" t="s">
        <v>1013</v>
      </c>
      <c r="P1550" s="8" t="s">
        <v>401</v>
      </c>
      <c r="Q1550" s="12" t="s">
        <v>7366</v>
      </c>
      <c r="R1550" s="8" t="s">
        <v>100</v>
      </c>
      <c r="S1550" s="7" t="s">
        <v>28</v>
      </c>
      <c r="T1550" s="6"/>
      <c r="U1550" s="8"/>
      <c r="Y1550" s="8"/>
      <c r="Z1550" s="8"/>
      <c r="AA1550" s="8"/>
      <c r="AB1550" s="8"/>
      <c r="AC1550" s="8"/>
      <c r="AD1550" s="8"/>
      <c r="AE1550" s="8"/>
      <c r="AF1550" s="8"/>
      <c r="AG1550" s="8"/>
      <c r="AH1550" s="8"/>
    </row>
    <row r="1551" spans="1:49" ht="13" customHeight="1">
      <c r="A1551" s="8" t="s">
        <v>7367</v>
      </c>
      <c r="B1551" s="16">
        <v>38</v>
      </c>
      <c r="C1551" s="8" t="s">
        <v>20</v>
      </c>
      <c r="D1551" s="8" t="s">
        <v>37</v>
      </c>
      <c r="E1551" s="8" t="s">
        <v>7368</v>
      </c>
      <c r="F1551" s="17">
        <v>41891</v>
      </c>
      <c r="G1551" s="8" t="s">
        <v>7369</v>
      </c>
      <c r="H1551" s="8" t="s">
        <v>1450</v>
      </c>
      <c r="I1551" s="8" t="s">
        <v>240</v>
      </c>
      <c r="J1551" s="16" t="s">
        <v>7370</v>
      </c>
      <c r="K1551" s="2" t="s">
        <v>1451</v>
      </c>
      <c r="L1551" s="8" t="s">
        <v>7371</v>
      </c>
      <c r="M1551" s="8" t="s">
        <v>27</v>
      </c>
      <c r="N1551" s="2" t="s">
        <v>7372</v>
      </c>
      <c r="O1551" s="8" t="s">
        <v>4714</v>
      </c>
      <c r="P1551" s="8" t="s">
        <v>401</v>
      </c>
      <c r="Q1551" s="12" t="s">
        <v>7373</v>
      </c>
      <c r="R1551" s="8" t="s">
        <v>100</v>
      </c>
      <c r="S1551" s="7" t="s">
        <v>28</v>
      </c>
      <c r="T1551" s="6"/>
      <c r="U1551" s="8"/>
    </row>
    <row r="1552" spans="1:49" ht="13" customHeight="1">
      <c r="A1552" s="8" t="s">
        <v>7374</v>
      </c>
      <c r="B1552" s="16">
        <v>50</v>
      </c>
      <c r="C1552" s="8" t="s">
        <v>20</v>
      </c>
      <c r="D1552" s="8" t="s">
        <v>85</v>
      </c>
      <c r="F1552" s="17">
        <v>41890</v>
      </c>
      <c r="G1552" s="8" t="s">
        <v>7375</v>
      </c>
      <c r="H1552" s="8" t="s">
        <v>98</v>
      </c>
      <c r="I1552" s="8" t="s">
        <v>45</v>
      </c>
      <c r="J1552" s="16" t="s">
        <v>3317</v>
      </c>
      <c r="K1552" s="2" t="s">
        <v>98</v>
      </c>
      <c r="L1552" s="8" t="s">
        <v>99</v>
      </c>
      <c r="M1552" s="8" t="s">
        <v>27</v>
      </c>
      <c r="N1552" s="2" t="s">
        <v>7376</v>
      </c>
      <c r="O1552" s="8" t="s">
        <v>1013</v>
      </c>
      <c r="P1552" s="8" t="s">
        <v>401</v>
      </c>
      <c r="Q1552" s="12" t="s">
        <v>7377</v>
      </c>
      <c r="R1552" s="8" t="s">
        <v>100</v>
      </c>
      <c r="S1552" s="7" t="s">
        <v>28</v>
      </c>
      <c r="T1552" s="6"/>
      <c r="U1552" s="8"/>
    </row>
    <row r="1553" spans="1:49" ht="13" customHeight="1">
      <c r="A1553" s="8" t="s">
        <v>7378</v>
      </c>
      <c r="B1553" s="16">
        <v>45</v>
      </c>
      <c r="C1553" s="8" t="s">
        <v>20</v>
      </c>
      <c r="D1553" s="8" t="s">
        <v>48</v>
      </c>
      <c r="F1553" s="17">
        <v>41890</v>
      </c>
      <c r="G1553" s="8" t="s">
        <v>7379</v>
      </c>
      <c r="H1553" s="8" t="s">
        <v>7380</v>
      </c>
      <c r="I1553" s="8" t="s">
        <v>73</v>
      </c>
      <c r="J1553" s="16" t="s">
        <v>7381</v>
      </c>
      <c r="K1553" s="2" t="s">
        <v>7382</v>
      </c>
      <c r="L1553" s="8" t="s">
        <v>7383</v>
      </c>
      <c r="M1553" s="8" t="s">
        <v>27</v>
      </c>
      <c r="N1553" s="2" t="s">
        <v>7384</v>
      </c>
      <c r="O1553" s="8" t="s">
        <v>1013</v>
      </c>
      <c r="P1553" s="8" t="s">
        <v>401</v>
      </c>
      <c r="Q1553" s="12" t="s">
        <v>7385</v>
      </c>
      <c r="R1553" s="8" t="s">
        <v>100</v>
      </c>
      <c r="S1553" s="7" t="s">
        <v>28</v>
      </c>
      <c r="T1553" s="6"/>
      <c r="U1553" s="8"/>
    </row>
    <row r="1554" spans="1:49" ht="13" customHeight="1">
      <c r="A1554" s="8" t="s">
        <v>7404</v>
      </c>
      <c r="B1554" s="16">
        <v>24</v>
      </c>
      <c r="C1554" s="8" t="s">
        <v>20</v>
      </c>
      <c r="D1554" s="8" t="s">
        <v>37</v>
      </c>
      <c r="E1554" s="8" t="s">
        <v>7405</v>
      </c>
      <c r="F1554" s="17">
        <v>41890</v>
      </c>
      <c r="G1554" s="8" t="s">
        <v>7406</v>
      </c>
      <c r="H1554" s="8" t="s">
        <v>1316</v>
      </c>
      <c r="I1554" s="8" t="s">
        <v>73</v>
      </c>
      <c r="J1554" s="16" t="s">
        <v>7407</v>
      </c>
      <c r="K1554" s="2" t="s">
        <v>1317</v>
      </c>
      <c r="L1554" s="8" t="s">
        <v>1318</v>
      </c>
      <c r="M1554" s="8" t="s">
        <v>27</v>
      </c>
      <c r="N1554" s="2" t="s">
        <v>7408</v>
      </c>
      <c r="O1554" s="8" t="s">
        <v>4714</v>
      </c>
      <c r="P1554" s="8" t="s">
        <v>401</v>
      </c>
      <c r="Q1554" s="12" t="s">
        <v>7409</v>
      </c>
      <c r="R1554" s="8" t="s">
        <v>100</v>
      </c>
      <c r="S1554" s="7" t="s">
        <v>28</v>
      </c>
      <c r="T1554" s="6"/>
      <c r="U1554" s="8"/>
      <c r="Y1554" s="8"/>
      <c r="Z1554" s="8"/>
      <c r="AA1554" s="8"/>
      <c r="AB1554" s="8"/>
      <c r="AC1554" s="8"/>
      <c r="AD1554" s="8"/>
      <c r="AE1554" s="8"/>
      <c r="AF1554" s="8"/>
      <c r="AG1554" s="8"/>
      <c r="AH1554" s="8"/>
    </row>
    <row r="1555" spans="1:49" s="37" customFormat="1" ht="13" customHeight="1">
      <c r="A1555" s="8" t="s">
        <v>7399</v>
      </c>
      <c r="B1555" s="16">
        <v>35</v>
      </c>
      <c r="C1555" s="8" t="s">
        <v>20</v>
      </c>
      <c r="D1555" s="8" t="s">
        <v>37</v>
      </c>
      <c r="E1555" s="8"/>
      <c r="F1555" s="17">
        <v>41890</v>
      </c>
      <c r="G1555" s="8" t="s">
        <v>7400</v>
      </c>
      <c r="H1555" s="8" t="s">
        <v>285</v>
      </c>
      <c r="I1555" s="8" t="s">
        <v>73</v>
      </c>
      <c r="J1555" s="16" t="s">
        <v>7401</v>
      </c>
      <c r="K1555" s="2" t="s">
        <v>285</v>
      </c>
      <c r="L1555" s="8" t="s">
        <v>286</v>
      </c>
      <c r="M1555" s="8" t="s">
        <v>27</v>
      </c>
      <c r="N1555" s="2" t="s">
        <v>7402</v>
      </c>
      <c r="O1555" s="8" t="s">
        <v>4714</v>
      </c>
      <c r="P1555" s="8" t="s">
        <v>401</v>
      </c>
      <c r="Q1555" s="12" t="s">
        <v>7403</v>
      </c>
      <c r="R1555" s="8" t="s">
        <v>100</v>
      </c>
      <c r="S1555" s="7" t="s">
        <v>28</v>
      </c>
      <c r="T1555" s="6"/>
      <c r="U1555" s="8"/>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c r="AT1555" s="2"/>
      <c r="AU1555" s="2"/>
      <c r="AV1555" s="2"/>
      <c r="AW1555" s="2"/>
    </row>
    <row r="1556" spans="1:49" ht="13" customHeight="1">
      <c r="A1556" s="8" t="s">
        <v>7392</v>
      </c>
      <c r="B1556" s="16">
        <v>38</v>
      </c>
      <c r="C1556" s="8" t="s">
        <v>20</v>
      </c>
      <c r="D1556" s="8" t="s">
        <v>37</v>
      </c>
      <c r="E1556" s="8" t="s">
        <v>7393</v>
      </c>
      <c r="F1556" s="17">
        <v>41890</v>
      </c>
      <c r="G1556" s="8" t="s">
        <v>7394</v>
      </c>
      <c r="H1556" s="8" t="s">
        <v>2221</v>
      </c>
      <c r="I1556" s="8" t="s">
        <v>32</v>
      </c>
      <c r="J1556" s="16" t="s">
        <v>7395</v>
      </c>
      <c r="K1556" s="2" t="s">
        <v>2221</v>
      </c>
      <c r="L1556" s="8" t="s">
        <v>7396</v>
      </c>
      <c r="M1556" s="8" t="s">
        <v>27</v>
      </c>
      <c r="N1556" s="2" t="s">
        <v>7397</v>
      </c>
      <c r="O1556" s="8" t="s">
        <v>1013</v>
      </c>
      <c r="P1556" s="8" t="s">
        <v>401</v>
      </c>
      <c r="Q1556" s="12" t="s">
        <v>7398</v>
      </c>
      <c r="R1556" s="8" t="s">
        <v>967</v>
      </c>
      <c r="S1556" s="7" t="s">
        <v>28</v>
      </c>
      <c r="T1556" s="6"/>
      <c r="U1556" s="8"/>
    </row>
    <row r="1557" spans="1:49" ht="13" customHeight="1">
      <c r="A1557" s="8" t="s">
        <v>7386</v>
      </c>
      <c r="B1557" s="16">
        <v>40</v>
      </c>
      <c r="C1557" s="8" t="s">
        <v>20</v>
      </c>
      <c r="D1557" s="8" t="s">
        <v>37</v>
      </c>
      <c r="E1557" s="8" t="s">
        <v>7387</v>
      </c>
      <c r="F1557" s="17">
        <v>41890</v>
      </c>
      <c r="G1557" s="8" t="s">
        <v>7388</v>
      </c>
      <c r="H1557" s="8" t="s">
        <v>3140</v>
      </c>
      <c r="I1557" s="8" t="s">
        <v>25</v>
      </c>
      <c r="J1557" s="16" t="s">
        <v>3141</v>
      </c>
      <c r="K1557" s="2" t="s">
        <v>3142</v>
      </c>
      <c r="L1557" s="8" t="s">
        <v>7389</v>
      </c>
      <c r="M1557" s="8" t="s">
        <v>27</v>
      </c>
      <c r="N1557" s="2" t="s">
        <v>7390</v>
      </c>
      <c r="O1557" s="8" t="s">
        <v>550</v>
      </c>
      <c r="P1557" s="8" t="s">
        <v>401</v>
      </c>
      <c r="Q1557" s="12" t="s">
        <v>7391</v>
      </c>
      <c r="R1557" s="8" t="s">
        <v>967</v>
      </c>
      <c r="S1557" s="7" t="s">
        <v>28</v>
      </c>
      <c r="T1557" s="6"/>
      <c r="U1557" s="8"/>
    </row>
    <row r="1558" spans="1:49" ht="13" customHeight="1">
      <c r="A1558" s="8" t="s">
        <v>7410</v>
      </c>
      <c r="B1558" s="16">
        <v>50</v>
      </c>
      <c r="C1558" s="8" t="s">
        <v>20</v>
      </c>
      <c r="D1558" s="8" t="s">
        <v>37</v>
      </c>
      <c r="E1558" s="8" t="s">
        <v>7411</v>
      </c>
      <c r="F1558" s="17">
        <v>41889</v>
      </c>
      <c r="G1558" s="8" t="s">
        <v>7412</v>
      </c>
      <c r="H1558" s="8" t="s">
        <v>7413</v>
      </c>
      <c r="I1558" s="8" t="s">
        <v>62</v>
      </c>
      <c r="J1558" s="16" t="s">
        <v>2202</v>
      </c>
      <c r="K1558" s="2" t="s">
        <v>1127</v>
      </c>
      <c r="L1558" s="8" t="s">
        <v>7414</v>
      </c>
      <c r="M1558" s="8" t="s">
        <v>27</v>
      </c>
      <c r="N1558" s="2" t="s">
        <v>7415</v>
      </c>
      <c r="O1558" s="8" t="s">
        <v>1013</v>
      </c>
      <c r="P1558" s="8" t="s">
        <v>401</v>
      </c>
      <c r="Q1558" s="12" t="s">
        <v>7416</v>
      </c>
      <c r="R1558" s="8" t="s">
        <v>967</v>
      </c>
      <c r="S1558" s="7" t="s">
        <v>28</v>
      </c>
      <c r="T1558" s="6"/>
      <c r="U1558" s="8"/>
      <c r="V1558" s="8"/>
      <c r="W1558" s="8"/>
      <c r="X1558" s="8"/>
    </row>
    <row r="1559" spans="1:49" ht="13" customHeight="1">
      <c r="A1559" s="8" t="s">
        <v>7417</v>
      </c>
      <c r="B1559" s="16">
        <v>43</v>
      </c>
      <c r="C1559" s="8" t="s">
        <v>20</v>
      </c>
      <c r="D1559" s="8" t="s">
        <v>37</v>
      </c>
      <c r="E1559" s="8" t="s">
        <v>7418</v>
      </c>
      <c r="F1559" s="17">
        <v>41888</v>
      </c>
      <c r="G1559" s="8" t="s">
        <v>7419</v>
      </c>
      <c r="H1559" s="8" t="s">
        <v>2407</v>
      </c>
      <c r="I1559" s="8" t="s">
        <v>62</v>
      </c>
      <c r="J1559" s="16" t="s">
        <v>7420</v>
      </c>
      <c r="K1559" s="2" t="s">
        <v>2407</v>
      </c>
      <c r="L1559" s="8" t="s">
        <v>5266</v>
      </c>
      <c r="M1559" s="8" t="s">
        <v>27</v>
      </c>
      <c r="N1559" s="2" t="s">
        <v>7421</v>
      </c>
      <c r="O1559" s="8" t="s">
        <v>1013</v>
      </c>
      <c r="P1559" s="8" t="s">
        <v>401</v>
      </c>
      <c r="Q1559" s="12" t="s">
        <v>7422</v>
      </c>
      <c r="R1559" s="8" t="s">
        <v>29</v>
      </c>
      <c r="S1559" s="7" t="s">
        <v>28</v>
      </c>
      <c r="T1559" s="6"/>
      <c r="U1559" s="8"/>
    </row>
    <row r="1560" spans="1:49" ht="13" customHeight="1">
      <c r="A1560" s="8" t="s">
        <v>7423</v>
      </c>
      <c r="B1560" s="16">
        <v>23</v>
      </c>
      <c r="C1560" s="8" t="s">
        <v>20</v>
      </c>
      <c r="D1560" s="8" t="s">
        <v>37</v>
      </c>
      <c r="E1560" s="8" t="s">
        <v>7424</v>
      </c>
      <c r="F1560" s="17">
        <v>41887</v>
      </c>
      <c r="G1560" s="8" t="s">
        <v>7425</v>
      </c>
      <c r="H1560" s="8" t="s">
        <v>1058</v>
      </c>
      <c r="I1560" s="8" t="s">
        <v>319</v>
      </c>
      <c r="J1560" s="16" t="s">
        <v>7426</v>
      </c>
      <c r="K1560" s="2" t="s">
        <v>7427</v>
      </c>
      <c r="L1560" s="8" t="s">
        <v>7428</v>
      </c>
      <c r="M1560" s="8" t="s">
        <v>27</v>
      </c>
      <c r="N1560" s="2" t="s">
        <v>7429</v>
      </c>
      <c r="O1560" s="8" t="s">
        <v>1013</v>
      </c>
      <c r="P1560" s="8" t="s">
        <v>401</v>
      </c>
      <c r="Q1560" s="12" t="s">
        <v>7430</v>
      </c>
      <c r="R1560" s="8" t="s">
        <v>29</v>
      </c>
      <c r="S1560" s="7" t="s">
        <v>28</v>
      </c>
      <c r="T1560" s="6"/>
      <c r="U1560" s="8"/>
    </row>
    <row r="1561" spans="1:49" ht="13" customHeight="1">
      <c r="A1561" s="8" t="s">
        <v>7431</v>
      </c>
      <c r="B1561" s="16">
        <v>44</v>
      </c>
      <c r="C1561" s="8" t="s">
        <v>20</v>
      </c>
      <c r="D1561" s="8" t="s">
        <v>37</v>
      </c>
      <c r="E1561" s="8" t="s">
        <v>7432</v>
      </c>
      <c r="F1561" s="17">
        <v>41887</v>
      </c>
      <c r="G1561" s="8" t="s">
        <v>7433</v>
      </c>
      <c r="H1561" s="8" t="s">
        <v>7434</v>
      </c>
      <c r="I1561" s="8" t="s">
        <v>873</v>
      </c>
      <c r="J1561" s="16" t="s">
        <v>7435</v>
      </c>
      <c r="K1561" s="2" t="s">
        <v>2372</v>
      </c>
      <c r="L1561" s="8" t="s">
        <v>3603</v>
      </c>
      <c r="M1561" s="8" t="s">
        <v>379</v>
      </c>
      <c r="N1561" s="2" t="s">
        <v>7436</v>
      </c>
      <c r="O1561" s="8" t="s">
        <v>1013</v>
      </c>
      <c r="P1561" s="8" t="s">
        <v>401</v>
      </c>
      <c r="Q1561" s="12" t="s">
        <v>7437</v>
      </c>
      <c r="R1561" s="8" t="s">
        <v>100</v>
      </c>
      <c r="S1561" s="7" t="s">
        <v>18</v>
      </c>
      <c r="T1561" s="6"/>
      <c r="U1561" s="8"/>
    </row>
    <row r="1562" spans="1:49" ht="13" customHeight="1">
      <c r="A1562" s="8" t="s">
        <v>7438</v>
      </c>
      <c r="B1562" s="16">
        <v>58</v>
      </c>
      <c r="C1562" s="8" t="s">
        <v>20</v>
      </c>
      <c r="D1562" s="8" t="s">
        <v>21</v>
      </c>
      <c r="F1562" s="17">
        <v>41885</v>
      </c>
      <c r="G1562" s="8" t="s">
        <v>7439</v>
      </c>
      <c r="H1562" s="8" t="s">
        <v>603</v>
      </c>
      <c r="I1562" s="8" t="s">
        <v>45</v>
      </c>
      <c r="J1562" s="16">
        <v>94606</v>
      </c>
      <c r="K1562" s="2" t="s">
        <v>604</v>
      </c>
      <c r="L1562" s="8" t="s">
        <v>605</v>
      </c>
      <c r="M1562" s="8" t="s">
        <v>379</v>
      </c>
      <c r="N1562" s="2" t="s">
        <v>7440</v>
      </c>
      <c r="P1562" s="8" t="s">
        <v>401</v>
      </c>
      <c r="Q1562" s="12" t="s">
        <v>7441</v>
      </c>
      <c r="S1562" s="7" t="s">
        <v>18</v>
      </c>
      <c r="T1562" s="6"/>
      <c r="U1562" s="8"/>
      <c r="AI1562" s="8"/>
      <c r="AJ1562" s="8"/>
      <c r="AK1562" s="8"/>
      <c r="AL1562" s="8"/>
      <c r="AM1562" s="8"/>
    </row>
    <row r="1563" spans="1:49" ht="13" customHeight="1">
      <c r="A1563" s="8" t="s">
        <v>7442</v>
      </c>
      <c r="B1563" s="16">
        <v>19</v>
      </c>
      <c r="C1563" s="8" t="s">
        <v>114</v>
      </c>
      <c r="D1563" s="8" t="s">
        <v>48</v>
      </c>
      <c r="F1563" s="17">
        <v>41885</v>
      </c>
      <c r="G1563" s="8" t="s">
        <v>7443</v>
      </c>
      <c r="H1563" s="8" t="s">
        <v>1097</v>
      </c>
      <c r="I1563" s="8" t="s">
        <v>395</v>
      </c>
      <c r="J1563" s="16" t="s">
        <v>7444</v>
      </c>
      <c r="K1563" s="2" t="s">
        <v>1098</v>
      </c>
      <c r="L1563" s="8" t="s">
        <v>1099</v>
      </c>
      <c r="M1563" s="8" t="s">
        <v>27</v>
      </c>
      <c r="N1563" s="2" t="s">
        <v>7445</v>
      </c>
      <c r="O1563" s="8" t="s">
        <v>400</v>
      </c>
      <c r="P1563" s="8" t="s">
        <v>401</v>
      </c>
      <c r="Q1563" s="12" t="s">
        <v>7446</v>
      </c>
      <c r="R1563" s="8" t="s">
        <v>100</v>
      </c>
      <c r="S1563" s="7" t="s">
        <v>28</v>
      </c>
      <c r="T1563" s="6"/>
      <c r="U1563" s="8"/>
    </row>
    <row r="1564" spans="1:49" ht="13" customHeight="1">
      <c r="A1564" s="8" t="s">
        <v>7447</v>
      </c>
      <c r="B1564" s="16">
        <v>58</v>
      </c>
      <c r="C1564" s="8" t="s">
        <v>20</v>
      </c>
      <c r="D1564" s="8" t="s">
        <v>30</v>
      </c>
      <c r="F1564" s="17">
        <v>41885</v>
      </c>
      <c r="G1564" s="8" t="s">
        <v>7448</v>
      </c>
      <c r="H1564" s="8" t="s">
        <v>561</v>
      </c>
      <c r="I1564" s="8" t="s">
        <v>123</v>
      </c>
      <c r="J1564" s="16" t="s">
        <v>7449</v>
      </c>
      <c r="K1564" s="2" t="s">
        <v>562</v>
      </c>
      <c r="L1564" s="8" t="s">
        <v>563</v>
      </c>
      <c r="M1564" s="8" t="s">
        <v>27</v>
      </c>
      <c r="N1564" s="2" t="s">
        <v>7450</v>
      </c>
      <c r="O1564" s="8" t="s">
        <v>1013</v>
      </c>
      <c r="P1564" s="8" t="s">
        <v>401</v>
      </c>
      <c r="Q1564" s="12" t="s">
        <v>7451</v>
      </c>
      <c r="R1564" s="8" t="s">
        <v>555</v>
      </c>
      <c r="S1564" s="7" t="s">
        <v>28</v>
      </c>
      <c r="T1564" s="6"/>
      <c r="U1564" s="8"/>
    </row>
    <row r="1565" spans="1:49" ht="13" customHeight="1">
      <c r="A1565" s="8" t="s">
        <v>7457</v>
      </c>
      <c r="B1565" s="16">
        <v>48</v>
      </c>
      <c r="C1565" s="8" t="s">
        <v>20</v>
      </c>
      <c r="D1565" s="8" t="s">
        <v>37</v>
      </c>
      <c r="E1565" s="8" t="s">
        <v>7458</v>
      </c>
      <c r="F1565" s="17">
        <v>41885</v>
      </c>
      <c r="G1565" s="8" t="s">
        <v>7459</v>
      </c>
      <c r="H1565" s="8" t="s">
        <v>778</v>
      </c>
      <c r="I1565" s="8" t="s">
        <v>69</v>
      </c>
      <c r="J1565" s="16" t="s">
        <v>7460</v>
      </c>
      <c r="K1565" s="2" t="s">
        <v>779</v>
      </c>
      <c r="L1565" s="8" t="s">
        <v>7461</v>
      </c>
      <c r="M1565" s="8" t="s">
        <v>27</v>
      </c>
      <c r="N1565" s="2" t="s">
        <v>7462</v>
      </c>
      <c r="O1565" s="8" t="s">
        <v>550</v>
      </c>
      <c r="P1565" s="8" t="s">
        <v>401</v>
      </c>
      <c r="Q1565" s="12" t="s">
        <v>7463</v>
      </c>
      <c r="R1565" s="8" t="s">
        <v>967</v>
      </c>
      <c r="S1565" s="7" t="s">
        <v>28</v>
      </c>
      <c r="T1565" s="6"/>
      <c r="U1565" s="8"/>
    </row>
    <row r="1566" spans="1:49" ht="13" customHeight="1">
      <c r="A1566" s="8" t="s">
        <v>7452</v>
      </c>
      <c r="B1566" s="16">
        <v>43</v>
      </c>
      <c r="C1566" s="8" t="s">
        <v>20</v>
      </c>
      <c r="D1566" s="8" t="s">
        <v>37</v>
      </c>
      <c r="F1566" s="17">
        <v>41885</v>
      </c>
      <c r="G1566" s="8" t="s">
        <v>7453</v>
      </c>
      <c r="H1566" s="8" t="s">
        <v>1615</v>
      </c>
      <c r="I1566" s="8" t="s">
        <v>269</v>
      </c>
      <c r="J1566" s="16" t="s">
        <v>7454</v>
      </c>
      <c r="K1566" s="2" t="s">
        <v>6283</v>
      </c>
      <c r="L1566" s="8" t="s">
        <v>7455</v>
      </c>
      <c r="M1566" s="8" t="s">
        <v>27</v>
      </c>
      <c r="N1566" s="2" t="s">
        <v>7456</v>
      </c>
      <c r="O1566" s="8" t="s">
        <v>400</v>
      </c>
      <c r="P1566" s="8" t="s">
        <v>401</v>
      </c>
      <c r="Q1566" s="12" t="str">
        <f>HYPERLINK("http://www.kolotv.com/home/headlines/Officer-Involved-Shooting-Shuts-Down-Sutro-and-So-273796761.html","http://www.kolotv.com/home/headlines/Officer-Involved-Shooting-Shuts-Down-Sutro-and-So-273796761.html")</f>
        <v>http://www.kolotv.com/home/headlines/Officer-Involved-Shooting-Shuts-Down-Sutro-and-So-273796761.html</v>
      </c>
      <c r="R1566" s="8" t="s">
        <v>29</v>
      </c>
      <c r="S1566" s="7" t="s">
        <v>35</v>
      </c>
      <c r="T1566" s="6"/>
      <c r="U1566" s="8"/>
    </row>
    <row r="1567" spans="1:49" ht="13" customHeight="1">
      <c r="A1567" s="8" t="s">
        <v>7464</v>
      </c>
      <c r="B1567" s="16">
        <v>35</v>
      </c>
      <c r="C1567" s="8" t="s">
        <v>20</v>
      </c>
      <c r="D1567" s="8" t="s">
        <v>85</v>
      </c>
      <c r="E1567" s="8" t="s">
        <v>7465</v>
      </c>
      <c r="F1567" s="17">
        <v>41884</v>
      </c>
      <c r="G1567" s="8" t="s">
        <v>7466</v>
      </c>
      <c r="H1567" s="8" t="s">
        <v>987</v>
      </c>
      <c r="I1567" s="8" t="s">
        <v>69</v>
      </c>
      <c r="J1567" s="16" t="s">
        <v>7467</v>
      </c>
      <c r="K1567" s="2" t="s">
        <v>105</v>
      </c>
      <c r="L1567" s="8" t="s">
        <v>3471</v>
      </c>
      <c r="M1567" s="8" t="s">
        <v>27</v>
      </c>
      <c r="N1567" s="2" t="s">
        <v>7468</v>
      </c>
      <c r="O1567" s="8" t="s">
        <v>400</v>
      </c>
      <c r="P1567" s="8" t="s">
        <v>401</v>
      </c>
      <c r="Q1567" s="12" t="str">
        <f>HYPERLINK("http://www.cleveland.com/metro/index.ssf/2014/09/man_shot_killed_by_cleveland_p.html","http://www.cleveland.com/metro/index.ssf/2014/09/man_shot_killed_by_cleveland_p.html")</f>
        <v>http://www.cleveland.com/metro/index.ssf/2014/09/man_shot_killed_by_cleveland_p.html</v>
      </c>
      <c r="R1567" s="8" t="s">
        <v>29</v>
      </c>
      <c r="S1567" s="7" t="s">
        <v>28</v>
      </c>
      <c r="T1567" s="6"/>
      <c r="U1567" s="8"/>
    </row>
    <row r="1568" spans="1:49" ht="13" customHeight="1">
      <c r="A1568" s="8" t="s">
        <v>7469</v>
      </c>
      <c r="B1568" s="16">
        <v>45</v>
      </c>
      <c r="C1568" s="8" t="s">
        <v>20</v>
      </c>
      <c r="D1568" s="8" t="s">
        <v>37</v>
      </c>
      <c r="E1568" s="8" t="s">
        <v>7470</v>
      </c>
      <c r="F1568" s="17">
        <v>41884</v>
      </c>
      <c r="G1568" s="8" t="s">
        <v>7471</v>
      </c>
      <c r="H1568" s="8" t="s">
        <v>2497</v>
      </c>
      <c r="I1568" s="8" t="s">
        <v>395</v>
      </c>
      <c r="J1568" s="16" t="s">
        <v>4179</v>
      </c>
      <c r="K1568" s="2" t="s">
        <v>2497</v>
      </c>
      <c r="L1568" s="8" t="s">
        <v>3398</v>
      </c>
      <c r="M1568" s="8" t="s">
        <v>27</v>
      </c>
      <c r="N1568" s="2" t="s">
        <v>7472</v>
      </c>
      <c r="O1568" s="8" t="s">
        <v>550</v>
      </c>
      <c r="P1568" s="8" t="s">
        <v>401</v>
      </c>
      <c r="Q1568" s="12" t="s">
        <v>7473</v>
      </c>
      <c r="R1568" s="8" t="s">
        <v>555</v>
      </c>
      <c r="S1568" s="7" t="s">
        <v>28</v>
      </c>
      <c r="T1568" s="6"/>
      <c r="U1568" s="8"/>
    </row>
    <row r="1569" spans="1:34" ht="13" customHeight="1">
      <c r="A1569" s="8" t="s">
        <v>7474</v>
      </c>
      <c r="B1569" s="16">
        <v>64</v>
      </c>
      <c r="C1569" s="8" t="s">
        <v>20</v>
      </c>
      <c r="D1569" s="8" t="s">
        <v>37</v>
      </c>
      <c r="F1569" s="17">
        <v>41884</v>
      </c>
      <c r="G1569" s="8" t="s">
        <v>1025</v>
      </c>
      <c r="H1569" s="8" t="s">
        <v>778</v>
      </c>
      <c r="I1569" s="8" t="s">
        <v>69</v>
      </c>
      <c r="J1569" s="16" t="s">
        <v>7460</v>
      </c>
      <c r="K1569" s="2" t="s">
        <v>779</v>
      </c>
      <c r="L1569" s="8" t="s">
        <v>780</v>
      </c>
      <c r="M1569" s="8" t="s">
        <v>379</v>
      </c>
      <c r="N1569" s="2" t="s">
        <v>7475</v>
      </c>
      <c r="O1569" s="8" t="s">
        <v>550</v>
      </c>
      <c r="P1569" s="8" t="s">
        <v>401</v>
      </c>
      <c r="Q1569" s="12" t="s">
        <v>7476</v>
      </c>
      <c r="R1569" s="8" t="s">
        <v>100</v>
      </c>
      <c r="S1569" s="7" t="s">
        <v>18</v>
      </c>
      <c r="T1569" s="6"/>
      <c r="U1569" s="8"/>
    </row>
    <row r="1570" spans="1:34" ht="13" customHeight="1">
      <c r="A1570" s="8" t="s">
        <v>7477</v>
      </c>
      <c r="B1570" s="16">
        <v>45</v>
      </c>
      <c r="C1570" s="8" t="s">
        <v>20</v>
      </c>
      <c r="D1570" s="8" t="s">
        <v>48</v>
      </c>
      <c r="F1570" s="17">
        <v>41883</v>
      </c>
      <c r="G1570" s="8" t="s">
        <v>7478</v>
      </c>
      <c r="H1570" s="8" t="s">
        <v>7479</v>
      </c>
      <c r="I1570" s="8" t="s">
        <v>395</v>
      </c>
      <c r="J1570" s="16" t="s">
        <v>7480</v>
      </c>
      <c r="K1570" s="2" t="s">
        <v>7481</v>
      </c>
      <c r="L1570" s="8" t="s">
        <v>7482</v>
      </c>
      <c r="M1570" s="8" t="s">
        <v>27</v>
      </c>
      <c r="N1570" s="2" t="s">
        <v>7483</v>
      </c>
      <c r="O1570" s="8" t="s">
        <v>1013</v>
      </c>
      <c r="P1570" s="8" t="s">
        <v>401</v>
      </c>
      <c r="Q1570" s="12" t="s">
        <v>7484</v>
      </c>
      <c r="R1570" s="8" t="s">
        <v>100</v>
      </c>
      <c r="S1570" s="7" t="s">
        <v>35</v>
      </c>
      <c r="T1570" s="6"/>
      <c r="U1570" s="8"/>
    </row>
    <row r="1571" spans="1:34" ht="13" customHeight="1">
      <c r="A1571" s="8" t="s">
        <v>7485</v>
      </c>
      <c r="B1571" s="16">
        <v>55</v>
      </c>
      <c r="C1571" s="8" t="s">
        <v>20</v>
      </c>
      <c r="D1571" s="8" t="s">
        <v>37</v>
      </c>
      <c r="E1571" s="8" t="s">
        <v>7486</v>
      </c>
      <c r="F1571" s="17">
        <v>41883</v>
      </c>
      <c r="G1571" s="8" t="s">
        <v>7487</v>
      </c>
      <c r="H1571" s="8" t="s">
        <v>634</v>
      </c>
      <c r="I1571" s="8" t="s">
        <v>123</v>
      </c>
      <c r="J1571" s="16" t="s">
        <v>7488</v>
      </c>
      <c r="K1571" s="2" t="s">
        <v>635</v>
      </c>
      <c r="L1571" s="8" t="s">
        <v>636</v>
      </c>
      <c r="M1571" s="8" t="s">
        <v>27</v>
      </c>
      <c r="N1571" s="2" t="s">
        <v>7489</v>
      </c>
      <c r="O1571" s="8" t="s">
        <v>1013</v>
      </c>
      <c r="P1571" s="8" t="s">
        <v>401</v>
      </c>
      <c r="Q1571" s="12" t="s">
        <v>7490</v>
      </c>
      <c r="R1571" s="8" t="s">
        <v>29</v>
      </c>
      <c r="S1571" s="7" t="s">
        <v>28</v>
      </c>
      <c r="T1571" s="6"/>
      <c r="U1571" s="8"/>
      <c r="V1571" s="8"/>
      <c r="W1571" s="8"/>
      <c r="X1571" s="8"/>
    </row>
    <row r="1572" spans="1:34" ht="13" customHeight="1">
      <c r="A1572" s="8" t="s">
        <v>7497</v>
      </c>
      <c r="B1572" s="16">
        <v>22</v>
      </c>
      <c r="C1572" s="8" t="s">
        <v>20</v>
      </c>
      <c r="D1572" s="8" t="s">
        <v>85</v>
      </c>
      <c r="E1572" s="8" t="s">
        <v>7498</v>
      </c>
      <c r="F1572" s="17">
        <v>41882</v>
      </c>
      <c r="G1572" s="8" t="s">
        <v>7499</v>
      </c>
      <c r="H1572" s="8" t="s">
        <v>757</v>
      </c>
      <c r="I1572" s="8" t="s">
        <v>423</v>
      </c>
      <c r="J1572" s="16" t="s">
        <v>7500</v>
      </c>
      <c r="K1572" s="2" t="s">
        <v>757</v>
      </c>
      <c r="L1572" s="8" t="s">
        <v>582</v>
      </c>
      <c r="M1572" s="8" t="s">
        <v>27</v>
      </c>
      <c r="N1572" s="2" t="s">
        <v>7501</v>
      </c>
      <c r="O1572" s="8" t="s">
        <v>1013</v>
      </c>
      <c r="P1572" s="8" t="s">
        <v>401</v>
      </c>
      <c r="Q1572" s="12" t="str">
        <f>HYPERLINK("http://nypost.com/2014/09/06/man-who-shot-nypd-cop-dies-after-surgery/","http://nypost.com/2014/09/06/man-who-shot-nypd-cop-dies-after-surgery/")</f>
        <v>http://nypost.com/2014/09/06/man-who-shot-nypd-cop-dies-after-surgery/</v>
      </c>
      <c r="R1572" s="8" t="s">
        <v>100</v>
      </c>
      <c r="S1572" s="7" t="s">
        <v>28</v>
      </c>
      <c r="T1572" s="6"/>
      <c r="U1572" s="8"/>
    </row>
    <row r="1573" spans="1:34" ht="13" customHeight="1">
      <c r="A1573" s="8" t="s">
        <v>7491</v>
      </c>
      <c r="B1573" s="16">
        <v>28</v>
      </c>
      <c r="C1573" s="8" t="s">
        <v>20</v>
      </c>
      <c r="D1573" s="8" t="s">
        <v>85</v>
      </c>
      <c r="E1573" s="8" t="s">
        <v>7492</v>
      </c>
      <c r="F1573" s="17">
        <v>41882</v>
      </c>
      <c r="G1573" s="8" t="s">
        <v>7493</v>
      </c>
      <c r="H1573" s="8" t="s">
        <v>430</v>
      </c>
      <c r="I1573" s="8" t="s">
        <v>431</v>
      </c>
      <c r="J1573" s="16" t="s">
        <v>7494</v>
      </c>
      <c r="K1573" s="2" t="s">
        <v>433</v>
      </c>
      <c r="L1573" s="8" t="s">
        <v>434</v>
      </c>
      <c r="M1573" s="8" t="s">
        <v>27</v>
      </c>
      <c r="N1573" s="2" t="s">
        <v>7495</v>
      </c>
      <c r="O1573" s="8" t="s">
        <v>400</v>
      </c>
      <c r="P1573" s="8" t="s">
        <v>401</v>
      </c>
      <c r="Q1573" s="12" t="s">
        <v>7496</v>
      </c>
      <c r="R1573" s="8" t="s">
        <v>100</v>
      </c>
      <c r="S1573" s="7" t="s">
        <v>28</v>
      </c>
      <c r="T1573" s="6"/>
      <c r="U1573" s="8"/>
    </row>
    <row r="1574" spans="1:34" ht="13" customHeight="1">
      <c r="A1574" s="8" t="s">
        <v>7511</v>
      </c>
      <c r="B1574" s="16">
        <v>42</v>
      </c>
      <c r="C1574" s="8" t="s">
        <v>20</v>
      </c>
      <c r="D1574" s="8" t="s">
        <v>37</v>
      </c>
      <c r="F1574" s="17">
        <v>41882</v>
      </c>
      <c r="G1574" s="8" t="s">
        <v>7512</v>
      </c>
      <c r="H1574" s="8" t="s">
        <v>1615</v>
      </c>
      <c r="I1574" s="8" t="s">
        <v>269</v>
      </c>
      <c r="J1574" s="16" t="s">
        <v>7513</v>
      </c>
      <c r="K1574" s="2" t="s">
        <v>6283</v>
      </c>
      <c r="L1574" s="8" t="s">
        <v>7514</v>
      </c>
      <c r="M1574" s="8" t="s">
        <v>27</v>
      </c>
      <c r="N1574" s="2" t="s">
        <v>7515</v>
      </c>
      <c r="O1574" s="8" t="s">
        <v>400</v>
      </c>
      <c r="P1574" s="8" t="s">
        <v>401</v>
      </c>
      <c r="Q1574" s="12" t="s">
        <v>7516</v>
      </c>
      <c r="R1574" s="8" t="s">
        <v>100</v>
      </c>
      <c r="S1574" s="7" t="s">
        <v>28</v>
      </c>
      <c r="T1574" s="6"/>
      <c r="U1574" s="8"/>
    </row>
    <row r="1575" spans="1:34" ht="13" customHeight="1">
      <c r="A1575" s="8" t="s">
        <v>7502</v>
      </c>
      <c r="B1575" s="16">
        <v>52</v>
      </c>
      <c r="C1575" s="8" t="s">
        <v>20</v>
      </c>
      <c r="D1575" s="8" t="s">
        <v>37</v>
      </c>
      <c r="E1575" s="8" t="s">
        <v>7503</v>
      </c>
      <c r="F1575" s="17">
        <v>41882</v>
      </c>
      <c r="G1575" s="8" t="s">
        <v>7504</v>
      </c>
      <c r="H1575" s="8" t="s">
        <v>7505</v>
      </c>
      <c r="I1575" s="8" t="s">
        <v>73</v>
      </c>
      <c r="J1575" s="16" t="s">
        <v>7506</v>
      </c>
      <c r="K1575" s="2" t="s">
        <v>7507</v>
      </c>
      <c r="L1575" s="8" t="s">
        <v>7508</v>
      </c>
      <c r="M1575" s="8" t="s">
        <v>27</v>
      </c>
      <c r="N1575" s="2" t="s">
        <v>7509</v>
      </c>
      <c r="O1575" s="8" t="s">
        <v>550</v>
      </c>
      <c r="P1575" s="8" t="s">
        <v>401</v>
      </c>
      <c r="Q1575" s="12" t="s">
        <v>7510</v>
      </c>
      <c r="R1575" s="8" t="s">
        <v>967</v>
      </c>
      <c r="S1575" s="7" t="s">
        <v>28</v>
      </c>
      <c r="T1575" s="6"/>
      <c r="U1575" s="8"/>
      <c r="Y1575" s="8"/>
      <c r="Z1575" s="8"/>
      <c r="AA1575" s="8"/>
      <c r="AB1575" s="8"/>
      <c r="AC1575" s="8"/>
      <c r="AD1575" s="8"/>
      <c r="AE1575" s="8"/>
      <c r="AF1575" s="8"/>
      <c r="AG1575" s="8"/>
      <c r="AH1575" s="8"/>
    </row>
    <row r="1576" spans="1:34" ht="13" customHeight="1">
      <c r="A1576" s="8" t="s">
        <v>7517</v>
      </c>
      <c r="B1576" s="16">
        <v>30</v>
      </c>
      <c r="C1576" s="8" t="s">
        <v>20</v>
      </c>
      <c r="D1576" s="8" t="s">
        <v>48</v>
      </c>
      <c r="F1576" s="17">
        <v>41881</v>
      </c>
      <c r="G1576" s="8" t="s">
        <v>7518</v>
      </c>
      <c r="H1576" s="8" t="s">
        <v>4307</v>
      </c>
      <c r="I1576" s="8" t="s">
        <v>73</v>
      </c>
      <c r="J1576" s="16" t="s">
        <v>4308</v>
      </c>
      <c r="K1576" s="2" t="s">
        <v>4309</v>
      </c>
      <c r="L1576" s="8" t="s">
        <v>4310</v>
      </c>
      <c r="M1576" s="8" t="s">
        <v>27</v>
      </c>
      <c r="N1576" s="2" t="s">
        <v>7519</v>
      </c>
      <c r="O1576" s="8" t="s">
        <v>550</v>
      </c>
      <c r="P1576" s="8" t="s">
        <v>401</v>
      </c>
      <c r="Q1576" s="12" t="s">
        <v>7520</v>
      </c>
      <c r="R1576" s="8" t="s">
        <v>100</v>
      </c>
      <c r="S1576" s="7" t="s">
        <v>18</v>
      </c>
      <c r="T1576" s="6"/>
      <c r="U1576" s="8"/>
    </row>
    <row r="1577" spans="1:34" ht="13" customHeight="1">
      <c r="A1577" s="8" t="s">
        <v>7529</v>
      </c>
      <c r="B1577" s="16">
        <v>21</v>
      </c>
      <c r="C1577" s="8" t="s">
        <v>20</v>
      </c>
      <c r="D1577" s="8" t="s">
        <v>37</v>
      </c>
      <c r="F1577" s="17">
        <v>41881</v>
      </c>
      <c r="G1577" s="8" t="s">
        <v>7530</v>
      </c>
      <c r="H1577" s="8" t="s">
        <v>7531</v>
      </c>
      <c r="I1577" s="8" t="s">
        <v>671</v>
      </c>
      <c r="J1577" s="16" t="s">
        <v>7532</v>
      </c>
      <c r="K1577" s="2" t="s">
        <v>420</v>
      </c>
      <c r="L1577" s="8" t="s">
        <v>7533</v>
      </c>
      <c r="M1577" s="8" t="s">
        <v>27</v>
      </c>
      <c r="N1577" s="2" t="s">
        <v>7534</v>
      </c>
      <c r="O1577" s="8" t="s">
        <v>1013</v>
      </c>
      <c r="P1577" s="8" t="s">
        <v>401</v>
      </c>
      <c r="Q1577" s="12" t="s">
        <v>7535</v>
      </c>
      <c r="R1577" s="8" t="s">
        <v>100</v>
      </c>
      <c r="S1577" s="7" t="s">
        <v>28</v>
      </c>
      <c r="T1577" s="6"/>
      <c r="U1577" s="8"/>
    </row>
    <row r="1578" spans="1:34" ht="13" customHeight="1">
      <c r="A1578" s="8" t="s">
        <v>7536</v>
      </c>
      <c r="B1578" s="16">
        <v>51</v>
      </c>
      <c r="C1578" s="8" t="s">
        <v>20</v>
      </c>
      <c r="D1578" s="8" t="s">
        <v>37</v>
      </c>
      <c r="F1578" s="17">
        <v>41881</v>
      </c>
      <c r="G1578" s="8" t="s">
        <v>7537</v>
      </c>
      <c r="H1578" s="8" t="s">
        <v>1211</v>
      </c>
      <c r="I1578" s="8" t="s">
        <v>303</v>
      </c>
      <c r="J1578" s="16" t="s">
        <v>7538</v>
      </c>
      <c r="K1578" s="2" t="s">
        <v>1212</v>
      </c>
      <c r="L1578" s="8" t="s">
        <v>1213</v>
      </c>
      <c r="M1578" s="8" t="s">
        <v>27</v>
      </c>
      <c r="N1578" s="2" t="s">
        <v>7539</v>
      </c>
      <c r="O1578" s="8" t="s">
        <v>1013</v>
      </c>
      <c r="P1578" s="8" t="s">
        <v>401</v>
      </c>
      <c r="Q1578" s="12" t="str">
        <f>HYPERLINK("http://www.king5.com/story/news/local/seattle/2014/09/01/police-find-gun-arsenal-queen-anne-home-shooting/14946055/","http://www.king5.com/story/news/local/seattle/2014/09/01/police-find-gun-arsenal-queen-anne-home-shooting/14946055/")</f>
        <v>http://www.king5.com/story/news/local/seattle/2014/09/01/police-find-gun-arsenal-queen-anne-home-shooting/14946055/</v>
      </c>
      <c r="R1578" s="8" t="s">
        <v>100</v>
      </c>
      <c r="S1578" s="7" t="s">
        <v>28</v>
      </c>
      <c r="T1578" s="6"/>
      <c r="U1578" s="8"/>
    </row>
    <row r="1579" spans="1:34" ht="13" customHeight="1">
      <c r="A1579" s="8" t="s">
        <v>7521</v>
      </c>
      <c r="B1579" s="16">
        <v>71</v>
      </c>
      <c r="C1579" s="8" t="s">
        <v>20</v>
      </c>
      <c r="D1579" s="8" t="s">
        <v>37</v>
      </c>
      <c r="F1579" s="17">
        <v>41881</v>
      </c>
      <c r="G1579" s="8" t="s">
        <v>7522</v>
      </c>
      <c r="H1579" s="8" t="s">
        <v>7523</v>
      </c>
      <c r="I1579" s="8" t="s">
        <v>363</v>
      </c>
      <c r="J1579" s="16" t="s">
        <v>7524</v>
      </c>
      <c r="K1579" s="2" t="s">
        <v>7525</v>
      </c>
      <c r="L1579" s="8" t="s">
        <v>7526</v>
      </c>
      <c r="M1579" s="8" t="s">
        <v>27</v>
      </c>
      <c r="N1579" s="2" t="s">
        <v>7527</v>
      </c>
      <c r="O1579" s="8" t="s">
        <v>400</v>
      </c>
      <c r="P1579" s="8" t="s">
        <v>401</v>
      </c>
      <c r="Q1579" s="12" t="s">
        <v>7528</v>
      </c>
      <c r="R1579" s="8" t="s">
        <v>100</v>
      </c>
      <c r="S1579" s="7" t="s">
        <v>28</v>
      </c>
      <c r="T1579" s="6"/>
      <c r="U1579" s="8"/>
    </row>
    <row r="1580" spans="1:34" ht="13" customHeight="1">
      <c r="A1580" s="8" t="s">
        <v>7543</v>
      </c>
      <c r="B1580" s="16">
        <v>33</v>
      </c>
      <c r="C1580" s="8" t="s">
        <v>20</v>
      </c>
      <c r="D1580" s="8" t="s">
        <v>85</v>
      </c>
      <c r="E1580" s="8" t="s">
        <v>7544</v>
      </c>
      <c r="F1580" s="17">
        <v>41880</v>
      </c>
      <c r="G1580" s="8" t="s">
        <v>7545</v>
      </c>
      <c r="H1580" s="8" t="s">
        <v>1063</v>
      </c>
      <c r="I1580" s="8" t="s">
        <v>62</v>
      </c>
      <c r="J1580" s="16" t="s">
        <v>7546</v>
      </c>
      <c r="K1580" s="2" t="s">
        <v>1064</v>
      </c>
      <c r="L1580" s="8" t="s">
        <v>4453</v>
      </c>
      <c r="M1580" s="8" t="s">
        <v>27</v>
      </c>
      <c r="N1580" s="2" t="s">
        <v>7547</v>
      </c>
      <c r="O1580" s="8" t="s">
        <v>1013</v>
      </c>
      <c r="P1580" s="8" t="s">
        <v>401</v>
      </c>
      <c r="Q1580" s="12" t="s">
        <v>7548</v>
      </c>
      <c r="R1580" s="8" t="s">
        <v>100</v>
      </c>
      <c r="S1580" s="7" t="s">
        <v>28</v>
      </c>
      <c r="T1580" s="6"/>
      <c r="U1580" s="8"/>
    </row>
    <row r="1581" spans="1:34" ht="13" customHeight="1">
      <c r="A1581" s="8" t="s">
        <v>7540</v>
      </c>
      <c r="B1581" s="16">
        <v>45</v>
      </c>
      <c r="C1581" s="8" t="s">
        <v>20</v>
      </c>
      <c r="D1581" s="8" t="s">
        <v>85</v>
      </c>
      <c r="E1581" s="8" t="str">
        <f>HYPERLINK("https://cbsnewyork.files.wordpress.com/2014/08/singelton2.jpg?w=620&amp;h=349&amp;crop=1","https://cbsnewyork.files.wordpress.com/2014/08/singelton2.jpg?w=620&amp;h=349&amp;crop=1")</f>
        <v>https://cbsnewyork.files.wordpress.com/2014/08/singelton2.jpg?w=620&amp;h=349&amp;crop=1</v>
      </c>
      <c r="F1581" s="17">
        <v>41880</v>
      </c>
      <c r="G1581" s="8" t="s">
        <v>7541</v>
      </c>
      <c r="H1581" s="8" t="s">
        <v>757</v>
      </c>
      <c r="I1581" s="8" t="s">
        <v>423</v>
      </c>
      <c r="J1581" s="16">
        <v>10111</v>
      </c>
      <c r="K1581" s="2" t="s">
        <v>757</v>
      </c>
      <c r="L1581" s="8" t="s">
        <v>582</v>
      </c>
      <c r="M1581" s="8" t="s">
        <v>2297</v>
      </c>
      <c r="N1581" s="2" t="s">
        <v>7542</v>
      </c>
      <c r="O1581" s="8" t="s">
        <v>400</v>
      </c>
      <c r="P1581" s="8" t="s">
        <v>401</v>
      </c>
      <c r="Q1581" s="12" t="str">
        <f>HYPERLINK("http://www.nydailynews.com/new-york/nyc-crime/death-man-high-pcp-restrained-cops-ruled-homicide-article-1.1922055","http://www.nydailynews.com/new-york/nyc-crime/death-man-high-pcp-restrained-cops-ruled-homicide-article-1.1922055")</f>
        <v>http://www.nydailynews.com/new-york/nyc-crime/death-man-high-pcp-restrained-cops-ruled-homicide-article-1.1922055</v>
      </c>
      <c r="R1581" s="8" t="s">
        <v>967</v>
      </c>
      <c r="S1581" s="7" t="s">
        <v>18</v>
      </c>
      <c r="T1581" s="6"/>
      <c r="U1581" s="8"/>
    </row>
    <row r="1582" spans="1:34" ht="13" customHeight="1">
      <c r="A1582" s="8" t="s">
        <v>7549</v>
      </c>
      <c r="B1582" s="16">
        <v>45</v>
      </c>
      <c r="C1582" s="8" t="s">
        <v>20</v>
      </c>
      <c r="D1582" s="8" t="s">
        <v>48</v>
      </c>
      <c r="E1582" s="8" t="s">
        <v>7550</v>
      </c>
      <c r="F1582" s="17">
        <v>41880</v>
      </c>
      <c r="G1582" s="8" t="s">
        <v>7551</v>
      </c>
      <c r="H1582" s="8" t="s">
        <v>7552</v>
      </c>
      <c r="I1582" s="8" t="s">
        <v>73</v>
      </c>
      <c r="J1582" s="16" t="s">
        <v>7553</v>
      </c>
      <c r="K1582" s="2" t="s">
        <v>6739</v>
      </c>
      <c r="L1582" s="8" t="s">
        <v>7554</v>
      </c>
      <c r="M1582" s="8" t="s">
        <v>27</v>
      </c>
      <c r="N1582" s="2" t="s">
        <v>7555</v>
      </c>
      <c r="O1582" s="8" t="s">
        <v>1013</v>
      </c>
      <c r="P1582" s="8" t="s">
        <v>401</v>
      </c>
      <c r="Q1582" s="12" t="s">
        <v>7556</v>
      </c>
      <c r="R1582" s="8" t="s">
        <v>100</v>
      </c>
      <c r="S1582" s="7" t="s">
        <v>28</v>
      </c>
      <c r="T1582" s="6"/>
      <c r="U1582" s="8"/>
    </row>
    <row r="1583" spans="1:34" ht="13" customHeight="1">
      <c r="A1583" s="8" t="s">
        <v>7557</v>
      </c>
      <c r="B1583" s="16">
        <v>26</v>
      </c>
      <c r="C1583" s="8" t="s">
        <v>20</v>
      </c>
      <c r="D1583" s="8" t="s">
        <v>37</v>
      </c>
      <c r="E1583" s="8" t="s">
        <v>7558</v>
      </c>
      <c r="F1583" s="17">
        <v>41880</v>
      </c>
      <c r="G1583" s="8" t="s">
        <v>7559</v>
      </c>
      <c r="H1583" s="8" t="s">
        <v>7560</v>
      </c>
      <c r="I1583" s="8" t="s">
        <v>117</v>
      </c>
      <c r="J1583" s="16">
        <v>97801</v>
      </c>
      <c r="K1583" s="2" t="s">
        <v>7561</v>
      </c>
      <c r="L1583" s="8" t="s">
        <v>7562</v>
      </c>
      <c r="M1583" s="8" t="s">
        <v>27</v>
      </c>
      <c r="N1583" s="2" t="s">
        <v>7563</v>
      </c>
      <c r="P1583" s="8" t="s">
        <v>401</v>
      </c>
      <c r="Q1583" s="12" t="s">
        <v>7564</v>
      </c>
      <c r="S1583" s="7" t="s">
        <v>35</v>
      </c>
      <c r="T1583" s="6"/>
      <c r="U1583" s="8"/>
    </row>
    <row r="1584" spans="1:34" ht="13" customHeight="1">
      <c r="A1584" s="8" t="s">
        <v>7565</v>
      </c>
      <c r="B1584" s="16">
        <v>44</v>
      </c>
      <c r="C1584" s="8" t="s">
        <v>20</v>
      </c>
      <c r="D1584" s="8" t="s">
        <v>37</v>
      </c>
      <c r="E1584" s="8" t="s">
        <v>7566</v>
      </c>
      <c r="F1584" s="17">
        <v>41880</v>
      </c>
      <c r="G1584" s="8" t="s">
        <v>7567</v>
      </c>
      <c r="H1584" s="8" t="s">
        <v>7568</v>
      </c>
      <c r="I1584" s="8" t="s">
        <v>123</v>
      </c>
      <c r="J1584" s="16" t="s">
        <v>7569</v>
      </c>
      <c r="K1584" s="2" t="s">
        <v>5873</v>
      </c>
      <c r="L1584" s="8" t="s">
        <v>19724</v>
      </c>
      <c r="M1584" s="8" t="s">
        <v>391</v>
      </c>
      <c r="N1584" s="2" t="s">
        <v>7570</v>
      </c>
      <c r="O1584" s="8" t="s">
        <v>1013</v>
      </c>
      <c r="P1584" s="8" t="s">
        <v>401</v>
      </c>
      <c r="Q1584" s="12" t="s">
        <v>7571</v>
      </c>
      <c r="R1584" s="8" t="s">
        <v>100</v>
      </c>
      <c r="S1584" s="7" t="s">
        <v>18</v>
      </c>
      <c r="T1584" s="6"/>
      <c r="U1584" s="8"/>
    </row>
    <row r="1585" spans="1:21" ht="13" customHeight="1">
      <c r="A1585" s="8" t="s">
        <v>7572</v>
      </c>
      <c r="B1585" s="16">
        <v>36</v>
      </c>
      <c r="C1585" s="8" t="s">
        <v>20</v>
      </c>
      <c r="D1585" s="8" t="s">
        <v>48</v>
      </c>
      <c r="F1585" s="17">
        <v>41879</v>
      </c>
      <c r="G1585" s="8" t="s">
        <v>7573</v>
      </c>
      <c r="H1585" s="8" t="s">
        <v>3613</v>
      </c>
      <c r="I1585" s="8" t="s">
        <v>133</v>
      </c>
      <c r="J1585" s="16" t="s">
        <v>7574</v>
      </c>
      <c r="K1585" s="2" t="s">
        <v>3615</v>
      </c>
      <c r="L1585" s="8" t="s">
        <v>4947</v>
      </c>
      <c r="M1585" s="8" t="s">
        <v>27</v>
      </c>
      <c r="N1585" s="2" t="s">
        <v>7575</v>
      </c>
      <c r="O1585" s="8" t="s">
        <v>400</v>
      </c>
      <c r="P1585" s="8" t="s">
        <v>401</v>
      </c>
      <c r="Q1585" s="12" t="s">
        <v>7576</v>
      </c>
      <c r="R1585" s="8" t="s">
        <v>100</v>
      </c>
      <c r="S1585" s="7" t="s">
        <v>28</v>
      </c>
      <c r="T1585" s="6"/>
      <c r="U1585" s="8"/>
    </row>
    <row r="1586" spans="1:21" ht="13" customHeight="1">
      <c r="A1586" s="8" t="s">
        <v>7577</v>
      </c>
      <c r="B1586" s="16">
        <v>21</v>
      </c>
      <c r="C1586" s="8" t="s">
        <v>20</v>
      </c>
      <c r="D1586" s="8" t="s">
        <v>37</v>
      </c>
      <c r="E1586" s="8" t="s">
        <v>7578</v>
      </c>
      <c r="F1586" s="17">
        <v>41879</v>
      </c>
      <c r="G1586" s="8" t="s">
        <v>7579</v>
      </c>
      <c r="H1586" s="8" t="s">
        <v>3615</v>
      </c>
      <c r="I1586" s="8" t="s">
        <v>133</v>
      </c>
      <c r="J1586" s="16" t="s">
        <v>7580</v>
      </c>
      <c r="K1586" s="2" t="s">
        <v>2427</v>
      </c>
      <c r="L1586" s="8" t="s">
        <v>7581</v>
      </c>
      <c r="M1586" s="8" t="s">
        <v>27</v>
      </c>
      <c r="N1586" s="2" t="s">
        <v>7582</v>
      </c>
      <c r="O1586" s="8" t="s">
        <v>550</v>
      </c>
      <c r="P1586" s="8" t="s">
        <v>401</v>
      </c>
      <c r="Q1586" s="12" t="str">
        <f>HYPERLINK("http://www.mprnews.org/story/2014/11/17/police-justified-in-ramsey-shooting","http://www.mprnews.org/story/2014/11/17/police-justified-in-ramsey-shooting")</f>
        <v>http://www.mprnews.org/story/2014/11/17/police-justified-in-ramsey-shooting</v>
      </c>
      <c r="R1586" s="8" t="s">
        <v>100</v>
      </c>
      <c r="S1586" s="7" t="s">
        <v>28</v>
      </c>
      <c r="T1586" s="6"/>
      <c r="U1586" s="8"/>
    </row>
    <row r="1587" spans="1:21" ht="13" customHeight="1">
      <c r="A1587" s="8" t="s">
        <v>7590</v>
      </c>
      <c r="B1587" s="16">
        <v>31</v>
      </c>
      <c r="C1587" s="8" t="s">
        <v>20</v>
      </c>
      <c r="D1587" s="8" t="s">
        <v>37</v>
      </c>
      <c r="E1587" s="8" t="s">
        <v>7591</v>
      </c>
      <c r="F1587" s="17">
        <v>41879</v>
      </c>
      <c r="G1587" s="8" t="s">
        <v>7592</v>
      </c>
      <c r="H1587" s="8" t="s">
        <v>3593</v>
      </c>
      <c r="I1587" s="8" t="s">
        <v>62</v>
      </c>
      <c r="J1587" s="16" t="s">
        <v>7593</v>
      </c>
      <c r="K1587" s="2" t="s">
        <v>3595</v>
      </c>
      <c r="L1587" s="8" t="s">
        <v>7594</v>
      </c>
      <c r="M1587" s="8" t="s">
        <v>27</v>
      </c>
      <c r="N1587" s="2" t="s">
        <v>7595</v>
      </c>
      <c r="O1587" s="8" t="s">
        <v>1013</v>
      </c>
      <c r="P1587" s="8" t="s">
        <v>401</v>
      </c>
      <c r="Q1587" s="12" t="s">
        <v>7596</v>
      </c>
      <c r="R1587" s="8" t="s">
        <v>100</v>
      </c>
      <c r="S1587" s="7" t="s">
        <v>28</v>
      </c>
      <c r="T1587" s="6"/>
      <c r="U1587" s="8"/>
    </row>
    <row r="1588" spans="1:21" ht="13" customHeight="1">
      <c r="A1588" s="8" t="s">
        <v>7583</v>
      </c>
      <c r="B1588" s="16">
        <v>32</v>
      </c>
      <c r="C1588" s="8" t="s">
        <v>20</v>
      </c>
      <c r="D1588" s="8" t="s">
        <v>37</v>
      </c>
      <c r="F1588" s="17">
        <v>41879</v>
      </c>
      <c r="G1588" s="8" t="s">
        <v>7584</v>
      </c>
      <c r="H1588" s="8" t="s">
        <v>7585</v>
      </c>
      <c r="I1588" s="8" t="s">
        <v>45</v>
      </c>
      <c r="J1588" s="16" t="s">
        <v>7586</v>
      </c>
      <c r="K1588" s="2" t="s">
        <v>7587</v>
      </c>
      <c r="L1588" s="8" t="s">
        <v>7588</v>
      </c>
      <c r="M1588" s="8" t="s">
        <v>27</v>
      </c>
      <c r="N1588" s="2" t="s">
        <v>7589</v>
      </c>
      <c r="O1588" s="8" t="s">
        <v>400</v>
      </c>
      <c r="P1588" s="8" t="s">
        <v>401</v>
      </c>
      <c r="Q1588" s="12" t="str">
        <f>HYPERLINK("http://www.redding.com/news/local-news/deputies-person-shot-on-fig-tree-lane","http://www.redding.com/news/local-news/deputies-person-shot-on-fig-tree-lane")</f>
        <v>http://www.redding.com/news/local-news/deputies-person-shot-on-fig-tree-lane</v>
      </c>
      <c r="R1588" s="8" t="s">
        <v>555</v>
      </c>
      <c r="S1588" s="7" t="s">
        <v>28</v>
      </c>
      <c r="T1588" s="6"/>
      <c r="U1588" s="8"/>
    </row>
    <row r="1589" spans="1:21" ht="13" customHeight="1">
      <c r="A1589" s="8" t="s">
        <v>7597</v>
      </c>
      <c r="B1589" s="16">
        <v>45</v>
      </c>
      <c r="C1589" s="8" t="s">
        <v>20</v>
      </c>
      <c r="D1589" s="8" t="s">
        <v>85</v>
      </c>
      <c r="F1589" s="17">
        <v>41878</v>
      </c>
      <c r="G1589" s="8" t="s">
        <v>7598</v>
      </c>
      <c r="H1589" s="8" t="s">
        <v>7599</v>
      </c>
      <c r="I1589" s="8" t="s">
        <v>45</v>
      </c>
      <c r="J1589" s="16" t="s">
        <v>7600</v>
      </c>
      <c r="K1589" s="2" t="s">
        <v>98</v>
      </c>
      <c r="L1589" s="8" t="s">
        <v>99</v>
      </c>
      <c r="M1589" s="8" t="s">
        <v>27</v>
      </c>
      <c r="N1589" s="2" t="s">
        <v>7601</v>
      </c>
      <c r="O1589" s="8" t="s">
        <v>550</v>
      </c>
      <c r="P1589" s="8" t="s">
        <v>401</v>
      </c>
      <c r="Q1589" s="12" t="s">
        <v>7602</v>
      </c>
      <c r="R1589" s="8" t="s">
        <v>100</v>
      </c>
      <c r="S1589" s="7" t="s">
        <v>28</v>
      </c>
      <c r="T1589" s="6"/>
      <c r="U1589" s="8"/>
    </row>
    <row r="1590" spans="1:21" ht="13" customHeight="1">
      <c r="A1590" s="8" t="s">
        <v>7603</v>
      </c>
      <c r="B1590" s="16">
        <v>18</v>
      </c>
      <c r="C1590" s="8" t="s">
        <v>20</v>
      </c>
      <c r="D1590" s="8" t="s">
        <v>48</v>
      </c>
      <c r="E1590" s="8" t="s">
        <v>7604</v>
      </c>
      <c r="F1590" s="17">
        <v>41878</v>
      </c>
      <c r="G1590" s="8" t="s">
        <v>7605</v>
      </c>
      <c r="H1590" s="8" t="s">
        <v>285</v>
      </c>
      <c r="I1590" s="8" t="s">
        <v>73</v>
      </c>
      <c r="J1590" s="16" t="s">
        <v>7606</v>
      </c>
      <c r="K1590" s="2" t="s">
        <v>285</v>
      </c>
      <c r="L1590" s="8" t="s">
        <v>286</v>
      </c>
      <c r="M1590" s="8" t="s">
        <v>27</v>
      </c>
      <c r="N1590" s="2" t="s">
        <v>7607</v>
      </c>
      <c r="O1590" s="8" t="s">
        <v>1013</v>
      </c>
      <c r="P1590" s="8" t="s">
        <v>401</v>
      </c>
      <c r="Q1590" s="12" t="s">
        <v>7608</v>
      </c>
      <c r="R1590" s="8" t="s">
        <v>100</v>
      </c>
      <c r="S1590" s="7" t="s">
        <v>28</v>
      </c>
      <c r="T1590" s="6"/>
      <c r="U1590" s="8"/>
    </row>
    <row r="1591" spans="1:21" ht="13" customHeight="1">
      <c r="A1591" s="8" t="s">
        <v>7609</v>
      </c>
      <c r="B1591" s="16">
        <v>61</v>
      </c>
      <c r="C1591" s="8" t="s">
        <v>20</v>
      </c>
      <c r="D1591" s="8" t="s">
        <v>139</v>
      </c>
      <c r="E1591" s="8" t="s">
        <v>7610</v>
      </c>
      <c r="F1591" s="17">
        <v>41878</v>
      </c>
      <c r="G1591" s="8" t="s">
        <v>7611</v>
      </c>
      <c r="H1591" s="8" t="s">
        <v>7612</v>
      </c>
      <c r="I1591" s="8" t="s">
        <v>195</v>
      </c>
      <c r="J1591" s="16" t="s">
        <v>7613</v>
      </c>
      <c r="K1591" s="2" t="s">
        <v>5773</v>
      </c>
      <c r="L1591" s="8" t="s">
        <v>7614</v>
      </c>
      <c r="M1591" s="8" t="s">
        <v>27</v>
      </c>
      <c r="N1591" s="2" t="s">
        <v>7615</v>
      </c>
      <c r="O1591" s="8" t="s">
        <v>1013</v>
      </c>
      <c r="P1591" s="8" t="s">
        <v>401</v>
      </c>
      <c r="Q1591" s="12" t="s">
        <v>7616</v>
      </c>
      <c r="R1591" s="8" t="s">
        <v>100</v>
      </c>
      <c r="S1591" s="7" t="s">
        <v>35</v>
      </c>
      <c r="T1591" s="6"/>
      <c r="U1591" s="8"/>
    </row>
    <row r="1592" spans="1:21" ht="13" customHeight="1">
      <c r="A1592" s="8" t="s">
        <v>7617</v>
      </c>
      <c r="B1592" s="16">
        <v>54</v>
      </c>
      <c r="C1592" s="8" t="s">
        <v>20</v>
      </c>
      <c r="D1592" s="8" t="s">
        <v>30</v>
      </c>
      <c r="F1592" s="17">
        <v>41878</v>
      </c>
      <c r="G1592" s="8" t="s">
        <v>7618</v>
      </c>
      <c r="H1592" s="8" t="s">
        <v>7619</v>
      </c>
      <c r="I1592" s="8" t="s">
        <v>45</v>
      </c>
      <c r="J1592" s="16" t="s">
        <v>7620</v>
      </c>
      <c r="K1592" s="2" t="s">
        <v>7621</v>
      </c>
      <c r="L1592" s="8" t="s">
        <v>7622</v>
      </c>
      <c r="M1592" s="8" t="s">
        <v>27</v>
      </c>
      <c r="N1592" s="2" t="s">
        <v>7623</v>
      </c>
      <c r="O1592" s="8" t="s">
        <v>400</v>
      </c>
      <c r="P1592" s="8" t="s">
        <v>401</v>
      </c>
      <c r="Q1592" s="12" t="s">
        <v>7624</v>
      </c>
      <c r="R1592" s="8" t="s">
        <v>555</v>
      </c>
      <c r="S1592" s="7" t="s">
        <v>28</v>
      </c>
      <c r="T1592" s="6"/>
      <c r="U1592" s="8"/>
    </row>
    <row r="1593" spans="1:21" ht="13" customHeight="1">
      <c r="A1593" s="8" t="s">
        <v>7625</v>
      </c>
      <c r="B1593" s="16">
        <v>48</v>
      </c>
      <c r="C1593" s="8" t="s">
        <v>20</v>
      </c>
      <c r="D1593" s="8" t="s">
        <v>37</v>
      </c>
      <c r="E1593" s="8" t="s">
        <v>7626</v>
      </c>
      <c r="F1593" s="17">
        <v>41878</v>
      </c>
      <c r="G1593" s="8" t="s">
        <v>7627</v>
      </c>
      <c r="H1593" s="8" t="s">
        <v>7628</v>
      </c>
      <c r="I1593" s="8" t="s">
        <v>25</v>
      </c>
      <c r="J1593" s="16" t="s">
        <v>7629</v>
      </c>
      <c r="K1593" s="2" t="s">
        <v>4105</v>
      </c>
      <c r="L1593" s="8" t="s">
        <v>7630</v>
      </c>
      <c r="M1593" s="8" t="s">
        <v>27</v>
      </c>
      <c r="N1593" s="2" t="s">
        <v>7631</v>
      </c>
      <c r="O1593" s="8" t="s">
        <v>1013</v>
      </c>
      <c r="P1593" s="8" t="s">
        <v>401</v>
      </c>
      <c r="Q1593" s="12" t="s">
        <v>7632</v>
      </c>
      <c r="R1593" s="8" t="s">
        <v>100</v>
      </c>
      <c r="S1593" s="7" t="s">
        <v>28</v>
      </c>
      <c r="T1593" s="6"/>
      <c r="U1593" s="8"/>
    </row>
    <row r="1594" spans="1:21" ht="13" customHeight="1">
      <c r="A1594" s="8" t="s">
        <v>7639</v>
      </c>
      <c r="B1594" s="16">
        <v>18</v>
      </c>
      <c r="C1594" s="8" t="s">
        <v>20</v>
      </c>
      <c r="D1594" s="8" t="s">
        <v>85</v>
      </c>
      <c r="E1594" s="8" t="s">
        <v>7640</v>
      </c>
      <c r="F1594" s="17">
        <v>41877</v>
      </c>
      <c r="G1594" s="8" t="s">
        <v>7641</v>
      </c>
      <c r="H1594" s="8" t="s">
        <v>87</v>
      </c>
      <c r="I1594" s="8" t="s">
        <v>44</v>
      </c>
      <c r="J1594" s="16" t="s">
        <v>7642</v>
      </c>
      <c r="K1594" s="2" t="s">
        <v>88</v>
      </c>
      <c r="L1594" s="8" t="s">
        <v>89</v>
      </c>
      <c r="M1594" s="8" t="s">
        <v>27</v>
      </c>
      <c r="N1594" s="2" t="s">
        <v>7643</v>
      </c>
      <c r="O1594" s="8" t="s">
        <v>400</v>
      </c>
      <c r="P1594" s="8" t="s">
        <v>401</v>
      </c>
      <c r="Q1594" s="12" t="s">
        <v>7644</v>
      </c>
      <c r="R1594" s="8" t="s">
        <v>100</v>
      </c>
      <c r="S1594" s="7" t="s">
        <v>28</v>
      </c>
      <c r="T1594" s="6"/>
      <c r="U1594" s="8"/>
    </row>
    <row r="1595" spans="1:21" ht="13" customHeight="1">
      <c r="A1595" s="8" t="s">
        <v>7633</v>
      </c>
      <c r="B1595" s="16">
        <v>32</v>
      </c>
      <c r="C1595" s="8" t="s">
        <v>20</v>
      </c>
      <c r="D1595" s="8" t="s">
        <v>85</v>
      </c>
      <c r="E1595" s="8" t="s">
        <v>7634</v>
      </c>
      <c r="F1595" s="17">
        <v>41877</v>
      </c>
      <c r="G1595" s="8" t="s">
        <v>7635</v>
      </c>
      <c r="H1595" s="8" t="s">
        <v>1631</v>
      </c>
      <c r="I1595" s="8" t="s">
        <v>463</v>
      </c>
      <c r="J1595" s="16" t="s">
        <v>7636</v>
      </c>
      <c r="K1595" s="2" t="s">
        <v>941</v>
      </c>
      <c r="L1595" s="8" t="s">
        <v>2258</v>
      </c>
      <c r="M1595" s="8" t="s">
        <v>27</v>
      </c>
      <c r="N1595" s="2" t="s">
        <v>7637</v>
      </c>
      <c r="O1595" s="8" t="s">
        <v>1013</v>
      </c>
      <c r="P1595" s="8" t="s">
        <v>401</v>
      </c>
      <c r="Q1595" s="12" t="s">
        <v>7638</v>
      </c>
      <c r="R1595" s="8" t="s">
        <v>29</v>
      </c>
      <c r="S1595" s="7" t="s">
        <v>18</v>
      </c>
      <c r="T1595" s="6"/>
      <c r="U1595" s="8"/>
    </row>
    <row r="1596" spans="1:21" ht="13" customHeight="1">
      <c r="A1596" s="8" t="s">
        <v>7650</v>
      </c>
      <c r="B1596" s="16">
        <v>20</v>
      </c>
      <c r="C1596" s="8" t="s">
        <v>20</v>
      </c>
      <c r="D1596" s="8" t="s">
        <v>37</v>
      </c>
      <c r="E1596" s="8" t="s">
        <v>7651</v>
      </c>
      <c r="F1596" s="17">
        <v>41877</v>
      </c>
      <c r="G1596" s="8" t="s">
        <v>7652</v>
      </c>
      <c r="H1596" s="8" t="s">
        <v>7653</v>
      </c>
      <c r="I1596" s="8" t="s">
        <v>150</v>
      </c>
      <c r="J1596" s="16" t="s">
        <v>7654</v>
      </c>
      <c r="K1596" s="2" t="s">
        <v>3414</v>
      </c>
      <c r="L1596" s="8" t="s">
        <v>7655</v>
      </c>
      <c r="M1596" s="8" t="s">
        <v>27</v>
      </c>
      <c r="N1596" s="2" t="s">
        <v>7656</v>
      </c>
      <c r="O1596" s="8" t="s">
        <v>550</v>
      </c>
      <c r="P1596" s="8" t="s">
        <v>401</v>
      </c>
      <c r="Q1596" s="12" t="s">
        <v>7657</v>
      </c>
      <c r="R1596" s="8" t="s">
        <v>29</v>
      </c>
      <c r="S1596" s="7" t="s">
        <v>28</v>
      </c>
      <c r="T1596" s="6"/>
      <c r="U1596" s="8"/>
    </row>
    <row r="1597" spans="1:21" ht="13" customHeight="1">
      <c r="A1597" s="8" t="s">
        <v>7645</v>
      </c>
      <c r="B1597" s="16">
        <v>38</v>
      </c>
      <c r="C1597" s="8" t="s">
        <v>20</v>
      </c>
      <c r="D1597" s="8" t="s">
        <v>37</v>
      </c>
      <c r="E1597" s="8" t="s">
        <v>7646</v>
      </c>
      <c r="F1597" s="17">
        <v>41877</v>
      </c>
      <c r="G1597" s="8" t="s">
        <v>7647</v>
      </c>
      <c r="H1597" s="8" t="s">
        <v>1631</v>
      </c>
      <c r="I1597" s="8" t="s">
        <v>463</v>
      </c>
      <c r="J1597" s="16" t="s">
        <v>7636</v>
      </c>
      <c r="K1597" s="2" t="s">
        <v>941</v>
      </c>
      <c r="L1597" s="8" t="s">
        <v>2258</v>
      </c>
      <c r="M1597" s="8" t="s">
        <v>27</v>
      </c>
      <c r="N1597" s="2" t="s">
        <v>7648</v>
      </c>
      <c r="O1597" s="8" t="s">
        <v>400</v>
      </c>
      <c r="P1597" s="8" t="s">
        <v>401</v>
      </c>
      <c r="Q1597" s="12" t="s">
        <v>7649</v>
      </c>
      <c r="R1597" s="8" t="s">
        <v>100</v>
      </c>
      <c r="S1597" s="7" t="s">
        <v>28</v>
      </c>
      <c r="T1597" s="6"/>
      <c r="U1597" s="8"/>
    </row>
    <row r="1598" spans="1:21" ht="13" customHeight="1">
      <c r="A1598" s="8" t="s">
        <v>7658</v>
      </c>
      <c r="B1598" s="16">
        <v>20</v>
      </c>
      <c r="C1598" s="8" t="s">
        <v>20</v>
      </c>
      <c r="D1598" s="8" t="s">
        <v>85</v>
      </c>
      <c r="E1598" s="8" t="s">
        <v>7659</v>
      </c>
      <c r="F1598" s="17">
        <v>41876</v>
      </c>
      <c r="G1598" s="8" t="s">
        <v>7641</v>
      </c>
      <c r="H1598" s="8" t="s">
        <v>87</v>
      </c>
      <c r="I1598" s="8" t="s">
        <v>44</v>
      </c>
      <c r="J1598" s="16" t="s">
        <v>7642</v>
      </c>
      <c r="K1598" s="2" t="s">
        <v>88</v>
      </c>
      <c r="L1598" s="8" t="s">
        <v>89</v>
      </c>
      <c r="M1598" s="8" t="s">
        <v>27</v>
      </c>
      <c r="N1598" s="2" t="s">
        <v>7660</v>
      </c>
      <c r="O1598" s="8" t="s">
        <v>1013</v>
      </c>
      <c r="P1598" s="8" t="s">
        <v>401</v>
      </c>
      <c r="Q1598" s="12" t="s">
        <v>7661</v>
      </c>
      <c r="R1598" s="8" t="s">
        <v>100</v>
      </c>
      <c r="S1598" s="7" t="s">
        <v>28</v>
      </c>
      <c r="T1598" s="6"/>
      <c r="U1598" s="8"/>
    </row>
    <row r="1599" spans="1:21" ht="13" customHeight="1">
      <c r="A1599" s="8" t="s">
        <v>7662</v>
      </c>
      <c r="B1599" s="16">
        <v>29</v>
      </c>
      <c r="C1599" s="8" t="s">
        <v>20</v>
      </c>
      <c r="D1599" s="8" t="s">
        <v>85</v>
      </c>
      <c r="E1599" s="8" t="s">
        <v>7663</v>
      </c>
      <c r="F1599" s="17">
        <v>41876</v>
      </c>
      <c r="G1599" s="8" t="s">
        <v>7664</v>
      </c>
      <c r="H1599" s="8" t="s">
        <v>285</v>
      </c>
      <c r="I1599" s="8" t="s">
        <v>73</v>
      </c>
      <c r="J1599" s="16" t="s">
        <v>7665</v>
      </c>
      <c r="K1599" s="2" t="s">
        <v>285</v>
      </c>
      <c r="L1599" s="8" t="s">
        <v>286</v>
      </c>
      <c r="M1599" s="8" t="s">
        <v>27</v>
      </c>
      <c r="N1599" s="2" t="s">
        <v>7666</v>
      </c>
      <c r="O1599" s="8" t="s">
        <v>400</v>
      </c>
      <c r="P1599" s="8" t="s">
        <v>401</v>
      </c>
      <c r="Q1599" s="12" t="s">
        <v>7667</v>
      </c>
      <c r="R1599" s="8" t="s">
        <v>100</v>
      </c>
      <c r="S1599" s="7" t="s">
        <v>28</v>
      </c>
      <c r="T1599" s="6"/>
      <c r="U1599" s="8"/>
    </row>
    <row r="1600" spans="1:21" ht="13" customHeight="1">
      <c r="A1600" s="8" t="s">
        <v>7668</v>
      </c>
      <c r="B1600" s="16">
        <v>51</v>
      </c>
      <c r="C1600" s="8" t="s">
        <v>20</v>
      </c>
      <c r="D1600" s="8" t="s">
        <v>48</v>
      </c>
      <c r="E1600" s="8" t="s">
        <v>7669</v>
      </c>
      <c r="F1600" s="17">
        <v>41876</v>
      </c>
      <c r="G1600" s="8" t="s">
        <v>7670</v>
      </c>
      <c r="H1600" s="8" t="s">
        <v>6676</v>
      </c>
      <c r="I1600" s="8" t="s">
        <v>73</v>
      </c>
      <c r="J1600" s="16" t="s">
        <v>7671</v>
      </c>
      <c r="K1600" s="2" t="s">
        <v>6676</v>
      </c>
      <c r="L1600" s="8" t="s">
        <v>7672</v>
      </c>
      <c r="M1600" s="8" t="s">
        <v>27</v>
      </c>
      <c r="N1600" s="2" t="s">
        <v>7673</v>
      </c>
      <c r="O1600" s="8" t="s">
        <v>1013</v>
      </c>
      <c r="P1600" s="8" t="s">
        <v>401</v>
      </c>
      <c r="Q1600" s="12" t="s">
        <v>7674</v>
      </c>
      <c r="R1600" s="8" t="s">
        <v>100</v>
      </c>
      <c r="S1600" s="7" t="s">
        <v>28</v>
      </c>
      <c r="T1600" s="6"/>
      <c r="U1600" s="8"/>
    </row>
    <row r="1601" spans="1:34" ht="13" customHeight="1">
      <c r="A1601" s="8" t="s">
        <v>7675</v>
      </c>
      <c r="B1601" s="16">
        <v>29</v>
      </c>
      <c r="C1601" s="8" t="s">
        <v>20</v>
      </c>
      <c r="D1601" s="8" t="s">
        <v>37</v>
      </c>
      <c r="F1601" s="17">
        <v>41876</v>
      </c>
      <c r="G1601" s="8" t="s">
        <v>7676</v>
      </c>
      <c r="H1601" s="8" t="s">
        <v>2288</v>
      </c>
      <c r="I1601" s="8" t="s">
        <v>209</v>
      </c>
      <c r="J1601" s="16" t="s">
        <v>2289</v>
      </c>
      <c r="K1601" s="2" t="s">
        <v>1432</v>
      </c>
      <c r="L1601" s="8" t="s">
        <v>2290</v>
      </c>
      <c r="M1601" s="8" t="s">
        <v>27</v>
      </c>
      <c r="N1601" s="2" t="s">
        <v>7677</v>
      </c>
      <c r="O1601" s="8" t="s">
        <v>550</v>
      </c>
      <c r="P1601" s="8" t="s">
        <v>401</v>
      </c>
      <c r="Q1601" s="12" t="s">
        <v>7678</v>
      </c>
      <c r="R1601" s="8" t="s">
        <v>100</v>
      </c>
      <c r="S1601" s="7" t="s">
        <v>28</v>
      </c>
      <c r="T1601" s="6"/>
      <c r="U1601" s="8"/>
    </row>
    <row r="1602" spans="1:34" ht="13" customHeight="1">
      <c r="A1602" s="8" t="s">
        <v>7679</v>
      </c>
      <c r="B1602" s="16">
        <v>38</v>
      </c>
      <c r="C1602" s="8" t="s">
        <v>20</v>
      </c>
      <c r="D1602" s="8" t="s">
        <v>85</v>
      </c>
      <c r="E1602" s="8" t="s">
        <v>7680</v>
      </c>
      <c r="F1602" s="17">
        <v>41875</v>
      </c>
      <c r="G1602" s="8" t="s">
        <v>7681</v>
      </c>
      <c r="H1602" s="8" t="s">
        <v>819</v>
      </c>
      <c r="I1602" s="8" t="s">
        <v>395</v>
      </c>
      <c r="J1602" s="16" t="s">
        <v>7682</v>
      </c>
      <c r="K1602" s="2" t="s">
        <v>820</v>
      </c>
      <c r="L1602" s="8" t="s">
        <v>821</v>
      </c>
      <c r="M1602" s="8" t="s">
        <v>29</v>
      </c>
      <c r="N1602" s="2" t="s">
        <v>7683</v>
      </c>
      <c r="O1602" s="8" t="s">
        <v>1013</v>
      </c>
      <c r="P1602" s="8" t="s">
        <v>401</v>
      </c>
      <c r="Q1602" s="12" t="s">
        <v>7684</v>
      </c>
      <c r="R1602" s="8" t="s">
        <v>100</v>
      </c>
      <c r="S1602" s="7" t="s">
        <v>18</v>
      </c>
      <c r="T1602" s="6"/>
      <c r="U1602" s="8"/>
      <c r="Y1602" s="8"/>
      <c r="Z1602" s="8"/>
      <c r="AA1602" s="8"/>
      <c r="AB1602" s="8"/>
      <c r="AC1602" s="8"/>
      <c r="AD1602" s="8"/>
      <c r="AE1602" s="8"/>
      <c r="AF1602" s="8"/>
      <c r="AG1602" s="8"/>
      <c r="AH1602" s="8"/>
    </row>
    <row r="1603" spans="1:34" ht="13" customHeight="1">
      <c r="A1603" s="8" t="s">
        <v>7685</v>
      </c>
      <c r="B1603" s="16">
        <v>22</v>
      </c>
      <c r="C1603" s="8" t="s">
        <v>20</v>
      </c>
      <c r="D1603" s="8" t="s">
        <v>48</v>
      </c>
      <c r="E1603" s="8" t="s">
        <v>7686</v>
      </c>
      <c r="F1603" s="17">
        <v>41875</v>
      </c>
      <c r="G1603" s="8" t="s">
        <v>7687</v>
      </c>
      <c r="H1603" s="8" t="s">
        <v>1097</v>
      </c>
      <c r="I1603" s="8" t="s">
        <v>395</v>
      </c>
      <c r="J1603" s="16" t="s">
        <v>7688</v>
      </c>
      <c r="K1603" s="2" t="s">
        <v>1098</v>
      </c>
      <c r="L1603" s="8" t="s">
        <v>1099</v>
      </c>
      <c r="M1603" s="8" t="s">
        <v>27</v>
      </c>
      <c r="N1603" s="2" t="s">
        <v>7689</v>
      </c>
      <c r="O1603" s="8" t="s">
        <v>400</v>
      </c>
      <c r="P1603" s="8" t="s">
        <v>401</v>
      </c>
      <c r="Q1603" s="12" t="s">
        <v>7690</v>
      </c>
      <c r="R1603" s="8" t="s">
        <v>100</v>
      </c>
      <c r="S1603" s="7" t="s">
        <v>28</v>
      </c>
      <c r="T1603" s="6"/>
      <c r="U1603" s="8"/>
    </row>
    <row r="1604" spans="1:34" ht="13" customHeight="1">
      <c r="A1604" s="8" t="s">
        <v>7704</v>
      </c>
      <c r="B1604" s="16">
        <v>31</v>
      </c>
      <c r="C1604" s="8" t="s">
        <v>20</v>
      </c>
      <c r="D1604" s="8" t="s">
        <v>37</v>
      </c>
      <c r="F1604" s="17">
        <v>41875</v>
      </c>
      <c r="G1604" s="8" t="s">
        <v>7705</v>
      </c>
      <c r="H1604" s="8" t="s">
        <v>7706</v>
      </c>
      <c r="I1604" s="8" t="s">
        <v>150</v>
      </c>
      <c r="J1604" s="16" t="s">
        <v>7707</v>
      </c>
      <c r="K1604" s="2" t="s">
        <v>7708</v>
      </c>
      <c r="L1604" s="8" t="s">
        <v>17515</v>
      </c>
      <c r="M1604" s="8" t="s">
        <v>27</v>
      </c>
      <c r="N1604" s="2" t="s">
        <v>7709</v>
      </c>
      <c r="O1604" s="8" t="s">
        <v>29</v>
      </c>
      <c r="P1604" s="8" t="s">
        <v>401</v>
      </c>
      <c r="Q1604" s="12" t="s">
        <v>7710</v>
      </c>
      <c r="R1604" s="8" t="s">
        <v>100</v>
      </c>
      <c r="S1604" s="7" t="s">
        <v>28</v>
      </c>
      <c r="T1604" s="6"/>
      <c r="U1604" s="8"/>
    </row>
    <row r="1605" spans="1:34" ht="13" customHeight="1">
      <c r="A1605" s="8" t="s">
        <v>7691</v>
      </c>
      <c r="B1605" s="16">
        <v>52</v>
      </c>
      <c r="C1605" s="8" t="s">
        <v>20</v>
      </c>
      <c r="D1605" s="8" t="s">
        <v>37</v>
      </c>
      <c r="E1605" s="8" t="s">
        <v>7692</v>
      </c>
      <c r="F1605" s="17">
        <v>41875</v>
      </c>
      <c r="G1605" s="8" t="s">
        <v>7693</v>
      </c>
      <c r="H1605" s="8" t="s">
        <v>2023</v>
      </c>
      <c r="I1605" s="8" t="s">
        <v>117</v>
      </c>
      <c r="J1605" s="16" t="s">
        <v>3574</v>
      </c>
      <c r="K1605" s="2" t="s">
        <v>433</v>
      </c>
      <c r="L1605" s="8" t="s">
        <v>2025</v>
      </c>
      <c r="M1605" s="8" t="s">
        <v>27</v>
      </c>
      <c r="N1605" s="2" t="s">
        <v>7694</v>
      </c>
      <c r="O1605" s="8" t="s">
        <v>1013</v>
      </c>
      <c r="P1605" s="8" t="s">
        <v>401</v>
      </c>
      <c r="Q1605" s="12" t="s">
        <v>7695</v>
      </c>
      <c r="R1605" s="8" t="s">
        <v>555</v>
      </c>
      <c r="S1605" s="7" t="s">
        <v>28</v>
      </c>
      <c r="T1605" s="6"/>
      <c r="U1605" s="8"/>
    </row>
    <row r="1606" spans="1:34" ht="13" customHeight="1">
      <c r="A1606" s="8" t="s">
        <v>7696</v>
      </c>
      <c r="B1606" s="16">
        <v>41</v>
      </c>
      <c r="C1606" s="8" t="s">
        <v>20</v>
      </c>
      <c r="D1606" s="8" t="s">
        <v>37</v>
      </c>
      <c r="E1606" s="8" t="s">
        <v>7697</v>
      </c>
      <c r="F1606" s="17">
        <v>41875</v>
      </c>
      <c r="G1606" s="8" t="s">
        <v>7698</v>
      </c>
      <c r="H1606" s="8" t="s">
        <v>7699</v>
      </c>
      <c r="I1606" s="8" t="s">
        <v>62</v>
      </c>
      <c r="J1606" s="16" t="s">
        <v>7700</v>
      </c>
      <c r="K1606" s="2" t="s">
        <v>51</v>
      </c>
      <c r="L1606" s="8" t="s">
        <v>7701</v>
      </c>
      <c r="M1606" s="8" t="s">
        <v>391</v>
      </c>
      <c r="N1606" s="2" t="s">
        <v>7702</v>
      </c>
      <c r="O1606" s="8" t="s">
        <v>1013</v>
      </c>
      <c r="P1606" s="8" t="s">
        <v>401</v>
      </c>
      <c r="Q1606" s="12" t="s">
        <v>7703</v>
      </c>
      <c r="R1606" s="8" t="s">
        <v>100</v>
      </c>
      <c r="S1606" s="7" t="s">
        <v>28</v>
      </c>
      <c r="T1606" s="6"/>
      <c r="U1606" s="8"/>
    </row>
    <row r="1607" spans="1:34" ht="13" customHeight="1">
      <c r="A1607" s="8" t="s">
        <v>7718</v>
      </c>
      <c r="B1607" s="16">
        <v>26</v>
      </c>
      <c r="C1607" s="8" t="s">
        <v>20</v>
      </c>
      <c r="D1607" s="8" t="s">
        <v>85</v>
      </c>
      <c r="E1607" s="8" t="s">
        <v>7719</v>
      </c>
      <c r="F1607" s="17">
        <v>41874</v>
      </c>
      <c r="G1607" s="8" t="s">
        <v>7720</v>
      </c>
      <c r="H1607" s="8" t="s">
        <v>7721</v>
      </c>
      <c r="I1607" s="8" t="s">
        <v>46</v>
      </c>
      <c r="J1607" s="16" t="s">
        <v>7722</v>
      </c>
      <c r="K1607" s="2" t="s">
        <v>528</v>
      </c>
      <c r="L1607" s="8" t="s">
        <v>7723</v>
      </c>
      <c r="M1607" s="8" t="s">
        <v>379</v>
      </c>
      <c r="N1607" s="2" t="s">
        <v>7724</v>
      </c>
      <c r="O1607" s="8" t="s">
        <v>1790</v>
      </c>
      <c r="P1607" s="8" t="s">
        <v>1162</v>
      </c>
      <c r="Q1607" s="12" t="s">
        <v>7725</v>
      </c>
      <c r="R1607" s="8" t="s">
        <v>100</v>
      </c>
      <c r="S1607" s="7" t="s">
        <v>18</v>
      </c>
      <c r="T1607" s="6"/>
      <c r="U1607" s="8"/>
    </row>
    <row r="1608" spans="1:34" ht="13" customHeight="1">
      <c r="A1608" s="8" t="s">
        <v>7711</v>
      </c>
      <c r="B1608" s="16">
        <v>39</v>
      </c>
      <c r="C1608" s="8" t="s">
        <v>20</v>
      </c>
      <c r="D1608" s="8" t="s">
        <v>85</v>
      </c>
      <c r="E1608" s="8" t="s">
        <v>7712</v>
      </c>
      <c r="F1608" s="17">
        <v>41874</v>
      </c>
      <c r="G1608" s="8" t="s">
        <v>7713</v>
      </c>
      <c r="H1608" s="8" t="s">
        <v>61</v>
      </c>
      <c r="I1608" s="8" t="s">
        <v>62</v>
      </c>
      <c r="J1608" s="16" t="s">
        <v>7714</v>
      </c>
      <c r="K1608" s="2" t="s">
        <v>5354</v>
      </c>
      <c r="L1608" s="8" t="s">
        <v>7715</v>
      </c>
      <c r="M1608" s="8" t="s">
        <v>27</v>
      </c>
      <c r="N1608" s="2" t="s">
        <v>7716</v>
      </c>
      <c r="O1608" s="8" t="s">
        <v>1013</v>
      </c>
      <c r="P1608" s="8" t="s">
        <v>401</v>
      </c>
      <c r="Q1608" s="12" t="s">
        <v>7717</v>
      </c>
      <c r="R1608" s="8" t="s">
        <v>100</v>
      </c>
      <c r="S1608" s="7" t="s">
        <v>28</v>
      </c>
      <c r="T1608" s="6"/>
      <c r="U1608" s="8"/>
    </row>
    <row r="1609" spans="1:34" ht="13" customHeight="1">
      <c r="A1609" s="8" t="s">
        <v>7732</v>
      </c>
      <c r="B1609" s="16">
        <v>39</v>
      </c>
      <c r="C1609" s="8" t="s">
        <v>20</v>
      </c>
      <c r="D1609" s="8" t="s">
        <v>48</v>
      </c>
      <c r="F1609" s="17">
        <v>41874</v>
      </c>
      <c r="G1609" s="8" t="s">
        <v>7733</v>
      </c>
      <c r="H1609" s="8" t="s">
        <v>634</v>
      </c>
      <c r="I1609" s="8" t="s">
        <v>123</v>
      </c>
      <c r="J1609" s="16" t="s">
        <v>4644</v>
      </c>
      <c r="K1609" s="2" t="s">
        <v>635</v>
      </c>
      <c r="L1609" s="8" t="s">
        <v>636</v>
      </c>
      <c r="M1609" s="8" t="s">
        <v>27</v>
      </c>
      <c r="N1609" s="2" t="s">
        <v>7734</v>
      </c>
      <c r="O1609" s="8" t="s">
        <v>1013</v>
      </c>
      <c r="P1609" s="8" t="s">
        <v>401</v>
      </c>
      <c r="Q1609" s="12" t="s">
        <v>7735</v>
      </c>
      <c r="R1609" s="8" t="s">
        <v>100</v>
      </c>
      <c r="S1609" s="7" t="s">
        <v>28</v>
      </c>
      <c r="T1609" s="6"/>
      <c r="U1609" s="8"/>
      <c r="V1609" s="8"/>
      <c r="W1609" s="8"/>
      <c r="X1609" s="8"/>
    </row>
    <row r="1610" spans="1:34" ht="13" customHeight="1">
      <c r="A1610" s="8" t="s">
        <v>7726</v>
      </c>
      <c r="B1610" s="16">
        <v>61</v>
      </c>
      <c r="C1610" s="8" t="s">
        <v>20</v>
      </c>
      <c r="D1610" s="8" t="s">
        <v>48</v>
      </c>
      <c r="F1610" s="17">
        <v>41874</v>
      </c>
      <c r="G1610" s="8" t="s">
        <v>7727</v>
      </c>
      <c r="H1610" s="8" t="s">
        <v>7728</v>
      </c>
      <c r="I1610" s="8" t="s">
        <v>52</v>
      </c>
      <c r="J1610" s="16" t="s">
        <v>7729</v>
      </c>
      <c r="K1610" s="2" t="s">
        <v>53</v>
      </c>
      <c r="L1610" s="8" t="s">
        <v>54</v>
      </c>
      <c r="M1610" s="8" t="s">
        <v>27</v>
      </c>
      <c r="N1610" s="2" t="s">
        <v>7730</v>
      </c>
      <c r="O1610" s="8" t="s">
        <v>1013</v>
      </c>
      <c r="P1610" s="8" t="s">
        <v>401</v>
      </c>
      <c r="Q1610" s="12" t="s">
        <v>7731</v>
      </c>
      <c r="R1610" s="8" t="s">
        <v>555</v>
      </c>
      <c r="S1610" s="7" t="s">
        <v>28</v>
      </c>
      <c r="T1610" s="6"/>
      <c r="U1610" s="8"/>
    </row>
    <row r="1611" spans="1:34" ht="13" customHeight="1">
      <c r="A1611" s="8" t="s">
        <v>7736</v>
      </c>
      <c r="B1611" s="16">
        <v>18</v>
      </c>
      <c r="C1611" s="8" t="s">
        <v>20</v>
      </c>
      <c r="D1611" s="8" t="s">
        <v>37</v>
      </c>
      <c r="E1611" s="8" t="s">
        <v>7737</v>
      </c>
      <c r="F1611" s="17">
        <v>41874</v>
      </c>
      <c r="G1611" s="8" t="s">
        <v>7738</v>
      </c>
      <c r="H1611" s="8" t="s">
        <v>7739</v>
      </c>
      <c r="I1611" s="8" t="s">
        <v>363</v>
      </c>
      <c r="J1611" s="16" t="s">
        <v>7740</v>
      </c>
      <c r="K1611" s="2" t="s">
        <v>1291</v>
      </c>
      <c r="L1611" s="8" t="s">
        <v>7741</v>
      </c>
      <c r="M1611" s="8" t="s">
        <v>27</v>
      </c>
      <c r="N1611" s="2" t="s">
        <v>7742</v>
      </c>
      <c r="O1611" s="8" t="s">
        <v>400</v>
      </c>
      <c r="P1611" s="8" t="s">
        <v>401</v>
      </c>
      <c r="Q1611" s="12" t="s">
        <v>7743</v>
      </c>
      <c r="R1611" s="8" t="s">
        <v>555</v>
      </c>
      <c r="S1611" s="7" t="s">
        <v>28</v>
      </c>
      <c r="T1611" s="6"/>
      <c r="U1611" s="8"/>
    </row>
    <row r="1612" spans="1:34" ht="13" customHeight="1">
      <c r="A1612" s="8" t="s">
        <v>7744</v>
      </c>
      <c r="B1612" s="16">
        <v>44</v>
      </c>
      <c r="C1612" s="8" t="s">
        <v>20</v>
      </c>
      <c r="D1612" s="8" t="s">
        <v>37</v>
      </c>
      <c r="F1612" s="17">
        <v>41874</v>
      </c>
      <c r="G1612" s="8" t="s">
        <v>7745</v>
      </c>
      <c r="H1612" s="8" t="s">
        <v>7746</v>
      </c>
      <c r="I1612" s="8" t="s">
        <v>73</v>
      </c>
      <c r="J1612" s="16" t="s">
        <v>7747</v>
      </c>
      <c r="K1612" s="2" t="s">
        <v>7382</v>
      </c>
      <c r="L1612" s="8" t="s">
        <v>7748</v>
      </c>
      <c r="M1612" s="8" t="s">
        <v>27</v>
      </c>
      <c r="N1612" s="2" t="s">
        <v>7749</v>
      </c>
      <c r="O1612" s="8" t="s">
        <v>1013</v>
      </c>
      <c r="P1612" s="8" t="s">
        <v>401</v>
      </c>
      <c r="Q1612" s="12" t="s">
        <v>7750</v>
      </c>
      <c r="R1612" s="8" t="s">
        <v>100</v>
      </c>
      <c r="S1612" s="7" t="s">
        <v>28</v>
      </c>
      <c r="T1612" s="6"/>
      <c r="U1612" s="8"/>
    </row>
    <row r="1613" spans="1:34" ht="13" customHeight="1">
      <c r="A1613" s="8" t="s">
        <v>7751</v>
      </c>
      <c r="B1613" s="16">
        <v>26</v>
      </c>
      <c r="C1613" s="8" t="s">
        <v>114</v>
      </c>
      <c r="D1613" s="8" t="s">
        <v>85</v>
      </c>
      <c r="E1613" s="8" t="s">
        <v>7752</v>
      </c>
      <c r="F1613" s="17">
        <v>41873</v>
      </c>
      <c r="G1613" s="8" t="s">
        <v>7753</v>
      </c>
      <c r="H1613" s="8" t="s">
        <v>7754</v>
      </c>
      <c r="I1613" s="8" t="s">
        <v>173</v>
      </c>
      <c r="J1613" s="16" t="s">
        <v>7755</v>
      </c>
      <c r="K1613" s="2" t="s">
        <v>1560</v>
      </c>
      <c r="L1613" s="8" t="s">
        <v>2550</v>
      </c>
      <c r="M1613" s="8" t="s">
        <v>27</v>
      </c>
      <c r="N1613" s="2" t="s">
        <v>7756</v>
      </c>
      <c r="O1613" s="8" t="s">
        <v>1790</v>
      </c>
      <c r="P1613" s="8" t="s">
        <v>1162</v>
      </c>
      <c r="Q1613" s="12" t="s">
        <v>7757</v>
      </c>
      <c r="R1613" s="8" t="s">
        <v>100</v>
      </c>
      <c r="S1613" s="7" t="s">
        <v>18</v>
      </c>
      <c r="T1613" s="6"/>
      <c r="U1613" s="8"/>
      <c r="Y1613" s="8"/>
      <c r="Z1613" s="8"/>
      <c r="AA1613" s="8"/>
      <c r="AB1613" s="8"/>
      <c r="AC1613" s="8"/>
      <c r="AD1613" s="8"/>
      <c r="AE1613" s="8"/>
      <c r="AF1613" s="8"/>
      <c r="AG1613" s="8"/>
      <c r="AH1613" s="8"/>
    </row>
    <row r="1614" spans="1:34" ht="13" customHeight="1">
      <c r="A1614" s="8" t="s">
        <v>7758</v>
      </c>
      <c r="B1614" s="16">
        <v>38</v>
      </c>
      <c r="C1614" s="8" t="s">
        <v>20</v>
      </c>
      <c r="D1614" s="8" t="s">
        <v>48</v>
      </c>
      <c r="E1614" s="8" t="s">
        <v>7759</v>
      </c>
      <c r="F1614" s="17">
        <v>41873</v>
      </c>
      <c r="G1614" s="8" t="s">
        <v>7760</v>
      </c>
      <c r="H1614" s="8" t="s">
        <v>309</v>
      </c>
      <c r="I1614" s="8" t="s">
        <v>45</v>
      </c>
      <c r="J1614" s="16" t="s">
        <v>7761</v>
      </c>
      <c r="K1614" s="2" t="s">
        <v>309</v>
      </c>
      <c r="L1614" s="8" t="s">
        <v>4348</v>
      </c>
      <c r="M1614" s="8" t="s">
        <v>27</v>
      </c>
      <c r="N1614" s="2" t="s">
        <v>7762</v>
      </c>
      <c r="O1614" s="8" t="s">
        <v>400</v>
      </c>
      <c r="P1614" s="8" t="s">
        <v>401</v>
      </c>
      <c r="Q1614" s="12" t="s">
        <v>7763</v>
      </c>
      <c r="R1614" s="8" t="s">
        <v>100</v>
      </c>
      <c r="S1614" s="7" t="s">
        <v>28</v>
      </c>
      <c r="T1614" s="6"/>
      <c r="U1614" s="8"/>
    </row>
    <row r="1615" spans="1:34" ht="13" customHeight="1">
      <c r="A1615" s="8" t="s">
        <v>7764</v>
      </c>
      <c r="B1615" s="16">
        <v>15</v>
      </c>
      <c r="C1615" s="8" t="s">
        <v>20</v>
      </c>
      <c r="D1615" s="8" t="s">
        <v>37</v>
      </c>
      <c r="E1615" s="8" t="s">
        <v>7765</v>
      </c>
      <c r="F1615" s="17">
        <v>41873</v>
      </c>
      <c r="G1615" s="8" t="s">
        <v>7766</v>
      </c>
      <c r="H1615" s="8" t="s">
        <v>7767</v>
      </c>
      <c r="I1615" s="8" t="s">
        <v>62</v>
      </c>
      <c r="J1615" s="16" t="s">
        <v>7768</v>
      </c>
      <c r="K1615" s="2" t="s">
        <v>5575</v>
      </c>
      <c r="L1615" s="8" t="s">
        <v>7769</v>
      </c>
      <c r="M1615" s="8" t="s">
        <v>379</v>
      </c>
      <c r="N1615" s="2" t="s">
        <v>7770</v>
      </c>
      <c r="O1615" s="8" t="s">
        <v>7771</v>
      </c>
      <c r="P1615" s="8" t="s">
        <v>21434</v>
      </c>
      <c r="Q1615" s="12" t="s">
        <v>7773</v>
      </c>
      <c r="R1615" s="8" t="s">
        <v>100</v>
      </c>
      <c r="S1615" s="7" t="s">
        <v>18</v>
      </c>
      <c r="T1615" s="6"/>
      <c r="U1615" s="8"/>
    </row>
    <row r="1616" spans="1:34" ht="13" customHeight="1">
      <c r="A1616" s="8" t="s">
        <v>7774</v>
      </c>
      <c r="B1616" s="16">
        <v>30</v>
      </c>
      <c r="C1616" s="8" t="s">
        <v>20</v>
      </c>
      <c r="D1616" s="8" t="s">
        <v>85</v>
      </c>
      <c r="E1616" s="8" t="s">
        <v>7775</v>
      </c>
      <c r="F1616" s="17">
        <v>41871</v>
      </c>
      <c r="G1616" s="8" t="s">
        <v>7776</v>
      </c>
      <c r="H1616" s="8" t="s">
        <v>7777</v>
      </c>
      <c r="I1616" s="8" t="s">
        <v>52</v>
      </c>
      <c r="J1616" s="16" t="s">
        <v>7778</v>
      </c>
      <c r="K1616" s="2" t="s">
        <v>1596</v>
      </c>
      <c r="L1616" s="8" t="s">
        <v>231</v>
      </c>
      <c r="M1616" s="8" t="s">
        <v>391</v>
      </c>
      <c r="N1616" s="2" t="s">
        <v>7779</v>
      </c>
      <c r="O1616" s="8" t="s">
        <v>1013</v>
      </c>
      <c r="P1616" s="8" t="s">
        <v>401</v>
      </c>
      <c r="Q1616" s="12" t="str">
        <f>HYPERLINK("http://www.baltimoresun.com/news/maryland/baltimore-county/bs-md-co-in-custody-death-20140821-story.html","http://www.baltimoresun.com/news/maryland/baltimore-county/bs-md-co-in-custody-death-20140821-story.html")</f>
        <v>http://www.baltimoresun.com/news/maryland/baltimore-county/bs-md-co-in-custody-death-20140821-story.html</v>
      </c>
      <c r="R1616" s="8" t="s">
        <v>967</v>
      </c>
      <c r="S1616" s="7" t="s">
        <v>18</v>
      </c>
      <c r="T1616" s="6"/>
      <c r="U1616" s="8"/>
    </row>
    <row r="1617" spans="1:24" ht="13" customHeight="1">
      <c r="A1617" s="8" t="s">
        <v>7780</v>
      </c>
      <c r="B1617" s="16">
        <v>25</v>
      </c>
      <c r="C1617" s="8" t="s">
        <v>20</v>
      </c>
      <c r="D1617" s="8" t="s">
        <v>48</v>
      </c>
      <c r="E1617" s="8" t="s">
        <v>7781</v>
      </c>
      <c r="F1617" s="17">
        <v>41871</v>
      </c>
      <c r="G1617" s="8" t="s">
        <v>7782</v>
      </c>
      <c r="H1617" s="8" t="s">
        <v>7783</v>
      </c>
      <c r="I1617" s="8" t="s">
        <v>25</v>
      </c>
      <c r="J1617" s="16" t="s">
        <v>7784</v>
      </c>
      <c r="K1617" s="2" t="s">
        <v>7785</v>
      </c>
      <c r="L1617" s="8" t="s">
        <v>7786</v>
      </c>
      <c r="M1617" s="8" t="s">
        <v>27</v>
      </c>
      <c r="N1617" s="2" t="s">
        <v>7787</v>
      </c>
      <c r="O1617" s="8" t="s">
        <v>1013</v>
      </c>
      <c r="P1617" s="8" t="s">
        <v>401</v>
      </c>
      <c r="Q1617" s="12" t="s">
        <v>7788</v>
      </c>
      <c r="R1617" s="8" t="s">
        <v>100</v>
      </c>
      <c r="S1617" s="7" t="s">
        <v>379</v>
      </c>
      <c r="T1617" s="6"/>
      <c r="U1617" s="8"/>
    </row>
    <row r="1618" spans="1:24" ht="13" customHeight="1">
      <c r="A1618" s="8" t="s">
        <v>7789</v>
      </c>
      <c r="B1618" s="16">
        <v>45</v>
      </c>
      <c r="C1618" s="8" t="s">
        <v>20</v>
      </c>
      <c r="D1618" s="8" t="s">
        <v>37</v>
      </c>
      <c r="F1618" s="17">
        <v>41871</v>
      </c>
      <c r="G1618" s="8" t="s">
        <v>7790</v>
      </c>
      <c r="H1618" s="8" t="s">
        <v>7728</v>
      </c>
      <c r="I1618" s="8" t="s">
        <v>52</v>
      </c>
      <c r="J1618" s="16" t="s">
        <v>7729</v>
      </c>
      <c r="K1618" s="2" t="s">
        <v>53</v>
      </c>
      <c r="L1618" s="8" t="s">
        <v>54</v>
      </c>
      <c r="M1618" s="8" t="s">
        <v>27</v>
      </c>
      <c r="N1618" s="2" t="s">
        <v>7791</v>
      </c>
      <c r="O1618" s="8" t="s">
        <v>1013</v>
      </c>
      <c r="P1618" s="8" t="s">
        <v>401</v>
      </c>
      <c r="Q1618" s="12" t="s">
        <v>7792</v>
      </c>
      <c r="R1618" s="8" t="s">
        <v>555</v>
      </c>
      <c r="S1618" s="7" t="s">
        <v>28</v>
      </c>
      <c r="T1618" s="6"/>
      <c r="U1618" s="8"/>
    </row>
    <row r="1619" spans="1:24" ht="13" customHeight="1">
      <c r="A1619" s="8" t="s">
        <v>7793</v>
      </c>
      <c r="B1619" s="16">
        <v>21</v>
      </c>
      <c r="C1619" s="8" t="s">
        <v>20</v>
      </c>
      <c r="D1619" s="8" t="s">
        <v>85</v>
      </c>
      <c r="E1619" s="8" t="s">
        <v>7794</v>
      </c>
      <c r="F1619" s="17">
        <v>41870</v>
      </c>
      <c r="G1619" s="8" t="s">
        <v>7795</v>
      </c>
      <c r="H1619" s="8" t="s">
        <v>87</v>
      </c>
      <c r="I1619" s="8" t="s">
        <v>44</v>
      </c>
      <c r="J1619" s="16" t="s">
        <v>7796</v>
      </c>
      <c r="K1619" s="2" t="s">
        <v>88</v>
      </c>
      <c r="L1619" s="8" t="s">
        <v>89</v>
      </c>
      <c r="M1619" s="8" t="s">
        <v>27</v>
      </c>
      <c r="N1619" s="2" t="s">
        <v>7797</v>
      </c>
      <c r="O1619" s="8" t="s">
        <v>1013</v>
      </c>
      <c r="P1619" s="8" t="s">
        <v>401</v>
      </c>
      <c r="Q1619" s="12" t="s">
        <v>7798</v>
      </c>
      <c r="R1619" s="8" t="s">
        <v>29</v>
      </c>
      <c r="S1619" s="7" t="s">
        <v>28</v>
      </c>
      <c r="T1619" s="6"/>
      <c r="U1619" s="8"/>
    </row>
    <row r="1620" spans="1:24" ht="13" customHeight="1">
      <c r="A1620" s="8" t="s">
        <v>7799</v>
      </c>
      <c r="B1620" s="16">
        <v>25</v>
      </c>
      <c r="C1620" s="8" t="s">
        <v>20</v>
      </c>
      <c r="D1620" s="8" t="s">
        <v>85</v>
      </c>
      <c r="E1620" s="8" t="s">
        <v>7800</v>
      </c>
      <c r="F1620" s="17">
        <v>41870</v>
      </c>
      <c r="G1620" s="8" t="s">
        <v>7801</v>
      </c>
      <c r="H1620" s="8" t="s">
        <v>712</v>
      </c>
      <c r="I1620" s="8" t="s">
        <v>431</v>
      </c>
      <c r="J1620" s="16" t="s">
        <v>7802</v>
      </c>
      <c r="K1620" s="2" t="s">
        <v>712</v>
      </c>
      <c r="L1620" s="8" t="s">
        <v>4545</v>
      </c>
      <c r="M1620" s="8" t="s">
        <v>27</v>
      </c>
      <c r="N1620" s="2" t="s">
        <v>7803</v>
      </c>
      <c r="O1620" s="8" t="s">
        <v>29</v>
      </c>
      <c r="P1620" s="8" t="s">
        <v>401</v>
      </c>
      <c r="Q1620" s="12" t="s">
        <v>7804</v>
      </c>
      <c r="R1620" s="8" t="s">
        <v>555</v>
      </c>
      <c r="S1620" s="7" t="s">
        <v>28</v>
      </c>
      <c r="T1620" s="6"/>
      <c r="U1620" s="8"/>
    </row>
    <row r="1621" spans="1:24" ht="13" customHeight="1">
      <c r="A1621" s="8" t="s">
        <v>7805</v>
      </c>
      <c r="B1621" s="16">
        <v>29</v>
      </c>
      <c r="C1621" s="8" t="s">
        <v>20</v>
      </c>
      <c r="D1621" s="8" t="s">
        <v>85</v>
      </c>
      <c r="F1621" s="17">
        <v>41870</v>
      </c>
      <c r="G1621" s="8" t="s">
        <v>7806</v>
      </c>
      <c r="H1621" s="8" t="s">
        <v>1103</v>
      </c>
      <c r="I1621" s="8" t="s">
        <v>404</v>
      </c>
      <c r="J1621" s="16" t="s">
        <v>7807</v>
      </c>
      <c r="K1621" s="2" t="s">
        <v>1103</v>
      </c>
      <c r="L1621" s="8" t="s">
        <v>1104</v>
      </c>
      <c r="M1621" s="8" t="s">
        <v>27</v>
      </c>
      <c r="N1621" s="2" t="s">
        <v>7808</v>
      </c>
      <c r="O1621" s="8" t="s">
        <v>400</v>
      </c>
      <c r="P1621" s="8" t="s">
        <v>401</v>
      </c>
      <c r="Q1621" s="12" t="str">
        <f>HYPERLINK("http://www.philly.com/philly/news/20140820_Cop_grazed_by_bullet__suspect_killed.html","http://www.philly.com/philly/news/20140820_Cop_grazed_by_bullet__suspect_killed.html")</f>
        <v>http://www.philly.com/philly/news/20140820_Cop_grazed_by_bullet__suspect_killed.html</v>
      </c>
      <c r="R1621" s="8" t="s">
        <v>100</v>
      </c>
      <c r="S1621" s="7" t="s">
        <v>28</v>
      </c>
      <c r="T1621" s="6"/>
      <c r="U1621" s="8"/>
    </row>
    <row r="1622" spans="1:24" ht="13" customHeight="1">
      <c r="A1622" s="8" t="s">
        <v>7809</v>
      </c>
      <c r="B1622" s="16">
        <v>22</v>
      </c>
      <c r="C1622" s="8" t="s">
        <v>114</v>
      </c>
      <c r="D1622" s="8" t="s">
        <v>48</v>
      </c>
      <c r="E1622" s="8" t="s">
        <v>7810</v>
      </c>
      <c r="F1622" s="17">
        <v>41870</v>
      </c>
      <c r="G1622" s="8" t="s">
        <v>7811</v>
      </c>
      <c r="H1622" s="8" t="s">
        <v>1063</v>
      </c>
      <c r="I1622" s="8" t="s">
        <v>62</v>
      </c>
      <c r="J1622" s="16" t="s">
        <v>7812</v>
      </c>
      <c r="K1622" s="2" t="s">
        <v>1064</v>
      </c>
      <c r="L1622" s="8" t="s">
        <v>1065</v>
      </c>
      <c r="M1622" s="8" t="s">
        <v>27</v>
      </c>
      <c r="N1622" s="2" t="s">
        <v>7813</v>
      </c>
      <c r="O1622" s="8" t="s">
        <v>550</v>
      </c>
      <c r="P1622" s="8" t="s">
        <v>401</v>
      </c>
      <c r="Q1622" s="12" t="s">
        <v>7814</v>
      </c>
      <c r="R1622" s="8" t="s">
        <v>100</v>
      </c>
      <c r="S1622" s="7" t="s">
        <v>18</v>
      </c>
      <c r="T1622" s="6"/>
      <c r="U1622" s="8"/>
    </row>
    <row r="1623" spans="1:24" ht="13" customHeight="1">
      <c r="A1623" s="8" t="s">
        <v>7822</v>
      </c>
      <c r="B1623" s="16">
        <v>28</v>
      </c>
      <c r="C1623" s="8" t="s">
        <v>114</v>
      </c>
      <c r="D1623" s="8" t="s">
        <v>37</v>
      </c>
      <c r="E1623" s="8" t="s">
        <v>7823</v>
      </c>
      <c r="F1623" s="17">
        <v>41870</v>
      </c>
      <c r="G1623" s="8" t="s">
        <v>7824</v>
      </c>
      <c r="H1623" s="8" t="s">
        <v>7825</v>
      </c>
      <c r="I1623" s="8" t="s">
        <v>319</v>
      </c>
      <c r="J1623" s="16" t="s">
        <v>7826</v>
      </c>
      <c r="K1623" s="2" t="s">
        <v>7827</v>
      </c>
      <c r="L1623" s="8" t="s">
        <v>7828</v>
      </c>
      <c r="M1623" s="8" t="s">
        <v>27</v>
      </c>
      <c r="N1623" s="2" t="s">
        <v>7829</v>
      </c>
      <c r="O1623" s="8" t="s">
        <v>1013</v>
      </c>
      <c r="P1623" s="8" t="s">
        <v>401</v>
      </c>
      <c r="Q1623" s="12" t="s">
        <v>7830</v>
      </c>
      <c r="R1623" s="8" t="s">
        <v>100</v>
      </c>
      <c r="S1623" s="7" t="s">
        <v>28</v>
      </c>
      <c r="T1623" s="6"/>
      <c r="U1623" s="8"/>
    </row>
    <row r="1624" spans="1:24" ht="13" customHeight="1">
      <c r="A1624" s="8" t="s">
        <v>7815</v>
      </c>
      <c r="B1624" s="16">
        <v>40</v>
      </c>
      <c r="C1624" s="8" t="s">
        <v>20</v>
      </c>
      <c r="D1624" s="8" t="s">
        <v>37</v>
      </c>
      <c r="E1624" s="8" t="s">
        <v>7816</v>
      </c>
      <c r="F1624" s="17">
        <v>41870</v>
      </c>
      <c r="G1624" s="8" t="s">
        <v>7817</v>
      </c>
      <c r="H1624" s="8" t="s">
        <v>7818</v>
      </c>
      <c r="I1624" s="8" t="s">
        <v>363</v>
      </c>
      <c r="J1624" s="16">
        <v>67060</v>
      </c>
      <c r="K1624" s="2" t="s">
        <v>686</v>
      </c>
      <c r="L1624" s="8" t="s">
        <v>7819</v>
      </c>
      <c r="M1624" s="8" t="s">
        <v>27</v>
      </c>
      <c r="N1624" s="2" t="s">
        <v>7820</v>
      </c>
      <c r="O1624" s="8" t="s">
        <v>29</v>
      </c>
      <c r="P1624" s="8" t="s">
        <v>401</v>
      </c>
      <c r="Q1624" s="12" t="s">
        <v>7821</v>
      </c>
      <c r="R1624" s="8" t="s">
        <v>29</v>
      </c>
      <c r="S1624" s="7" t="s">
        <v>28</v>
      </c>
      <c r="T1624" s="6"/>
      <c r="U1624" s="8"/>
    </row>
    <row r="1625" spans="1:24" ht="13" customHeight="1">
      <c r="A1625" s="8" t="s">
        <v>7837</v>
      </c>
      <c r="B1625" s="16">
        <v>37</v>
      </c>
      <c r="C1625" s="8" t="s">
        <v>20</v>
      </c>
      <c r="D1625" s="8" t="s">
        <v>85</v>
      </c>
      <c r="E1625" s="8" t="s">
        <v>7838</v>
      </c>
      <c r="F1625" s="17">
        <v>41869</v>
      </c>
      <c r="G1625" s="8" t="s">
        <v>7839</v>
      </c>
      <c r="H1625" s="8" t="s">
        <v>98</v>
      </c>
      <c r="I1625" s="8" t="s">
        <v>45</v>
      </c>
      <c r="J1625" s="16" t="s">
        <v>3694</v>
      </c>
      <c r="K1625" s="2" t="s">
        <v>98</v>
      </c>
      <c r="L1625" s="8" t="s">
        <v>99</v>
      </c>
      <c r="M1625" s="8" t="s">
        <v>27</v>
      </c>
      <c r="N1625" s="2" t="s">
        <v>7840</v>
      </c>
      <c r="O1625" s="8" t="s">
        <v>1013</v>
      </c>
      <c r="P1625" s="8" t="s">
        <v>401</v>
      </c>
      <c r="Q1625" s="12" t="str">
        <f>HYPERLINK("http://homicide.latimes.com/post/andre-maurice-jones/","http://homicide.latimes.com/post/andre-maurice-jones/")</f>
        <v>http://homicide.latimes.com/post/andre-maurice-jones/</v>
      </c>
      <c r="R1625" s="8" t="s">
        <v>100</v>
      </c>
      <c r="S1625" s="7" t="s">
        <v>28</v>
      </c>
      <c r="T1625" s="6"/>
      <c r="U1625" s="8"/>
    </row>
    <row r="1626" spans="1:24" ht="13" customHeight="1">
      <c r="A1626" s="8" t="s">
        <v>7831</v>
      </c>
      <c r="B1626" s="16">
        <v>38</v>
      </c>
      <c r="C1626" s="8" t="s">
        <v>20</v>
      </c>
      <c r="D1626" s="8" t="s">
        <v>85</v>
      </c>
      <c r="F1626" s="17">
        <v>41869</v>
      </c>
      <c r="G1626" s="8" t="s">
        <v>7832</v>
      </c>
      <c r="H1626" s="8" t="s">
        <v>7833</v>
      </c>
      <c r="I1626" s="8" t="s">
        <v>45</v>
      </c>
      <c r="J1626" s="16" t="s">
        <v>7834</v>
      </c>
      <c r="K1626" s="2" t="s">
        <v>98</v>
      </c>
      <c r="L1626" s="8" t="s">
        <v>414</v>
      </c>
      <c r="M1626" s="8" t="s">
        <v>27</v>
      </c>
      <c r="N1626" s="2" t="s">
        <v>7835</v>
      </c>
      <c r="O1626" s="8" t="s">
        <v>1013</v>
      </c>
      <c r="P1626" s="8" t="s">
        <v>401</v>
      </c>
      <c r="Q1626" s="12" t="s">
        <v>7836</v>
      </c>
      <c r="R1626" s="8" t="s">
        <v>100</v>
      </c>
      <c r="S1626" s="7" t="s">
        <v>28</v>
      </c>
      <c r="T1626" s="6"/>
      <c r="U1626" s="8"/>
    </row>
    <row r="1627" spans="1:24" ht="13" customHeight="1">
      <c r="A1627" s="8" t="s">
        <v>7850</v>
      </c>
      <c r="B1627" s="16">
        <v>53</v>
      </c>
      <c r="C1627" s="8" t="s">
        <v>20</v>
      </c>
      <c r="D1627" s="8" t="s">
        <v>37</v>
      </c>
      <c r="F1627" s="17">
        <v>41869</v>
      </c>
      <c r="G1627" s="8" t="s">
        <v>7851</v>
      </c>
      <c r="H1627" s="8" t="s">
        <v>1910</v>
      </c>
      <c r="I1627" s="8" t="s">
        <v>45</v>
      </c>
      <c r="J1627" s="16" t="s">
        <v>7852</v>
      </c>
      <c r="K1627" s="2" t="s">
        <v>7853</v>
      </c>
      <c r="L1627" s="8" t="s">
        <v>1912</v>
      </c>
      <c r="M1627" s="8" t="s">
        <v>27</v>
      </c>
      <c r="N1627" s="2" t="s">
        <v>7854</v>
      </c>
      <c r="O1627" s="8" t="s">
        <v>550</v>
      </c>
      <c r="P1627" s="8" t="s">
        <v>401</v>
      </c>
      <c r="Q1627" s="12" t="s">
        <v>7855</v>
      </c>
      <c r="R1627" s="8" t="s">
        <v>555</v>
      </c>
      <c r="S1627" s="7" t="s">
        <v>28</v>
      </c>
      <c r="T1627" s="6"/>
      <c r="U1627" s="8"/>
      <c r="V1627" s="8"/>
      <c r="W1627" s="8"/>
      <c r="X1627" s="8"/>
    </row>
    <row r="1628" spans="1:24" ht="13" customHeight="1">
      <c r="A1628" s="8" t="s">
        <v>7841</v>
      </c>
      <c r="B1628" s="16">
        <v>31</v>
      </c>
      <c r="C1628" s="8" t="s">
        <v>20</v>
      </c>
      <c r="D1628" s="8" t="s">
        <v>37</v>
      </c>
      <c r="E1628" s="8" t="s">
        <v>7842</v>
      </c>
      <c r="F1628" s="17">
        <v>41869</v>
      </c>
      <c r="G1628" s="8" t="s">
        <v>7843</v>
      </c>
      <c r="H1628" s="8" t="s">
        <v>7844</v>
      </c>
      <c r="I1628" s="8" t="s">
        <v>44</v>
      </c>
      <c r="J1628" s="16" t="s">
        <v>7845</v>
      </c>
      <c r="K1628" s="2" t="s">
        <v>7846</v>
      </c>
      <c r="L1628" s="8" t="s">
        <v>7847</v>
      </c>
      <c r="M1628" s="8" t="s">
        <v>2297</v>
      </c>
      <c r="N1628" s="2" t="s">
        <v>7848</v>
      </c>
      <c r="O1628" s="8" t="s">
        <v>550</v>
      </c>
      <c r="P1628" s="8" t="s">
        <v>401</v>
      </c>
      <c r="Q1628" s="12" t="s">
        <v>7849</v>
      </c>
      <c r="R1628" s="8" t="s">
        <v>100</v>
      </c>
      <c r="S1628" s="7" t="s">
        <v>18</v>
      </c>
      <c r="T1628" s="6"/>
      <c r="U1628" s="8"/>
    </row>
    <row r="1629" spans="1:24" ht="13" customHeight="1">
      <c r="A1629" s="8" t="s">
        <v>7856</v>
      </c>
      <c r="B1629" s="16">
        <v>44</v>
      </c>
      <c r="C1629" s="8" t="s">
        <v>20</v>
      </c>
      <c r="D1629" s="8" t="s">
        <v>85</v>
      </c>
      <c r="F1629" s="17">
        <v>41868</v>
      </c>
      <c r="G1629" s="8" t="s">
        <v>7857</v>
      </c>
      <c r="H1629" s="8" t="s">
        <v>575</v>
      </c>
      <c r="I1629" s="8" t="s">
        <v>73</v>
      </c>
      <c r="J1629" s="16" t="s">
        <v>3030</v>
      </c>
      <c r="K1629" s="2" t="s">
        <v>576</v>
      </c>
      <c r="L1629" s="8" t="s">
        <v>577</v>
      </c>
      <c r="M1629" s="8" t="s">
        <v>391</v>
      </c>
      <c r="N1629" s="2" t="s">
        <v>7858</v>
      </c>
      <c r="O1629" s="8" t="s">
        <v>4714</v>
      </c>
      <c r="P1629" s="8" t="s">
        <v>401</v>
      </c>
      <c r="Q1629" s="12" t="s">
        <v>7859</v>
      </c>
      <c r="R1629" s="8" t="s">
        <v>100</v>
      </c>
      <c r="S1629" s="7" t="s">
        <v>18</v>
      </c>
      <c r="T1629" s="6"/>
      <c r="U1629" s="8"/>
    </row>
    <row r="1630" spans="1:24" ht="13" customHeight="1">
      <c r="A1630" s="8" t="s">
        <v>7860</v>
      </c>
      <c r="B1630" s="16">
        <v>52</v>
      </c>
      <c r="C1630" s="8" t="s">
        <v>20</v>
      </c>
      <c r="D1630" s="8" t="s">
        <v>37</v>
      </c>
      <c r="E1630" s="8" t="s">
        <v>7861</v>
      </c>
      <c r="F1630" s="17">
        <v>41868</v>
      </c>
      <c r="G1630" s="8" t="s">
        <v>7862</v>
      </c>
      <c r="H1630" s="8" t="s">
        <v>7863</v>
      </c>
      <c r="I1630" s="8" t="s">
        <v>4399</v>
      </c>
      <c r="J1630" s="16" t="s">
        <v>7864</v>
      </c>
      <c r="K1630" s="2" t="s">
        <v>7865</v>
      </c>
      <c r="L1630" s="8" t="s">
        <v>4402</v>
      </c>
      <c r="M1630" s="8" t="s">
        <v>27</v>
      </c>
      <c r="N1630" s="2" t="s">
        <v>7866</v>
      </c>
      <c r="O1630" s="8" t="s">
        <v>1013</v>
      </c>
      <c r="P1630" s="8" t="s">
        <v>401</v>
      </c>
      <c r="Q1630" s="12" t="s">
        <v>7867</v>
      </c>
      <c r="R1630" s="8" t="s">
        <v>100</v>
      </c>
      <c r="S1630" s="7" t="s">
        <v>28</v>
      </c>
      <c r="T1630" s="6"/>
      <c r="U1630" s="8"/>
    </row>
    <row r="1631" spans="1:24" ht="13" customHeight="1">
      <c r="A1631" s="8" t="s">
        <v>7868</v>
      </c>
      <c r="B1631" s="16">
        <v>38</v>
      </c>
      <c r="C1631" s="8" t="s">
        <v>20</v>
      </c>
      <c r="D1631" s="8" t="s">
        <v>85</v>
      </c>
      <c r="F1631" s="17">
        <v>41867</v>
      </c>
      <c r="G1631" s="8" t="s">
        <v>7869</v>
      </c>
      <c r="H1631" s="8" t="s">
        <v>7870</v>
      </c>
      <c r="I1631" s="8" t="s">
        <v>52</v>
      </c>
      <c r="J1631" s="16" t="s">
        <v>7871</v>
      </c>
      <c r="K1631" s="2" t="s">
        <v>2387</v>
      </c>
      <c r="L1631" s="8" t="s">
        <v>7872</v>
      </c>
      <c r="M1631" s="8" t="s">
        <v>27</v>
      </c>
      <c r="N1631" s="2" t="s">
        <v>7873</v>
      </c>
      <c r="O1631" s="8" t="s">
        <v>1013</v>
      </c>
      <c r="P1631" s="8" t="s">
        <v>401</v>
      </c>
      <c r="Q1631" s="12" t="s">
        <v>7874</v>
      </c>
      <c r="R1631" s="8" t="s">
        <v>100</v>
      </c>
      <c r="S1631" s="7" t="s">
        <v>28</v>
      </c>
      <c r="T1631" s="6"/>
      <c r="U1631" s="8"/>
    </row>
    <row r="1632" spans="1:24" ht="13" customHeight="1">
      <c r="A1632" s="8" t="s">
        <v>7875</v>
      </c>
      <c r="B1632" s="16">
        <v>28</v>
      </c>
      <c r="C1632" s="8" t="s">
        <v>20</v>
      </c>
      <c r="D1632" s="8" t="s">
        <v>37</v>
      </c>
      <c r="E1632" s="8" t="s">
        <v>7876</v>
      </c>
      <c r="F1632" s="17">
        <v>41866</v>
      </c>
      <c r="G1632" s="8" t="s">
        <v>7877</v>
      </c>
      <c r="H1632" s="8" t="s">
        <v>387</v>
      </c>
      <c r="I1632" s="8" t="s">
        <v>319</v>
      </c>
      <c r="J1632" s="16" t="s">
        <v>7878</v>
      </c>
      <c r="K1632" s="2" t="s">
        <v>2692</v>
      </c>
      <c r="L1632" s="8" t="s">
        <v>7879</v>
      </c>
      <c r="M1632" s="8" t="s">
        <v>27</v>
      </c>
      <c r="N1632" s="2" t="s">
        <v>7880</v>
      </c>
      <c r="O1632" s="8" t="s">
        <v>1013</v>
      </c>
      <c r="P1632" s="8" t="s">
        <v>401</v>
      </c>
      <c r="Q1632" s="12" t="s">
        <v>7881</v>
      </c>
      <c r="R1632" s="8" t="s">
        <v>555</v>
      </c>
      <c r="S1632" s="7" t="s">
        <v>18</v>
      </c>
      <c r="T1632" s="6"/>
      <c r="U1632" s="8"/>
    </row>
    <row r="1633" spans="1:24" ht="13" customHeight="1">
      <c r="A1633" s="8" t="s">
        <v>7886</v>
      </c>
      <c r="B1633" s="16">
        <v>50</v>
      </c>
      <c r="C1633" s="8" t="s">
        <v>114</v>
      </c>
      <c r="D1633" s="8" t="s">
        <v>85</v>
      </c>
      <c r="E1633" s="8" t="s">
        <v>7887</v>
      </c>
      <c r="F1633" s="17">
        <v>41865</v>
      </c>
      <c r="G1633" s="8" t="s">
        <v>7888</v>
      </c>
      <c r="H1633" s="8" t="s">
        <v>634</v>
      </c>
      <c r="I1633" s="8" t="s">
        <v>123</v>
      </c>
      <c r="J1633" s="16" t="s">
        <v>7889</v>
      </c>
      <c r="K1633" s="2" t="s">
        <v>635</v>
      </c>
      <c r="L1633" s="8" t="s">
        <v>636</v>
      </c>
      <c r="M1633" s="8" t="s">
        <v>27</v>
      </c>
      <c r="N1633" s="2" t="s">
        <v>7890</v>
      </c>
      <c r="O1633" s="8" t="s">
        <v>400</v>
      </c>
      <c r="P1633" s="8" t="s">
        <v>401</v>
      </c>
      <c r="Q1633" s="12" t="s">
        <v>7891</v>
      </c>
      <c r="R1633" s="8" t="s">
        <v>555</v>
      </c>
      <c r="S1633" s="7" t="s">
        <v>28</v>
      </c>
      <c r="T1633" s="6"/>
      <c r="U1633" s="8"/>
      <c r="V1633" s="8"/>
      <c r="W1633" s="8"/>
      <c r="X1633" s="8"/>
    </row>
    <row r="1634" spans="1:24" ht="13" customHeight="1">
      <c r="A1634" s="8" t="s">
        <v>7882</v>
      </c>
      <c r="B1634" s="16">
        <v>16</v>
      </c>
      <c r="C1634" s="8" t="s">
        <v>20</v>
      </c>
      <c r="D1634" s="8" t="s">
        <v>85</v>
      </c>
      <c r="E1634" s="8" t="str">
        <f>HYPERLINK("http://homicides.suntimes.com/victims/wally-flex/","http://homicides.suntimes.com/victims/wally-flex/")</f>
        <v>http://homicides.suntimes.com/victims/wally-flex/</v>
      </c>
      <c r="F1634" s="17">
        <v>41865</v>
      </c>
      <c r="G1634" s="8" t="s">
        <v>7883</v>
      </c>
      <c r="H1634" s="8" t="s">
        <v>87</v>
      </c>
      <c r="I1634" s="8" t="s">
        <v>44</v>
      </c>
      <c r="J1634" s="16" t="s">
        <v>7884</v>
      </c>
      <c r="K1634" s="2" t="s">
        <v>88</v>
      </c>
      <c r="L1634" s="8" t="s">
        <v>89</v>
      </c>
      <c r="M1634" s="8" t="s">
        <v>379</v>
      </c>
      <c r="N1634" s="2" t="s">
        <v>7885</v>
      </c>
      <c r="O1634" s="8" t="s">
        <v>1013</v>
      </c>
      <c r="P1634" s="8" t="s">
        <v>401</v>
      </c>
      <c r="Q1634" s="12" t="str">
        <f>HYPERLINK("http://homicides.suntimes.com/2014/08/18/gabriel-johnson-charged-with-reckless-homicide-in-crash-that-killed-wally-flex/","http://homicides.suntimes.com/2014/08/18/gabriel-johnson-charged-with-reckless-homicide-in-crash-that-killed-wally-flex/")</f>
        <v>http://homicides.suntimes.com/2014/08/18/gabriel-johnson-charged-with-reckless-homicide-in-crash-that-killed-wally-flex/</v>
      </c>
      <c r="R1634" s="8" t="s">
        <v>100</v>
      </c>
      <c r="S1634" s="7" t="s">
        <v>18</v>
      </c>
      <c r="T1634" s="6"/>
      <c r="U1634" s="8"/>
    </row>
    <row r="1635" spans="1:24" ht="13" customHeight="1">
      <c r="A1635" s="8" t="s">
        <v>7897</v>
      </c>
      <c r="B1635" s="16">
        <v>52</v>
      </c>
      <c r="C1635" s="8" t="s">
        <v>20</v>
      </c>
      <c r="D1635" s="8" t="s">
        <v>37</v>
      </c>
      <c r="E1635" s="8" t="s">
        <v>7898</v>
      </c>
      <c r="F1635" s="17">
        <v>41865</v>
      </c>
      <c r="G1635" s="8" t="s">
        <v>7899</v>
      </c>
      <c r="H1635" s="8" t="s">
        <v>1341</v>
      </c>
      <c r="I1635" s="8" t="s">
        <v>363</v>
      </c>
      <c r="J1635" s="16" t="s">
        <v>7900</v>
      </c>
      <c r="K1635" s="2" t="s">
        <v>2301</v>
      </c>
      <c r="L1635" s="8" t="s">
        <v>7901</v>
      </c>
      <c r="M1635" s="8" t="s">
        <v>27</v>
      </c>
      <c r="N1635" s="2" t="s">
        <v>7902</v>
      </c>
      <c r="O1635" s="8" t="s">
        <v>29</v>
      </c>
      <c r="P1635" s="8" t="s">
        <v>401</v>
      </c>
      <c r="Q1635" s="12" t="s">
        <v>7903</v>
      </c>
      <c r="R1635" s="8" t="s">
        <v>29</v>
      </c>
      <c r="S1635" s="7" t="s">
        <v>28</v>
      </c>
      <c r="T1635" s="6"/>
      <c r="U1635" s="8"/>
    </row>
    <row r="1636" spans="1:24" ht="13" customHeight="1">
      <c r="A1636" s="8" t="s">
        <v>7892</v>
      </c>
      <c r="B1636" s="16">
        <v>19</v>
      </c>
      <c r="C1636" s="8" t="s">
        <v>114</v>
      </c>
      <c r="D1636" s="8" t="s">
        <v>37</v>
      </c>
      <c r="E1636" s="8" t="s">
        <v>7893</v>
      </c>
      <c r="F1636" s="17">
        <v>41865</v>
      </c>
      <c r="G1636" s="8" t="s">
        <v>7894</v>
      </c>
      <c r="H1636" s="8" t="s">
        <v>608</v>
      </c>
      <c r="I1636" s="8" t="s">
        <v>45</v>
      </c>
      <c r="J1636" s="16" t="s">
        <v>7895</v>
      </c>
      <c r="K1636" s="2" t="s">
        <v>609</v>
      </c>
      <c r="L1636" s="8" t="s">
        <v>730</v>
      </c>
      <c r="M1636" s="8" t="s">
        <v>27</v>
      </c>
      <c r="N1636" s="2" t="s">
        <v>21631</v>
      </c>
      <c r="O1636" s="8" t="s">
        <v>1013</v>
      </c>
      <c r="P1636" s="8" t="s">
        <v>401</v>
      </c>
      <c r="Q1636" s="12" t="s">
        <v>7896</v>
      </c>
      <c r="R1636" s="8" t="s">
        <v>555</v>
      </c>
      <c r="S1636" s="7" t="s">
        <v>18</v>
      </c>
      <c r="T1636" s="6"/>
      <c r="U1636" s="8"/>
    </row>
    <row r="1637" spans="1:24" ht="13" customHeight="1">
      <c r="A1637" s="8" t="s">
        <v>7904</v>
      </c>
      <c r="B1637" s="16">
        <v>24</v>
      </c>
      <c r="C1637" s="8" t="s">
        <v>20</v>
      </c>
      <c r="D1637" s="8" t="s">
        <v>85</v>
      </c>
      <c r="E1637" s="8" t="s">
        <v>7905</v>
      </c>
      <c r="F1637" s="17">
        <v>41864</v>
      </c>
      <c r="G1637" s="8" t="s">
        <v>7906</v>
      </c>
      <c r="H1637" s="8" t="s">
        <v>7907</v>
      </c>
      <c r="I1637" s="8" t="s">
        <v>62</v>
      </c>
      <c r="J1637" s="16" t="s">
        <v>7908</v>
      </c>
      <c r="K1637" s="2" t="s">
        <v>7909</v>
      </c>
      <c r="L1637" s="8" t="s">
        <v>5671</v>
      </c>
      <c r="M1637" s="8" t="s">
        <v>27</v>
      </c>
      <c r="N1637" s="2" t="s">
        <v>7910</v>
      </c>
      <c r="O1637" s="8" t="s">
        <v>550</v>
      </c>
      <c r="P1637" s="8" t="s">
        <v>401</v>
      </c>
      <c r="Q1637" s="12" t="s">
        <v>21449</v>
      </c>
      <c r="R1637" s="8" t="s">
        <v>100</v>
      </c>
      <c r="S1637" s="7" t="s">
        <v>18</v>
      </c>
      <c r="T1637" s="6"/>
      <c r="U1637" s="8"/>
    </row>
    <row r="1638" spans="1:24" ht="13" customHeight="1">
      <c r="A1638" s="8" t="s">
        <v>7920</v>
      </c>
      <c r="B1638" s="16">
        <v>30</v>
      </c>
      <c r="C1638" s="8" t="s">
        <v>20</v>
      </c>
      <c r="D1638" s="8" t="s">
        <v>48</v>
      </c>
      <c r="E1638" s="8" t="s">
        <v>7921</v>
      </c>
      <c r="F1638" s="17">
        <v>41864</v>
      </c>
      <c r="G1638" s="8" t="s">
        <v>7922</v>
      </c>
      <c r="H1638" s="8" t="s">
        <v>726</v>
      </c>
      <c r="I1638" s="8" t="s">
        <v>73</v>
      </c>
      <c r="J1638" s="16" t="s">
        <v>2937</v>
      </c>
      <c r="K1638" s="2" t="s">
        <v>558</v>
      </c>
      <c r="L1638" s="8" t="s">
        <v>727</v>
      </c>
      <c r="M1638" s="8" t="s">
        <v>27</v>
      </c>
      <c r="N1638" s="2" t="s">
        <v>7923</v>
      </c>
      <c r="O1638" s="8" t="s">
        <v>4714</v>
      </c>
      <c r="P1638" s="8" t="s">
        <v>401</v>
      </c>
      <c r="Q1638" s="12" t="s">
        <v>7924</v>
      </c>
      <c r="R1638" s="8" t="s">
        <v>100</v>
      </c>
      <c r="S1638" s="7" t="s">
        <v>28</v>
      </c>
      <c r="T1638" s="6"/>
      <c r="U1638" s="8"/>
    </row>
    <row r="1639" spans="1:24" ht="13" customHeight="1">
      <c r="A1639" s="8" t="s">
        <v>7911</v>
      </c>
      <c r="B1639" s="16">
        <v>40</v>
      </c>
      <c r="C1639" s="8" t="s">
        <v>20</v>
      </c>
      <c r="D1639" s="8" t="s">
        <v>48</v>
      </c>
      <c r="E1639" s="8" t="s">
        <v>7912</v>
      </c>
      <c r="F1639" s="17">
        <v>41864</v>
      </c>
      <c r="G1639" s="8" t="s">
        <v>7913</v>
      </c>
      <c r="H1639" s="8" t="s">
        <v>726</v>
      </c>
      <c r="I1639" s="8" t="s">
        <v>73</v>
      </c>
      <c r="J1639" s="16" t="s">
        <v>7914</v>
      </c>
      <c r="K1639" s="2" t="s">
        <v>558</v>
      </c>
      <c r="L1639" s="8" t="s">
        <v>727</v>
      </c>
      <c r="M1639" s="8" t="s">
        <v>27</v>
      </c>
      <c r="N1639" s="2" t="s">
        <v>7915</v>
      </c>
      <c r="P1639" s="8" t="s">
        <v>401</v>
      </c>
      <c r="Q1639" s="12" t="s">
        <v>7916</v>
      </c>
      <c r="R1639" s="8" t="s">
        <v>967</v>
      </c>
      <c r="S1639" s="7" t="s">
        <v>28</v>
      </c>
      <c r="T1639" s="6"/>
      <c r="U1639" s="8"/>
    </row>
    <row r="1640" spans="1:24" ht="13" customHeight="1">
      <c r="A1640" s="8" t="s">
        <v>7917</v>
      </c>
      <c r="B1640" s="16">
        <v>21</v>
      </c>
      <c r="C1640" s="8" t="s">
        <v>20</v>
      </c>
      <c r="D1640" s="8" t="s">
        <v>48</v>
      </c>
      <c r="F1640" s="17">
        <v>41864</v>
      </c>
      <c r="G1640" s="8" t="s">
        <v>7918</v>
      </c>
      <c r="H1640" s="8" t="s">
        <v>1707</v>
      </c>
      <c r="I1640" s="8" t="s">
        <v>209</v>
      </c>
      <c r="J1640" s="16" t="s">
        <v>1708</v>
      </c>
      <c r="K1640" s="2" t="s">
        <v>1709</v>
      </c>
      <c r="L1640" s="8" t="s">
        <v>1710</v>
      </c>
      <c r="M1640" s="8" t="s">
        <v>27</v>
      </c>
      <c r="N1640" s="2" t="s">
        <v>7919</v>
      </c>
      <c r="O1640" s="8" t="s">
        <v>1013</v>
      </c>
      <c r="P1640" s="8" t="s">
        <v>401</v>
      </c>
      <c r="Q1640" s="12" t="str">
        <f>HYPERLINK("http://www.9news.com/story/news/crime/2014/08/13/greeley-officer-involved-shoot-veteran-shoot-out-call/14006469/","http://www.9news.com/story/news/crime/2014/08/13/greeley-officer-involved-shoot-veteran-shoot-out-call/14006469/")</f>
        <v>http://www.9news.com/story/news/crime/2014/08/13/greeley-officer-involved-shoot-veteran-shoot-out-call/14006469/</v>
      </c>
      <c r="R1640" s="8" t="s">
        <v>555</v>
      </c>
      <c r="S1640" s="7" t="s">
        <v>35</v>
      </c>
      <c r="T1640" s="6"/>
      <c r="U1640" s="8"/>
    </row>
    <row r="1641" spans="1:24" ht="13" customHeight="1">
      <c r="A1641" s="8" t="s">
        <v>7936</v>
      </c>
      <c r="B1641" s="16">
        <v>35</v>
      </c>
      <c r="C1641" s="8" t="s">
        <v>20</v>
      </c>
      <c r="D1641" s="8" t="s">
        <v>37</v>
      </c>
      <c r="F1641" s="17">
        <v>41864</v>
      </c>
      <c r="G1641" s="8" t="s">
        <v>7937</v>
      </c>
      <c r="H1641" s="8" t="s">
        <v>93</v>
      </c>
      <c r="I1641" s="8" t="s">
        <v>94</v>
      </c>
      <c r="J1641" s="16" t="s">
        <v>7938</v>
      </c>
      <c r="K1641" s="2" t="s">
        <v>95</v>
      </c>
      <c r="L1641" s="8" t="s">
        <v>7939</v>
      </c>
      <c r="M1641" s="8" t="s">
        <v>27</v>
      </c>
      <c r="N1641" s="2" t="s">
        <v>7940</v>
      </c>
      <c r="O1641" s="8" t="s">
        <v>400</v>
      </c>
      <c r="P1641" s="8" t="s">
        <v>401</v>
      </c>
      <c r="Q1641" s="12" t="s">
        <v>7941</v>
      </c>
      <c r="R1641" s="8" t="s">
        <v>555</v>
      </c>
      <c r="S1641" s="7" t="s">
        <v>28</v>
      </c>
      <c r="T1641" s="6"/>
      <c r="U1641" s="8"/>
    </row>
    <row r="1642" spans="1:24" ht="13" customHeight="1">
      <c r="A1642" s="8" t="s">
        <v>7925</v>
      </c>
      <c r="B1642" s="16">
        <v>61</v>
      </c>
      <c r="C1642" s="8" t="s">
        <v>20</v>
      </c>
      <c r="D1642" s="8" t="s">
        <v>37</v>
      </c>
      <c r="E1642" s="8" t="s">
        <v>7926</v>
      </c>
      <c r="F1642" s="17">
        <v>41864</v>
      </c>
      <c r="G1642" s="8" t="s">
        <v>7927</v>
      </c>
      <c r="H1642" s="8" t="s">
        <v>7095</v>
      </c>
      <c r="I1642" s="8" t="s">
        <v>370</v>
      </c>
      <c r="J1642" s="16" t="s">
        <v>7096</v>
      </c>
      <c r="K1642" s="2" t="s">
        <v>7097</v>
      </c>
      <c r="L1642" s="8" t="s">
        <v>7098</v>
      </c>
      <c r="M1642" s="8" t="s">
        <v>27</v>
      </c>
      <c r="N1642" s="2" t="s">
        <v>7928</v>
      </c>
      <c r="O1642" s="8" t="s">
        <v>29</v>
      </c>
      <c r="P1642" s="8" t="s">
        <v>401</v>
      </c>
      <c r="Q1642" s="12" t="s">
        <v>7929</v>
      </c>
      <c r="R1642" s="8" t="s">
        <v>555</v>
      </c>
      <c r="S1642" s="7" t="s">
        <v>28</v>
      </c>
      <c r="T1642" s="6"/>
      <c r="U1642" s="8"/>
    </row>
    <row r="1643" spans="1:24" ht="13" customHeight="1">
      <c r="A1643" s="8" t="s">
        <v>7942</v>
      </c>
      <c r="B1643" s="16">
        <v>20</v>
      </c>
      <c r="C1643" s="8" t="s">
        <v>114</v>
      </c>
      <c r="D1643" s="8" t="s">
        <v>37</v>
      </c>
      <c r="E1643" s="8" t="s">
        <v>7943</v>
      </c>
      <c r="F1643" s="17">
        <v>41864</v>
      </c>
      <c r="G1643" s="8" t="s">
        <v>7944</v>
      </c>
      <c r="H1643" s="8" t="s">
        <v>6676</v>
      </c>
      <c r="I1643" s="8" t="s">
        <v>73</v>
      </c>
      <c r="J1643" s="16" t="s">
        <v>7671</v>
      </c>
      <c r="K1643" s="2" t="s">
        <v>6676</v>
      </c>
      <c r="L1643" s="8" t="s">
        <v>7672</v>
      </c>
      <c r="M1643" s="8" t="s">
        <v>379</v>
      </c>
      <c r="N1643" s="2" t="s">
        <v>7945</v>
      </c>
      <c r="O1643" s="8" t="s">
        <v>3400</v>
      </c>
      <c r="P1643" s="8" t="s">
        <v>401</v>
      </c>
      <c r="Q1643" s="12" t="s">
        <v>7946</v>
      </c>
      <c r="R1643" s="8" t="s">
        <v>100</v>
      </c>
      <c r="S1643" s="7" t="s">
        <v>18</v>
      </c>
      <c r="T1643" s="6"/>
      <c r="U1643" s="8"/>
    </row>
    <row r="1644" spans="1:24" ht="13" customHeight="1">
      <c r="A1644" s="8" t="s">
        <v>7930</v>
      </c>
      <c r="B1644" s="16">
        <v>21</v>
      </c>
      <c r="C1644" s="8" t="s">
        <v>20</v>
      </c>
      <c r="D1644" s="8" t="s">
        <v>37</v>
      </c>
      <c r="E1644" s="8" t="s">
        <v>7931</v>
      </c>
      <c r="F1644" s="17">
        <v>41864</v>
      </c>
      <c r="G1644" s="8" t="s">
        <v>7932</v>
      </c>
      <c r="H1644" s="8" t="s">
        <v>430</v>
      </c>
      <c r="I1644" s="8" t="s">
        <v>431</v>
      </c>
      <c r="J1644" s="16" t="s">
        <v>7933</v>
      </c>
      <c r="K1644" s="2" t="s">
        <v>433</v>
      </c>
      <c r="L1644" s="8" t="s">
        <v>1416</v>
      </c>
      <c r="M1644" s="8" t="s">
        <v>379</v>
      </c>
      <c r="N1644" s="2" t="s">
        <v>7934</v>
      </c>
      <c r="O1644" s="8" t="s">
        <v>1013</v>
      </c>
      <c r="P1644" s="8" t="s">
        <v>401</v>
      </c>
      <c r="Q1644" s="12" t="s">
        <v>7935</v>
      </c>
      <c r="R1644" s="8" t="s">
        <v>100</v>
      </c>
      <c r="S1644" s="7" t="s">
        <v>379</v>
      </c>
      <c r="T1644" s="6"/>
      <c r="U1644" s="8"/>
    </row>
    <row r="1645" spans="1:24" ht="13" customHeight="1">
      <c r="A1645" s="8" t="s">
        <v>7947</v>
      </c>
      <c r="B1645" s="16">
        <v>36</v>
      </c>
      <c r="C1645" s="8" t="s">
        <v>20</v>
      </c>
      <c r="D1645" s="8" t="s">
        <v>85</v>
      </c>
      <c r="E1645" s="8" t="s">
        <v>7948</v>
      </c>
      <c r="F1645" s="17">
        <v>41863</v>
      </c>
      <c r="G1645" s="8" t="s">
        <v>7949</v>
      </c>
      <c r="H1645" s="8" t="s">
        <v>7950</v>
      </c>
      <c r="I1645" s="8" t="s">
        <v>45</v>
      </c>
      <c r="J1645" s="16" t="s">
        <v>7951</v>
      </c>
      <c r="K1645" s="2" t="s">
        <v>309</v>
      </c>
      <c r="L1645" s="8" t="s">
        <v>7952</v>
      </c>
      <c r="M1645" s="8" t="s">
        <v>391</v>
      </c>
      <c r="N1645" s="2" t="s">
        <v>7953</v>
      </c>
      <c r="O1645" s="8" t="s">
        <v>1013</v>
      </c>
      <c r="P1645" s="8" t="s">
        <v>401</v>
      </c>
      <c r="Q1645" s="12" t="s">
        <v>7954</v>
      </c>
      <c r="R1645" s="8" t="s">
        <v>100</v>
      </c>
      <c r="S1645" s="7" t="s">
        <v>18</v>
      </c>
      <c r="T1645" s="6"/>
      <c r="U1645" s="8"/>
    </row>
    <row r="1646" spans="1:24" ht="13" customHeight="1">
      <c r="A1646" s="8" t="s">
        <v>7955</v>
      </c>
      <c r="B1646" s="16">
        <v>22</v>
      </c>
      <c r="C1646" s="8" t="s">
        <v>20</v>
      </c>
      <c r="D1646" s="8" t="s">
        <v>48</v>
      </c>
      <c r="E1646" s="8" t="s">
        <v>7956</v>
      </c>
      <c r="F1646" s="17">
        <v>41863</v>
      </c>
      <c r="G1646" s="8" t="s">
        <v>7957</v>
      </c>
      <c r="H1646" s="8" t="s">
        <v>7958</v>
      </c>
      <c r="I1646" s="8" t="s">
        <v>45</v>
      </c>
      <c r="J1646" s="16" t="s">
        <v>7959</v>
      </c>
      <c r="K1646" s="2" t="s">
        <v>98</v>
      </c>
      <c r="L1646" s="8" t="s">
        <v>99</v>
      </c>
      <c r="M1646" s="8" t="s">
        <v>27</v>
      </c>
      <c r="N1646" s="2" t="s">
        <v>7960</v>
      </c>
      <c r="O1646" s="8" t="s">
        <v>4714</v>
      </c>
      <c r="P1646" s="8" t="s">
        <v>401</v>
      </c>
      <c r="Q1646" s="12" t="s">
        <v>7961</v>
      </c>
      <c r="R1646" s="8" t="s">
        <v>100</v>
      </c>
      <c r="S1646" s="7" t="s">
        <v>28</v>
      </c>
      <c r="T1646" s="6"/>
      <c r="U1646" s="8"/>
    </row>
    <row r="1647" spans="1:24" ht="13" customHeight="1">
      <c r="A1647" s="8" t="s">
        <v>7962</v>
      </c>
      <c r="B1647" s="16">
        <v>30</v>
      </c>
      <c r="C1647" s="8" t="s">
        <v>20</v>
      </c>
      <c r="D1647" s="8" t="s">
        <v>139</v>
      </c>
      <c r="F1647" s="17">
        <v>41863</v>
      </c>
      <c r="G1647" s="8" t="s">
        <v>7963</v>
      </c>
      <c r="H1647" s="8" t="s">
        <v>1148</v>
      </c>
      <c r="I1647" s="8" t="s">
        <v>671</v>
      </c>
      <c r="J1647" s="16" t="s">
        <v>7964</v>
      </c>
      <c r="K1647" s="2" t="s">
        <v>7965</v>
      </c>
      <c r="L1647" s="8" t="s">
        <v>7966</v>
      </c>
      <c r="M1647" s="8" t="s">
        <v>27</v>
      </c>
      <c r="N1647" s="2" t="s">
        <v>7967</v>
      </c>
      <c r="O1647" s="8" t="s">
        <v>1013</v>
      </c>
      <c r="P1647" s="8" t="s">
        <v>401</v>
      </c>
      <c r="Q1647" s="12" t="str">
        <f>HYPERLINK("http://neshobademocrat.com/main.asp?SectionID=2&amp;SubSectionID=297&amp;ArticleID=33427","http://neshobademocrat.com/main.asp?SectionID=2&amp;SubSectionID=297&amp;ArticleID=33427")</f>
        <v>http://neshobademocrat.com/main.asp?SectionID=2&amp;SubSectionID=297&amp;ArticleID=33427</v>
      </c>
      <c r="R1647" s="8" t="s">
        <v>29</v>
      </c>
      <c r="S1647" s="7" t="s">
        <v>28</v>
      </c>
      <c r="T1647" s="6"/>
      <c r="U1647" s="8"/>
    </row>
    <row r="1648" spans="1:24" ht="13" customHeight="1">
      <c r="A1648" s="8" t="s">
        <v>7968</v>
      </c>
      <c r="B1648" s="16">
        <v>54</v>
      </c>
      <c r="C1648" s="8" t="s">
        <v>20</v>
      </c>
      <c r="D1648" s="8" t="s">
        <v>37</v>
      </c>
      <c r="F1648" s="17">
        <v>41863</v>
      </c>
      <c r="G1648" s="8" t="s">
        <v>7969</v>
      </c>
      <c r="H1648" s="8" t="s">
        <v>7970</v>
      </c>
      <c r="I1648" s="8" t="s">
        <v>57</v>
      </c>
      <c r="J1648" s="16" t="s">
        <v>7971</v>
      </c>
      <c r="K1648" s="2" t="s">
        <v>7972</v>
      </c>
      <c r="L1648" s="8" t="s">
        <v>7973</v>
      </c>
      <c r="M1648" s="8" t="s">
        <v>27</v>
      </c>
      <c r="N1648" s="2" t="s">
        <v>7974</v>
      </c>
      <c r="O1648" s="8" t="s">
        <v>550</v>
      </c>
      <c r="P1648" s="8" t="s">
        <v>401</v>
      </c>
      <c r="Q1648" s="12" t="s">
        <v>7975</v>
      </c>
      <c r="R1648" s="8" t="s">
        <v>555</v>
      </c>
      <c r="S1648" s="7" t="s">
        <v>28</v>
      </c>
      <c r="T1648" s="6"/>
      <c r="U1648" s="8"/>
    </row>
    <row r="1649" spans="1:21" ht="13" customHeight="1">
      <c r="A1649" s="8" t="s">
        <v>7976</v>
      </c>
      <c r="B1649" s="16">
        <v>59</v>
      </c>
      <c r="C1649" s="8" t="s">
        <v>20</v>
      </c>
      <c r="D1649" s="8" t="s">
        <v>37</v>
      </c>
      <c r="E1649" s="8" t="str">
        <f>HYPERLINK("http://obits.dignitymemorial.com/dignity-memorial/obituary.aspx?n=James-DeVito&amp;lc=7339&amp;pid=172110208&amp;mid=6085341","http://obits.dignitymemorial.com/dignity-memorial/obituary.aspx?n=James-DeVito&amp;lc=7339&amp;pid=172110208&amp;mid=6085341")</f>
        <v>http://obits.dignitymemorial.com/dignity-memorial/obituary.aspx?n=James-DeVito&amp;lc=7339&amp;pid=172110208&amp;mid=6085341</v>
      </c>
      <c r="F1649" s="17">
        <v>41863</v>
      </c>
      <c r="G1649" s="8" t="s">
        <v>7977</v>
      </c>
      <c r="H1649" s="8" t="s">
        <v>7978</v>
      </c>
      <c r="I1649" s="8" t="s">
        <v>423</v>
      </c>
      <c r="J1649" s="16" t="s">
        <v>7979</v>
      </c>
      <c r="K1649" s="2" t="s">
        <v>4434</v>
      </c>
      <c r="L1649" s="8" t="s">
        <v>582</v>
      </c>
      <c r="M1649" s="8" t="s">
        <v>379</v>
      </c>
      <c r="N1649" s="2" t="s">
        <v>7980</v>
      </c>
      <c r="O1649" s="8" t="s">
        <v>1013</v>
      </c>
      <c r="P1649" s="8" t="s">
        <v>401</v>
      </c>
      <c r="Q1649" s="12" t="s">
        <v>7981</v>
      </c>
      <c r="R1649" s="8" t="s">
        <v>100</v>
      </c>
      <c r="S1649" s="7" t="s">
        <v>28</v>
      </c>
      <c r="T1649" s="6"/>
      <c r="U1649" s="8"/>
    </row>
    <row r="1650" spans="1:21" ht="13" customHeight="1">
      <c r="A1650" s="8" t="s">
        <v>8000</v>
      </c>
      <c r="B1650" s="16">
        <v>52</v>
      </c>
      <c r="C1650" s="8" t="s">
        <v>20</v>
      </c>
      <c r="D1650" s="8" t="s">
        <v>85</v>
      </c>
      <c r="E1650" s="8" t="s">
        <v>8001</v>
      </c>
      <c r="F1650" s="17">
        <v>41862</v>
      </c>
      <c r="G1650" s="8" t="s">
        <v>8002</v>
      </c>
      <c r="H1650" s="8" t="s">
        <v>8003</v>
      </c>
      <c r="I1650" s="8" t="s">
        <v>671</v>
      </c>
      <c r="J1650" s="16" t="s">
        <v>8004</v>
      </c>
      <c r="K1650" s="2" t="s">
        <v>2165</v>
      </c>
      <c r="L1650" s="8" t="s">
        <v>8005</v>
      </c>
      <c r="M1650" s="8" t="s">
        <v>27</v>
      </c>
      <c r="N1650" s="2" t="s">
        <v>8006</v>
      </c>
      <c r="O1650" s="8" t="s">
        <v>1013</v>
      </c>
      <c r="P1650" s="8" t="s">
        <v>401</v>
      </c>
      <c r="Q1650" s="12" t="s">
        <v>8007</v>
      </c>
      <c r="R1650" s="8" t="s">
        <v>100</v>
      </c>
      <c r="S1650" s="7" t="s">
        <v>28</v>
      </c>
      <c r="T1650" s="6"/>
      <c r="U1650" s="8"/>
    </row>
    <row r="1651" spans="1:21" ht="13" customHeight="1">
      <c r="A1651" s="8" t="s">
        <v>8008</v>
      </c>
      <c r="B1651" s="16">
        <v>67</v>
      </c>
      <c r="C1651" s="8" t="s">
        <v>20</v>
      </c>
      <c r="D1651" s="8" t="s">
        <v>85</v>
      </c>
      <c r="E1651" s="8" t="s">
        <v>8009</v>
      </c>
      <c r="F1651" s="17">
        <v>41862</v>
      </c>
      <c r="G1651" s="8" t="s">
        <v>8010</v>
      </c>
      <c r="H1651" s="8" t="s">
        <v>1307</v>
      </c>
      <c r="I1651" s="8" t="s">
        <v>73</v>
      </c>
      <c r="J1651" s="16" t="s">
        <v>8011</v>
      </c>
      <c r="K1651" s="2" t="s">
        <v>5510</v>
      </c>
      <c r="L1651" s="8" t="s">
        <v>8012</v>
      </c>
      <c r="M1651" s="8" t="s">
        <v>27</v>
      </c>
      <c r="N1651" s="2" t="s">
        <v>8013</v>
      </c>
      <c r="O1651" s="8" t="s">
        <v>29</v>
      </c>
      <c r="P1651" s="8" t="s">
        <v>401</v>
      </c>
      <c r="Q1651" s="12" t="str">
        <f>HYPERLINK("http://www.arklatexhomepage.com/story/d/story/man-killed-in-overnight-shooting-has-been-identifi/42931/M-T9-BnlDEKC3eIlvgv1Xg","http://www.arklatexhomepage.com/story/d/story/man-killed-in-overnight-shooting-has-been-identifi/42931/M-T9-BnlDEKC3eIlvgv1Xg")</f>
        <v>http://www.arklatexhomepage.com/story/d/story/man-killed-in-overnight-shooting-has-been-identifi/42931/M-T9-BnlDEKC3eIlvgv1Xg</v>
      </c>
      <c r="R1651" s="8" t="s">
        <v>29</v>
      </c>
      <c r="S1651" s="7" t="s">
        <v>28</v>
      </c>
      <c r="T1651" s="6"/>
      <c r="U1651" s="8"/>
    </row>
    <row r="1652" spans="1:21" ht="13" customHeight="1">
      <c r="A1652" s="8" t="s">
        <v>7987</v>
      </c>
      <c r="B1652" s="16">
        <v>25</v>
      </c>
      <c r="C1652" s="8" t="s">
        <v>20</v>
      </c>
      <c r="D1652" s="8" t="s">
        <v>85</v>
      </c>
      <c r="E1652" s="8" t="s">
        <v>7988</v>
      </c>
      <c r="F1652" s="17">
        <v>41862</v>
      </c>
      <c r="G1652" s="8" t="s">
        <v>7989</v>
      </c>
      <c r="H1652" s="8" t="s">
        <v>98</v>
      </c>
      <c r="I1652" s="8" t="s">
        <v>45</v>
      </c>
      <c r="J1652" s="16" t="s">
        <v>7990</v>
      </c>
      <c r="K1652" s="2" t="s">
        <v>98</v>
      </c>
      <c r="L1652" s="8" t="s">
        <v>99</v>
      </c>
      <c r="M1652" s="8" t="s">
        <v>27</v>
      </c>
      <c r="N1652" s="2" t="s">
        <v>7991</v>
      </c>
      <c r="O1652" s="8" t="s">
        <v>4714</v>
      </c>
      <c r="P1652" s="8" t="s">
        <v>401</v>
      </c>
      <c r="Q1652" s="12" t="s">
        <v>7992</v>
      </c>
      <c r="R1652" s="8" t="s">
        <v>555</v>
      </c>
      <c r="S1652" s="7" t="s">
        <v>18</v>
      </c>
      <c r="T1652" s="6"/>
      <c r="U1652" s="8"/>
    </row>
    <row r="1653" spans="1:21" ht="13" customHeight="1">
      <c r="A1653" s="8" t="s">
        <v>7993</v>
      </c>
      <c r="B1653" s="16">
        <v>34</v>
      </c>
      <c r="C1653" s="8" t="s">
        <v>20</v>
      </c>
      <c r="D1653" s="8" t="s">
        <v>85</v>
      </c>
      <c r="E1653" s="8" t="s">
        <v>7994</v>
      </c>
      <c r="F1653" s="17">
        <v>41862</v>
      </c>
      <c r="G1653" s="8" t="s">
        <v>7995</v>
      </c>
      <c r="H1653" s="8" t="s">
        <v>7996</v>
      </c>
      <c r="I1653" s="8" t="s">
        <v>25</v>
      </c>
      <c r="J1653" s="16">
        <v>71040</v>
      </c>
      <c r="K1653" s="2" t="s">
        <v>7997</v>
      </c>
      <c r="L1653" s="8" t="s">
        <v>7998</v>
      </c>
      <c r="M1653" s="8" t="s">
        <v>2297</v>
      </c>
      <c r="N1653" s="2" t="s">
        <v>7999</v>
      </c>
      <c r="O1653" s="8" t="s">
        <v>400</v>
      </c>
      <c r="P1653" s="8" t="s">
        <v>401</v>
      </c>
      <c r="Q1653" s="12" t="str">
        <f>HYPERLINK("http://www.shreveporttimes.com/story/news/crime/2014/08/11/state-fbi-investigate-doc-prisoners-death/13931967/%22His%20death%20was%20reported%20July%2015%20to%20state%20police%20investigators%20by%20the%20Claiborne%20Parish%20Sheriff's%20Office.%22","http://www.shreveporttimes.com/story/news/crime/2014/08/11/state-fbi-investigate-doc-prisoners-death/13931967/""His death was reported July 15 to state police investigators by the Claiborne Parish Sheriff's Office.""")</f>
        <v>http://www.shreveporttimes.com/story/news/crime/2014/08/11/state-fbi-investigate-doc-prisoners-death/13931967/"His death was reported July 15 to state police investigators by the Claiborne Parish Sheriff's Office."</v>
      </c>
      <c r="R1653" s="8" t="s">
        <v>100</v>
      </c>
      <c r="S1653" s="7" t="s">
        <v>18</v>
      </c>
      <c r="T1653" s="6"/>
      <c r="U1653" s="8"/>
    </row>
    <row r="1654" spans="1:21" ht="13" customHeight="1">
      <c r="A1654" s="8" t="s">
        <v>7982</v>
      </c>
      <c r="B1654" s="16">
        <v>27</v>
      </c>
      <c r="C1654" s="8" t="s">
        <v>20</v>
      </c>
      <c r="D1654" s="8" t="s">
        <v>85</v>
      </c>
      <c r="E1654" s="8" t="str">
        <f>HYPERLINK("http://kbmt.images.worldnow.com/images/4452029_G.jpg","http://kbmt.images.worldnow.com/images/4452029_G.jpg")</f>
        <v>http://kbmt.images.worldnow.com/images/4452029_G.jpg</v>
      </c>
      <c r="F1654" s="17">
        <v>41862</v>
      </c>
      <c r="G1654" s="8" t="s">
        <v>7983</v>
      </c>
      <c r="H1654" s="8" t="s">
        <v>7984</v>
      </c>
      <c r="I1654" s="8" t="s">
        <v>73</v>
      </c>
      <c r="J1654" s="16">
        <v>77640</v>
      </c>
      <c r="K1654" s="2" t="s">
        <v>1781</v>
      </c>
      <c r="L1654" s="8" t="s">
        <v>7985</v>
      </c>
      <c r="M1654" s="8" t="s">
        <v>391</v>
      </c>
      <c r="N1654" s="2" t="s">
        <v>7986</v>
      </c>
      <c r="O1654" s="8" t="s">
        <v>400</v>
      </c>
      <c r="P1654" s="8" t="s">
        <v>401</v>
      </c>
      <c r="Q1654" s="59" t="str">
        <f>HYPERLINK("http://www.12newsnow.com/story/26251863/family-seeks-answers-after-police-release-unconscious-man-who-died-moments-later","http://www.12newsnow.com/story/26251863/family-seeks-answers-after-police-release-unconscious-man-who-died-moments-later")</f>
        <v>http://www.12newsnow.com/story/26251863/family-seeks-answers-after-police-release-unconscious-man-who-died-moments-later</v>
      </c>
      <c r="R1654" s="8" t="s">
        <v>967</v>
      </c>
      <c r="S1654" s="7" t="s">
        <v>18</v>
      </c>
      <c r="T1654" s="6"/>
      <c r="U1654" s="8"/>
    </row>
    <row r="1655" spans="1:21" ht="13" customHeight="1">
      <c r="A1655" s="8" t="s">
        <v>8014</v>
      </c>
      <c r="B1655" s="16">
        <v>18</v>
      </c>
      <c r="C1655" s="8" t="s">
        <v>20</v>
      </c>
      <c r="D1655" s="8" t="s">
        <v>48</v>
      </c>
      <c r="F1655" s="17">
        <v>41862</v>
      </c>
      <c r="G1655" s="8" t="s">
        <v>8015</v>
      </c>
      <c r="H1655" s="8" t="s">
        <v>285</v>
      </c>
      <c r="I1655" s="8" t="s">
        <v>73</v>
      </c>
      <c r="J1655" s="16" t="s">
        <v>8016</v>
      </c>
      <c r="K1655" s="2" t="s">
        <v>285</v>
      </c>
      <c r="L1655" s="8" t="s">
        <v>286</v>
      </c>
      <c r="M1655" s="8" t="s">
        <v>27</v>
      </c>
      <c r="N1655" s="2" t="s">
        <v>8017</v>
      </c>
      <c r="O1655" s="8" t="s">
        <v>4714</v>
      </c>
      <c r="P1655" s="8" t="s">
        <v>401</v>
      </c>
      <c r="Q1655" s="12" t="s">
        <v>8018</v>
      </c>
      <c r="R1655" s="8" t="s">
        <v>100</v>
      </c>
      <c r="S1655" s="7" t="s">
        <v>28</v>
      </c>
      <c r="T1655" s="6"/>
      <c r="U1655" s="8"/>
    </row>
    <row r="1656" spans="1:21" ht="13" customHeight="1">
      <c r="A1656" s="8" t="s">
        <v>8019</v>
      </c>
      <c r="B1656" s="16">
        <v>53</v>
      </c>
      <c r="C1656" s="8" t="s">
        <v>20</v>
      </c>
      <c r="D1656" s="8" t="s">
        <v>30</v>
      </c>
      <c r="F1656" s="17">
        <v>41862</v>
      </c>
      <c r="G1656" s="8" t="s">
        <v>8020</v>
      </c>
      <c r="H1656" s="8" t="s">
        <v>8021</v>
      </c>
      <c r="I1656" s="8" t="s">
        <v>25</v>
      </c>
      <c r="J1656" s="16" t="s">
        <v>8022</v>
      </c>
      <c r="K1656" s="2" t="s">
        <v>8023</v>
      </c>
      <c r="L1656" s="8" t="s">
        <v>8024</v>
      </c>
      <c r="M1656" s="8" t="s">
        <v>27</v>
      </c>
      <c r="N1656" s="2" t="s">
        <v>8025</v>
      </c>
      <c r="O1656" s="8" t="s">
        <v>1013</v>
      </c>
      <c r="P1656" s="8" t="s">
        <v>401</v>
      </c>
      <c r="Q1656" s="12" t="str">
        <f>HYPERLINK("http://kpel965.com/la-state-police-handling-shooting-involving-crowley-police-officers/","http://kpel965.com/la-state-police-handling-shooting-involving-crowley-police-officers/")</f>
        <v>http://kpel965.com/la-state-police-handling-shooting-involving-crowley-police-officers/</v>
      </c>
      <c r="R1656" s="8" t="s">
        <v>100</v>
      </c>
      <c r="S1656" s="7" t="s">
        <v>28</v>
      </c>
      <c r="T1656" s="6"/>
      <c r="U1656" s="8"/>
    </row>
    <row r="1657" spans="1:21" ht="13" customHeight="1">
      <c r="A1657" s="8" t="s">
        <v>8026</v>
      </c>
      <c r="B1657" s="16">
        <v>26</v>
      </c>
      <c r="C1657" s="8" t="s">
        <v>20</v>
      </c>
      <c r="D1657" s="8" t="s">
        <v>37</v>
      </c>
      <c r="E1657" s="8" t="s">
        <v>8027</v>
      </c>
      <c r="F1657" s="17">
        <v>41862</v>
      </c>
      <c r="G1657" s="8" t="s">
        <v>8028</v>
      </c>
      <c r="H1657" s="8" t="s">
        <v>285</v>
      </c>
      <c r="I1657" s="8" t="s">
        <v>73</v>
      </c>
      <c r="J1657" s="16" t="s">
        <v>8029</v>
      </c>
      <c r="K1657" s="2" t="s">
        <v>285</v>
      </c>
      <c r="L1657" s="8" t="s">
        <v>286</v>
      </c>
      <c r="M1657" s="8" t="s">
        <v>27</v>
      </c>
      <c r="N1657" s="2" t="s">
        <v>8030</v>
      </c>
      <c r="O1657" s="8" t="s">
        <v>29</v>
      </c>
      <c r="P1657" s="8" t="s">
        <v>401</v>
      </c>
      <c r="Q1657" s="12" t="s">
        <v>8031</v>
      </c>
      <c r="R1657" s="8" t="s">
        <v>555</v>
      </c>
      <c r="S1657" s="7" t="s">
        <v>18</v>
      </c>
      <c r="T1657" s="6"/>
      <c r="U1657" s="8"/>
    </row>
    <row r="1658" spans="1:21" ht="13" customHeight="1">
      <c r="A1658" s="8" t="s">
        <v>8032</v>
      </c>
      <c r="B1658" s="16">
        <v>23</v>
      </c>
      <c r="C1658" s="8" t="s">
        <v>20</v>
      </c>
      <c r="D1658" s="8" t="s">
        <v>48</v>
      </c>
      <c r="E1658" s="8" t="s">
        <v>8033</v>
      </c>
      <c r="F1658" s="17">
        <v>41861</v>
      </c>
      <c r="G1658" s="8" t="s">
        <v>8034</v>
      </c>
      <c r="H1658" s="8" t="s">
        <v>8035</v>
      </c>
      <c r="I1658" s="8" t="s">
        <v>73</v>
      </c>
      <c r="J1658" s="16" t="s">
        <v>8036</v>
      </c>
      <c r="K1658" s="2" t="s">
        <v>5318</v>
      </c>
      <c r="L1658" s="8" t="s">
        <v>8037</v>
      </c>
      <c r="M1658" s="8" t="s">
        <v>379</v>
      </c>
      <c r="N1658" s="2" t="s">
        <v>21646</v>
      </c>
      <c r="O1658" s="8" t="s">
        <v>1013</v>
      </c>
      <c r="P1658" s="8" t="s">
        <v>401</v>
      </c>
      <c r="Q1658" s="12" t="s">
        <v>8038</v>
      </c>
      <c r="R1658" s="8" t="s">
        <v>100</v>
      </c>
      <c r="S1658" s="7" t="s">
        <v>18</v>
      </c>
      <c r="T1658" s="6"/>
      <c r="U1658" s="8"/>
    </row>
    <row r="1659" spans="1:21" ht="13" customHeight="1">
      <c r="A1659" s="8" t="s">
        <v>8039</v>
      </c>
      <c r="B1659" s="16" t="s">
        <v>29</v>
      </c>
      <c r="C1659" s="8" t="s">
        <v>20</v>
      </c>
      <c r="D1659" s="8" t="s">
        <v>48</v>
      </c>
      <c r="F1659" s="17">
        <v>41861</v>
      </c>
      <c r="G1659" s="8" t="s">
        <v>8034</v>
      </c>
      <c r="H1659" s="8" t="s">
        <v>8035</v>
      </c>
      <c r="I1659" s="8" t="s">
        <v>73</v>
      </c>
      <c r="J1659" s="16" t="s">
        <v>8036</v>
      </c>
      <c r="K1659" s="2" t="s">
        <v>5318</v>
      </c>
      <c r="L1659" s="8" t="s">
        <v>8037</v>
      </c>
      <c r="M1659" s="8" t="s">
        <v>379</v>
      </c>
      <c r="N1659" s="2" t="s">
        <v>21647</v>
      </c>
      <c r="O1659" s="8" t="s">
        <v>1013</v>
      </c>
      <c r="P1659" s="8" t="s">
        <v>401</v>
      </c>
      <c r="Q1659" s="12" t="s">
        <v>8038</v>
      </c>
      <c r="R1659" s="8" t="s">
        <v>100</v>
      </c>
      <c r="S1659" s="7" t="s">
        <v>379</v>
      </c>
      <c r="T1659" s="6"/>
      <c r="U1659" s="8"/>
    </row>
    <row r="1660" spans="1:21" ht="13" customHeight="1">
      <c r="A1660" s="8" t="s">
        <v>8040</v>
      </c>
      <c r="B1660" s="16">
        <v>45</v>
      </c>
      <c r="C1660" s="8" t="s">
        <v>20</v>
      </c>
      <c r="D1660" s="8" t="s">
        <v>37</v>
      </c>
      <c r="F1660" s="17">
        <v>41861</v>
      </c>
      <c r="G1660" s="8" t="s">
        <v>8041</v>
      </c>
      <c r="H1660" s="8" t="s">
        <v>8042</v>
      </c>
      <c r="I1660" s="8" t="s">
        <v>303</v>
      </c>
      <c r="J1660" s="16" t="s">
        <v>8043</v>
      </c>
      <c r="K1660" s="2" t="s">
        <v>1212</v>
      </c>
      <c r="L1660" s="8" t="s">
        <v>8044</v>
      </c>
      <c r="M1660" s="8" t="s">
        <v>27</v>
      </c>
      <c r="N1660" s="2" t="s">
        <v>8045</v>
      </c>
      <c r="O1660" s="8" t="s">
        <v>4714</v>
      </c>
      <c r="P1660" s="8" t="s">
        <v>401</v>
      </c>
      <c r="Q1660" s="12" t="s">
        <v>8046</v>
      </c>
      <c r="R1660" s="8" t="s">
        <v>2209</v>
      </c>
      <c r="S1660" s="7" t="s">
        <v>28</v>
      </c>
      <c r="T1660" s="6"/>
      <c r="U1660" s="8"/>
    </row>
    <row r="1661" spans="1:21" ht="13" customHeight="1">
      <c r="A1661" s="8" t="s">
        <v>8047</v>
      </c>
      <c r="B1661" s="16">
        <v>49</v>
      </c>
      <c r="C1661" s="8" t="s">
        <v>114</v>
      </c>
      <c r="D1661" s="8" t="s">
        <v>37</v>
      </c>
      <c r="E1661" s="8" t="s">
        <v>8048</v>
      </c>
      <c r="F1661" s="17">
        <v>41861</v>
      </c>
      <c r="G1661" s="8" t="s">
        <v>8049</v>
      </c>
      <c r="H1661" s="8" t="s">
        <v>8050</v>
      </c>
      <c r="I1661" s="8" t="s">
        <v>423</v>
      </c>
      <c r="J1661" s="16" t="s">
        <v>8051</v>
      </c>
      <c r="K1661" s="2" t="s">
        <v>4979</v>
      </c>
      <c r="L1661" s="8" t="s">
        <v>8052</v>
      </c>
      <c r="M1661" s="8" t="s">
        <v>27</v>
      </c>
      <c r="N1661" s="2" t="s">
        <v>8053</v>
      </c>
      <c r="O1661" s="8" t="s">
        <v>1013</v>
      </c>
      <c r="P1661" s="8" t="s">
        <v>401</v>
      </c>
      <c r="Q1661" s="12" t="s">
        <v>8054</v>
      </c>
      <c r="R1661" s="8" t="s">
        <v>29</v>
      </c>
      <c r="S1661" s="7" t="s">
        <v>18</v>
      </c>
      <c r="T1661" s="6"/>
      <c r="U1661" s="8"/>
    </row>
    <row r="1662" spans="1:21" ht="13" customHeight="1">
      <c r="A1662" s="8" t="s">
        <v>8055</v>
      </c>
      <c r="B1662" s="16">
        <v>51</v>
      </c>
      <c r="C1662" s="8" t="s">
        <v>20</v>
      </c>
      <c r="D1662" s="8" t="s">
        <v>37</v>
      </c>
      <c r="E1662" s="8" t="s">
        <v>8056</v>
      </c>
      <c r="F1662" s="17">
        <v>41861</v>
      </c>
      <c r="G1662" s="8" t="s">
        <v>8049</v>
      </c>
      <c r="H1662" s="8" t="s">
        <v>8050</v>
      </c>
      <c r="I1662" s="8" t="s">
        <v>423</v>
      </c>
      <c r="J1662" s="16" t="s">
        <v>8051</v>
      </c>
      <c r="K1662" s="2" t="s">
        <v>4979</v>
      </c>
      <c r="L1662" s="8" t="s">
        <v>8052</v>
      </c>
      <c r="M1662" s="8" t="s">
        <v>27</v>
      </c>
      <c r="N1662" s="2" t="s">
        <v>8053</v>
      </c>
      <c r="O1662" s="8" t="s">
        <v>1013</v>
      </c>
      <c r="P1662" s="8" t="s">
        <v>401</v>
      </c>
      <c r="Q1662" s="12" t="s">
        <v>8054</v>
      </c>
      <c r="R1662" s="8" t="s">
        <v>29</v>
      </c>
      <c r="S1662" s="7" t="s">
        <v>18</v>
      </c>
      <c r="T1662" s="6"/>
      <c r="U1662" s="8"/>
    </row>
    <row r="1663" spans="1:21" ht="13" customHeight="1">
      <c r="A1663" s="8" t="s">
        <v>8057</v>
      </c>
      <c r="B1663" s="16">
        <v>22</v>
      </c>
      <c r="C1663" s="8" t="s">
        <v>20</v>
      </c>
      <c r="D1663" s="8" t="s">
        <v>85</v>
      </c>
      <c r="F1663" s="17">
        <v>41860</v>
      </c>
      <c r="G1663" s="8" t="s">
        <v>8058</v>
      </c>
      <c r="H1663" s="8" t="s">
        <v>8059</v>
      </c>
      <c r="I1663" s="8" t="s">
        <v>44</v>
      </c>
      <c r="J1663" s="16" t="s">
        <v>8060</v>
      </c>
      <c r="K1663" s="2" t="s">
        <v>88</v>
      </c>
      <c r="L1663" s="8" t="s">
        <v>89</v>
      </c>
      <c r="M1663" s="8" t="s">
        <v>27</v>
      </c>
      <c r="N1663" s="2" t="s">
        <v>8061</v>
      </c>
      <c r="O1663" s="8" t="s">
        <v>550</v>
      </c>
      <c r="P1663" s="8" t="s">
        <v>401</v>
      </c>
      <c r="Q1663" s="12" t="s">
        <v>8062</v>
      </c>
      <c r="R1663" s="8" t="s">
        <v>29</v>
      </c>
      <c r="S1663" s="7" t="s">
        <v>28</v>
      </c>
      <c r="T1663" s="6"/>
      <c r="U1663" s="8"/>
    </row>
    <row r="1664" spans="1:21" ht="13" customHeight="1">
      <c r="A1664" s="8" t="s">
        <v>8063</v>
      </c>
      <c r="B1664" s="16">
        <v>18</v>
      </c>
      <c r="C1664" s="8" t="s">
        <v>20</v>
      </c>
      <c r="D1664" s="8" t="s">
        <v>85</v>
      </c>
      <c r="E1664" s="8" t="s">
        <v>8064</v>
      </c>
      <c r="F1664" s="17">
        <v>41860</v>
      </c>
      <c r="G1664" s="8" t="s">
        <v>8065</v>
      </c>
      <c r="H1664" s="8" t="s">
        <v>8066</v>
      </c>
      <c r="I1664" s="8" t="s">
        <v>431</v>
      </c>
      <c r="J1664" s="16" t="s">
        <v>2810</v>
      </c>
      <c r="K1664" s="2" t="s">
        <v>712</v>
      </c>
      <c r="L1664" s="8" t="s">
        <v>8067</v>
      </c>
      <c r="M1664" s="8" t="s">
        <v>27</v>
      </c>
      <c r="N1664" s="2" t="s">
        <v>8068</v>
      </c>
      <c r="O1664" s="8" t="s">
        <v>550</v>
      </c>
      <c r="P1664" s="8" t="s">
        <v>401</v>
      </c>
      <c r="Q1664" s="12" t="s">
        <v>8069</v>
      </c>
      <c r="R1664" s="8" t="s">
        <v>100</v>
      </c>
      <c r="S1664" s="7" t="s">
        <v>18</v>
      </c>
      <c r="T1664" s="6"/>
      <c r="U1664" s="8"/>
    </row>
    <row r="1665" spans="1:34" ht="13" customHeight="1">
      <c r="A1665" s="8" t="s">
        <v>8070</v>
      </c>
      <c r="B1665" s="16">
        <v>41</v>
      </c>
      <c r="C1665" s="8" t="s">
        <v>20</v>
      </c>
      <c r="D1665" s="8" t="s">
        <v>48</v>
      </c>
      <c r="F1665" s="17">
        <v>41860</v>
      </c>
      <c r="G1665" s="8" t="s">
        <v>8071</v>
      </c>
      <c r="H1665" s="8" t="s">
        <v>8072</v>
      </c>
      <c r="I1665" s="8" t="s">
        <v>45</v>
      </c>
      <c r="J1665" s="16" t="s">
        <v>8073</v>
      </c>
      <c r="K1665" s="2" t="s">
        <v>98</v>
      </c>
      <c r="L1665" s="8" t="s">
        <v>414</v>
      </c>
      <c r="M1665" s="8" t="s">
        <v>27</v>
      </c>
      <c r="N1665" s="2" t="s">
        <v>8074</v>
      </c>
      <c r="O1665" s="8" t="s">
        <v>1013</v>
      </c>
      <c r="P1665" s="8" t="s">
        <v>401</v>
      </c>
      <c r="Q1665" s="12" t="s">
        <v>8075</v>
      </c>
      <c r="R1665" s="8" t="s">
        <v>100</v>
      </c>
      <c r="S1665" s="7" t="s">
        <v>28</v>
      </c>
      <c r="T1665" s="6"/>
      <c r="U1665" s="8"/>
    </row>
    <row r="1666" spans="1:34" ht="13" customHeight="1">
      <c r="A1666" s="8" t="s">
        <v>8089</v>
      </c>
      <c r="B1666" s="16">
        <v>23</v>
      </c>
      <c r="C1666" s="8" t="s">
        <v>20</v>
      </c>
      <c r="D1666" s="8" t="s">
        <v>37</v>
      </c>
      <c r="E1666" s="8" t="s">
        <v>8090</v>
      </c>
      <c r="F1666" s="17">
        <v>41860</v>
      </c>
      <c r="G1666" s="8" t="s">
        <v>8091</v>
      </c>
      <c r="H1666" s="8" t="s">
        <v>8092</v>
      </c>
      <c r="I1666" s="8" t="s">
        <v>981</v>
      </c>
      <c r="J1666" s="16" t="s">
        <v>8093</v>
      </c>
      <c r="K1666" s="2" t="s">
        <v>8094</v>
      </c>
      <c r="L1666" s="8" t="s">
        <v>8095</v>
      </c>
      <c r="M1666" s="8" t="s">
        <v>27</v>
      </c>
      <c r="N1666" s="2" t="s">
        <v>8096</v>
      </c>
      <c r="O1666" s="8" t="s">
        <v>1013</v>
      </c>
      <c r="P1666" s="8" t="s">
        <v>401</v>
      </c>
      <c r="Q1666" s="12" t="s">
        <v>8097</v>
      </c>
      <c r="R1666" s="8" t="s">
        <v>100</v>
      </c>
      <c r="S1666" s="7" t="s">
        <v>28</v>
      </c>
      <c r="T1666" s="6"/>
      <c r="U1666" s="8"/>
    </row>
    <row r="1667" spans="1:34" ht="13" customHeight="1">
      <c r="A1667" s="8" t="s">
        <v>8082</v>
      </c>
      <c r="B1667" s="16">
        <v>40</v>
      </c>
      <c r="C1667" s="8" t="s">
        <v>20</v>
      </c>
      <c r="D1667" s="8" t="s">
        <v>37</v>
      </c>
      <c r="E1667" s="8" t="s">
        <v>8083</v>
      </c>
      <c r="F1667" s="17">
        <v>41860</v>
      </c>
      <c r="G1667" s="8" t="s">
        <v>8084</v>
      </c>
      <c r="H1667" s="8" t="s">
        <v>8085</v>
      </c>
      <c r="I1667" s="8" t="s">
        <v>404</v>
      </c>
      <c r="J1667" s="16" t="s">
        <v>8086</v>
      </c>
      <c r="K1667" s="2" t="s">
        <v>1608</v>
      </c>
      <c r="L1667" s="8" t="s">
        <v>9400</v>
      </c>
      <c r="M1667" s="8" t="s">
        <v>27</v>
      </c>
      <c r="N1667" s="2" t="s">
        <v>8087</v>
      </c>
      <c r="O1667" s="8" t="s">
        <v>1013</v>
      </c>
      <c r="P1667" s="8" t="s">
        <v>401</v>
      </c>
      <c r="Q1667" s="12" t="s">
        <v>8088</v>
      </c>
      <c r="R1667" s="8" t="s">
        <v>100</v>
      </c>
      <c r="S1667" s="7" t="s">
        <v>28</v>
      </c>
      <c r="T1667" s="6"/>
      <c r="U1667" s="8"/>
    </row>
    <row r="1668" spans="1:34" ht="13" customHeight="1">
      <c r="A1668" s="8" t="s">
        <v>8076</v>
      </c>
      <c r="B1668" s="16">
        <v>20</v>
      </c>
      <c r="C1668" s="8" t="s">
        <v>20</v>
      </c>
      <c r="D1668" s="8" t="s">
        <v>37</v>
      </c>
      <c r="E1668" s="8" t="s">
        <v>8077</v>
      </c>
      <c r="F1668" s="17">
        <v>41860</v>
      </c>
      <c r="G1668" s="8" t="s">
        <v>8078</v>
      </c>
      <c r="H1668" s="8" t="s">
        <v>239</v>
      </c>
      <c r="I1668" s="8" t="s">
        <v>240</v>
      </c>
      <c r="J1668" s="16" t="s">
        <v>8079</v>
      </c>
      <c r="K1668" s="2" t="s">
        <v>613</v>
      </c>
      <c r="L1668" s="8" t="s">
        <v>241</v>
      </c>
      <c r="M1668" s="8" t="s">
        <v>27</v>
      </c>
      <c r="N1668" s="2" t="s">
        <v>8080</v>
      </c>
      <c r="O1668" s="8" t="s">
        <v>400</v>
      </c>
      <c r="P1668" s="8" t="s">
        <v>401</v>
      </c>
      <c r="Q1668" s="12" t="s">
        <v>8081</v>
      </c>
      <c r="R1668" s="8" t="s">
        <v>100</v>
      </c>
      <c r="S1668" s="7" t="s">
        <v>18</v>
      </c>
      <c r="T1668" s="6"/>
      <c r="U1668" s="8"/>
    </row>
    <row r="1669" spans="1:34" ht="13" customHeight="1">
      <c r="A1669" s="8" t="s">
        <v>8098</v>
      </c>
      <c r="B1669" s="16">
        <v>38</v>
      </c>
      <c r="C1669" s="8" t="s">
        <v>20</v>
      </c>
      <c r="D1669" s="8" t="s">
        <v>48</v>
      </c>
      <c r="F1669" s="17">
        <v>41859</v>
      </c>
      <c r="G1669" s="8" t="s">
        <v>8099</v>
      </c>
      <c r="H1669" s="8" t="s">
        <v>8100</v>
      </c>
      <c r="I1669" s="8" t="s">
        <v>404</v>
      </c>
      <c r="J1669" s="16" t="s">
        <v>8101</v>
      </c>
      <c r="K1669" s="2" t="s">
        <v>8102</v>
      </c>
      <c r="L1669" s="8" t="s">
        <v>8103</v>
      </c>
      <c r="M1669" s="8" t="s">
        <v>391</v>
      </c>
      <c r="N1669" s="2" t="s">
        <v>8104</v>
      </c>
      <c r="O1669" s="8" t="s">
        <v>400</v>
      </c>
      <c r="P1669" s="8" t="s">
        <v>401</v>
      </c>
      <c r="Q1669" s="12" t="s">
        <v>8105</v>
      </c>
      <c r="R1669" s="8" t="s">
        <v>100</v>
      </c>
      <c r="S1669" s="7" t="s">
        <v>18</v>
      </c>
      <c r="T1669" s="6"/>
      <c r="U1669" s="8"/>
    </row>
    <row r="1670" spans="1:34" ht="13" customHeight="1">
      <c r="A1670" s="8" t="s">
        <v>3267</v>
      </c>
      <c r="B1670" s="16">
        <v>31</v>
      </c>
      <c r="C1670" s="8" t="s">
        <v>20</v>
      </c>
      <c r="D1670" s="8" t="s">
        <v>30</v>
      </c>
      <c r="F1670" s="17">
        <v>41859</v>
      </c>
      <c r="G1670" s="8" t="s">
        <v>8106</v>
      </c>
      <c r="H1670" s="8" t="s">
        <v>444</v>
      </c>
      <c r="I1670" s="8" t="s">
        <v>57</v>
      </c>
      <c r="J1670" s="16" t="s">
        <v>8107</v>
      </c>
      <c r="K1670" s="2" t="s">
        <v>1132</v>
      </c>
      <c r="L1670" s="8" t="s">
        <v>2182</v>
      </c>
      <c r="M1670" s="8" t="s">
        <v>27</v>
      </c>
      <c r="N1670" s="2" t="s">
        <v>8108</v>
      </c>
      <c r="O1670" s="8" t="s">
        <v>1013</v>
      </c>
      <c r="P1670" s="8" t="s">
        <v>401</v>
      </c>
      <c r="Q1670" s="12" t="s">
        <v>8109</v>
      </c>
      <c r="R1670" s="8" t="s">
        <v>100</v>
      </c>
      <c r="S1670" s="7" t="s">
        <v>28</v>
      </c>
      <c r="T1670" s="6"/>
      <c r="U1670" s="8"/>
    </row>
    <row r="1671" spans="1:34" ht="13" customHeight="1">
      <c r="A1671" s="8" t="s">
        <v>8117</v>
      </c>
      <c r="B1671" s="16">
        <v>23</v>
      </c>
      <c r="C1671" s="8" t="s">
        <v>20</v>
      </c>
      <c r="D1671" s="8" t="s">
        <v>37</v>
      </c>
      <c r="E1671" s="8" t="s">
        <v>8118</v>
      </c>
      <c r="F1671" s="17">
        <v>41859</v>
      </c>
      <c r="G1671" s="8" t="s">
        <v>8119</v>
      </c>
      <c r="H1671" s="8" t="s">
        <v>595</v>
      </c>
      <c r="I1671" s="8" t="s">
        <v>73</v>
      </c>
      <c r="J1671" s="16" t="s">
        <v>8120</v>
      </c>
      <c r="K1671" s="2" t="s">
        <v>596</v>
      </c>
      <c r="L1671" s="8" t="s">
        <v>597</v>
      </c>
      <c r="M1671" s="8" t="s">
        <v>27</v>
      </c>
      <c r="N1671" s="2" t="s">
        <v>8121</v>
      </c>
      <c r="O1671" s="8" t="s">
        <v>400</v>
      </c>
      <c r="P1671" s="8" t="s">
        <v>401</v>
      </c>
      <c r="Q1671" s="12" t="s">
        <v>8122</v>
      </c>
      <c r="R1671" s="8" t="s">
        <v>555</v>
      </c>
      <c r="S1671" s="7" t="s">
        <v>28</v>
      </c>
      <c r="T1671" s="6"/>
      <c r="U1671" s="8"/>
    </row>
    <row r="1672" spans="1:34" ht="13" customHeight="1">
      <c r="A1672" s="8" t="s">
        <v>8110</v>
      </c>
      <c r="B1672" s="16">
        <v>26</v>
      </c>
      <c r="C1672" s="8" t="s">
        <v>20</v>
      </c>
      <c r="D1672" s="8" t="s">
        <v>37</v>
      </c>
      <c r="E1672" s="8" t="s">
        <v>8111</v>
      </c>
      <c r="F1672" s="17">
        <v>41859</v>
      </c>
      <c r="G1672" s="8" t="s">
        <v>8112</v>
      </c>
      <c r="H1672" s="8" t="s">
        <v>1301</v>
      </c>
      <c r="I1672" s="8" t="s">
        <v>209</v>
      </c>
      <c r="J1672" s="16" t="s">
        <v>8113</v>
      </c>
      <c r="K1672" s="2" t="s">
        <v>1301</v>
      </c>
      <c r="L1672" s="8" t="s">
        <v>8114</v>
      </c>
      <c r="M1672" s="8" t="s">
        <v>27</v>
      </c>
      <c r="N1672" s="2" t="s">
        <v>8115</v>
      </c>
      <c r="O1672" s="8" t="s">
        <v>550</v>
      </c>
      <c r="P1672" s="8" t="s">
        <v>401</v>
      </c>
      <c r="Q1672" s="12" t="s">
        <v>8116</v>
      </c>
      <c r="R1672" s="8" t="s">
        <v>100</v>
      </c>
      <c r="S1672" s="7" t="s">
        <v>28</v>
      </c>
      <c r="T1672" s="6"/>
      <c r="U1672" s="8"/>
    </row>
    <row r="1673" spans="1:34" ht="13" customHeight="1">
      <c r="A1673" s="8" t="s">
        <v>8123</v>
      </c>
      <c r="B1673" s="16">
        <v>17</v>
      </c>
      <c r="C1673" s="8" t="s">
        <v>20</v>
      </c>
      <c r="D1673" s="8" t="s">
        <v>85</v>
      </c>
      <c r="E1673" s="8" t="s">
        <v>8124</v>
      </c>
      <c r="F1673" s="17">
        <v>41858</v>
      </c>
      <c r="G1673" s="8" t="s">
        <v>8125</v>
      </c>
      <c r="H1673" s="8" t="s">
        <v>8126</v>
      </c>
      <c r="I1673" s="8" t="s">
        <v>57</v>
      </c>
      <c r="J1673" s="16" t="s">
        <v>8127</v>
      </c>
      <c r="K1673" s="2" t="s">
        <v>603</v>
      </c>
      <c r="L1673" s="8" t="s">
        <v>8128</v>
      </c>
      <c r="M1673" s="8" t="s">
        <v>379</v>
      </c>
      <c r="N1673" s="2" t="s">
        <v>8129</v>
      </c>
      <c r="O1673" s="8" t="s">
        <v>1013</v>
      </c>
      <c r="P1673" s="8" t="s">
        <v>401</v>
      </c>
      <c r="Q1673" s="12" t="s">
        <v>8130</v>
      </c>
      <c r="R1673" s="8" t="s">
        <v>100</v>
      </c>
      <c r="S1673" s="7" t="s">
        <v>379</v>
      </c>
      <c r="T1673" s="6"/>
      <c r="U1673" s="8"/>
    </row>
    <row r="1674" spans="1:34" ht="13" customHeight="1">
      <c r="A1674" s="8" t="s">
        <v>8131</v>
      </c>
      <c r="B1674" s="16">
        <v>20</v>
      </c>
      <c r="C1674" s="8" t="s">
        <v>20</v>
      </c>
      <c r="D1674" s="8" t="s">
        <v>48</v>
      </c>
      <c r="F1674" s="17">
        <v>41858</v>
      </c>
      <c r="G1674" s="8" t="s">
        <v>8132</v>
      </c>
      <c r="H1674" s="8" t="s">
        <v>8133</v>
      </c>
      <c r="I1674" s="8" t="s">
        <v>45</v>
      </c>
      <c r="J1674" s="16" t="s">
        <v>8134</v>
      </c>
      <c r="K1674" s="2" t="s">
        <v>1646</v>
      </c>
      <c r="L1674" s="8" t="s">
        <v>8135</v>
      </c>
      <c r="M1674" s="8" t="s">
        <v>27</v>
      </c>
      <c r="N1674" s="2" t="s">
        <v>8136</v>
      </c>
      <c r="O1674" s="8" t="s">
        <v>1013</v>
      </c>
      <c r="P1674" s="8" t="s">
        <v>401</v>
      </c>
      <c r="Q1674" s="12" t="s">
        <v>8137</v>
      </c>
      <c r="R1674" s="8" t="s">
        <v>29</v>
      </c>
      <c r="S1674" s="7" t="s">
        <v>28</v>
      </c>
      <c r="T1674" s="6"/>
      <c r="U1674" s="8"/>
    </row>
    <row r="1675" spans="1:34" ht="13" customHeight="1">
      <c r="A1675" s="8" t="s">
        <v>8138</v>
      </c>
      <c r="B1675" s="16">
        <v>26</v>
      </c>
      <c r="C1675" s="8" t="s">
        <v>20</v>
      </c>
      <c r="D1675" s="8" t="s">
        <v>85</v>
      </c>
      <c r="E1675" s="8" t="s">
        <v>8139</v>
      </c>
      <c r="F1675" s="17">
        <v>41857</v>
      </c>
      <c r="G1675" s="8" t="s">
        <v>8140</v>
      </c>
      <c r="H1675" s="8" t="s">
        <v>681</v>
      </c>
      <c r="I1675" s="8" t="s">
        <v>45</v>
      </c>
      <c r="J1675" s="16" t="s">
        <v>8141</v>
      </c>
      <c r="K1675" s="2" t="s">
        <v>682</v>
      </c>
      <c r="L1675" s="8" t="s">
        <v>683</v>
      </c>
      <c r="M1675" s="8" t="s">
        <v>27</v>
      </c>
      <c r="N1675" s="2" t="s">
        <v>8142</v>
      </c>
      <c r="O1675" s="8" t="s">
        <v>550</v>
      </c>
      <c r="P1675" s="8" t="s">
        <v>401</v>
      </c>
      <c r="Q1675" s="12" t="s">
        <v>8143</v>
      </c>
      <c r="R1675" s="8" t="s">
        <v>29</v>
      </c>
      <c r="S1675" s="7" t="s">
        <v>35</v>
      </c>
      <c r="T1675" s="6"/>
      <c r="U1675" s="8"/>
      <c r="Y1675" s="8"/>
      <c r="Z1675" s="8"/>
      <c r="AA1675" s="8"/>
      <c r="AB1675" s="8"/>
      <c r="AC1675" s="8"/>
      <c r="AD1675" s="8"/>
      <c r="AE1675" s="8"/>
      <c r="AF1675" s="8"/>
      <c r="AG1675" s="8"/>
      <c r="AH1675" s="8"/>
    </row>
    <row r="1676" spans="1:34" ht="13" customHeight="1">
      <c r="A1676" s="8" t="s">
        <v>8144</v>
      </c>
      <c r="B1676" s="16">
        <v>51</v>
      </c>
      <c r="C1676" s="8" t="s">
        <v>20</v>
      </c>
      <c r="D1676" s="8" t="s">
        <v>48</v>
      </c>
      <c r="E1676" s="8" t="s">
        <v>8145</v>
      </c>
      <c r="F1676" s="17">
        <v>41857</v>
      </c>
      <c r="G1676" s="8" t="s">
        <v>8146</v>
      </c>
      <c r="H1676" s="8" t="s">
        <v>8147</v>
      </c>
      <c r="I1676" s="8" t="s">
        <v>873</v>
      </c>
      <c r="J1676" s="16" t="s">
        <v>8148</v>
      </c>
      <c r="K1676" s="2" t="s">
        <v>2372</v>
      </c>
      <c r="L1676" s="8" t="s">
        <v>3603</v>
      </c>
      <c r="M1676" s="8" t="s">
        <v>27</v>
      </c>
      <c r="N1676" s="2" t="s">
        <v>8149</v>
      </c>
      <c r="O1676" s="8" t="s">
        <v>1013</v>
      </c>
      <c r="P1676" s="8" t="s">
        <v>401</v>
      </c>
      <c r="Q1676" s="12" t="s">
        <v>8150</v>
      </c>
      <c r="R1676" s="8" t="s">
        <v>100</v>
      </c>
      <c r="S1676" s="7" t="s">
        <v>379</v>
      </c>
      <c r="T1676" s="6"/>
      <c r="U1676" s="8"/>
    </row>
    <row r="1677" spans="1:34" ht="13" customHeight="1">
      <c r="A1677" s="8" t="s">
        <v>8151</v>
      </c>
      <c r="B1677" s="16">
        <v>19</v>
      </c>
      <c r="C1677" s="8" t="s">
        <v>20</v>
      </c>
      <c r="D1677" s="8" t="s">
        <v>85</v>
      </c>
      <c r="E1677" s="8" t="s">
        <v>8152</v>
      </c>
      <c r="F1677" s="17">
        <v>41856</v>
      </c>
      <c r="G1677" s="8" t="s">
        <v>8153</v>
      </c>
      <c r="H1677" s="8" t="s">
        <v>2497</v>
      </c>
      <c r="I1677" s="8" t="s">
        <v>395</v>
      </c>
      <c r="J1677" s="16" t="s">
        <v>4179</v>
      </c>
      <c r="K1677" s="2" t="s">
        <v>2497</v>
      </c>
      <c r="L1677" s="8" t="s">
        <v>3398</v>
      </c>
      <c r="M1677" s="8" t="s">
        <v>27</v>
      </c>
      <c r="N1677" s="2" t="s">
        <v>8154</v>
      </c>
      <c r="O1677" s="8" t="s">
        <v>1790</v>
      </c>
      <c r="P1677" s="8" t="s">
        <v>1162</v>
      </c>
      <c r="Q1677" s="12" t="s">
        <v>8155</v>
      </c>
      <c r="R1677" s="8" t="s">
        <v>100</v>
      </c>
      <c r="S1677" s="7" t="s">
        <v>18</v>
      </c>
      <c r="T1677" s="6"/>
      <c r="U1677" s="8"/>
    </row>
    <row r="1678" spans="1:34" ht="13" customHeight="1">
      <c r="A1678" s="8" t="s">
        <v>8175</v>
      </c>
      <c r="B1678" s="16">
        <v>37</v>
      </c>
      <c r="C1678" s="8" t="s">
        <v>20</v>
      </c>
      <c r="D1678" s="8" t="s">
        <v>85</v>
      </c>
      <c r="F1678" s="17">
        <v>41856</v>
      </c>
      <c r="G1678" s="8" t="s">
        <v>8176</v>
      </c>
      <c r="H1678" s="8" t="s">
        <v>547</v>
      </c>
      <c r="I1678" s="8" t="s">
        <v>69</v>
      </c>
      <c r="J1678" s="16" t="s">
        <v>8177</v>
      </c>
      <c r="K1678" s="2" t="s">
        <v>548</v>
      </c>
      <c r="L1678" s="8" t="s">
        <v>549</v>
      </c>
      <c r="M1678" s="8" t="s">
        <v>27</v>
      </c>
      <c r="N1678" s="2" t="s">
        <v>8178</v>
      </c>
      <c r="O1678" s="8" t="s">
        <v>1013</v>
      </c>
      <c r="P1678" s="8" t="s">
        <v>401</v>
      </c>
      <c r="Q1678" s="12" t="str">
        <f>HYPERLINK("http://www.cincinnati.com/story/news/2014/08/05/cincinnati-police-officer-shoots-man-killed-traffic-stop/13611479/","http://www.cincinnati.com/story/news/2014/08/05/cincinnati-police-officer-shoots-man-killed-traffic-stop/13611479/")</f>
        <v>http://www.cincinnati.com/story/news/2014/08/05/cincinnati-police-officer-shoots-man-killed-traffic-stop/13611479/</v>
      </c>
      <c r="R1678" s="8" t="s">
        <v>100</v>
      </c>
      <c r="S1678" s="7" t="s">
        <v>28</v>
      </c>
      <c r="T1678" s="6"/>
      <c r="U1678" s="8"/>
    </row>
    <row r="1679" spans="1:34" ht="13" customHeight="1">
      <c r="A1679" s="8" t="s">
        <v>8156</v>
      </c>
      <c r="B1679" s="16">
        <v>22</v>
      </c>
      <c r="C1679" s="8" t="s">
        <v>20</v>
      </c>
      <c r="D1679" s="8" t="s">
        <v>85</v>
      </c>
      <c r="E1679" s="8" t="s">
        <v>8157</v>
      </c>
      <c r="F1679" s="17">
        <v>41856</v>
      </c>
      <c r="G1679" s="8" t="s">
        <v>8158</v>
      </c>
      <c r="H1679" s="8" t="s">
        <v>8159</v>
      </c>
      <c r="I1679" s="8" t="s">
        <v>69</v>
      </c>
      <c r="J1679" s="16" t="s">
        <v>8160</v>
      </c>
      <c r="K1679" s="2" t="s">
        <v>4979</v>
      </c>
      <c r="L1679" s="8" t="s">
        <v>8161</v>
      </c>
      <c r="M1679" s="8" t="s">
        <v>27</v>
      </c>
      <c r="N1679" s="2" t="s">
        <v>8162</v>
      </c>
      <c r="O1679" s="8" t="s">
        <v>550</v>
      </c>
      <c r="P1679" s="8" t="s">
        <v>401</v>
      </c>
      <c r="Q1679" s="12" t="s">
        <v>8163</v>
      </c>
      <c r="R1679" s="8" t="s">
        <v>100</v>
      </c>
      <c r="S1679" s="7" t="s">
        <v>18</v>
      </c>
      <c r="T1679" s="6"/>
      <c r="U1679" s="8"/>
    </row>
    <row r="1680" spans="1:34" ht="13" customHeight="1">
      <c r="A1680" s="8" t="s">
        <v>8169</v>
      </c>
      <c r="B1680" s="16">
        <v>35</v>
      </c>
      <c r="C1680" s="8" t="s">
        <v>20</v>
      </c>
      <c r="D1680" s="8" t="s">
        <v>85</v>
      </c>
      <c r="E1680" s="8" t="s">
        <v>8170</v>
      </c>
      <c r="F1680" s="17">
        <v>41856</v>
      </c>
      <c r="G1680" s="8" t="s">
        <v>8171</v>
      </c>
      <c r="H1680" s="8" t="s">
        <v>8172</v>
      </c>
      <c r="I1680" s="8" t="s">
        <v>62</v>
      </c>
      <c r="J1680" s="16" t="s">
        <v>8173</v>
      </c>
      <c r="K1680" s="2" t="s">
        <v>161</v>
      </c>
      <c r="L1680" s="8" t="s">
        <v>162</v>
      </c>
      <c r="M1680" s="8" t="s">
        <v>27</v>
      </c>
      <c r="N1680" s="2" t="s">
        <v>8174</v>
      </c>
      <c r="O1680" s="8" t="s">
        <v>1013</v>
      </c>
      <c r="P1680" s="8" t="s">
        <v>401</v>
      </c>
      <c r="Q1680" s="59" t="str">
        <f>HYPERLINK("http://www.local10.com/news/1-killed-in-policeinvolved-shooting-in-miami-springs/26847256","http://www.local10.com/news/1-killed-in-policeinvolved-shooting-in-miami-springs/26847256")</f>
        <v>http://www.local10.com/news/1-killed-in-policeinvolved-shooting-in-miami-springs/26847256</v>
      </c>
      <c r="R1680" s="8" t="s">
        <v>29</v>
      </c>
      <c r="S1680" s="7" t="s">
        <v>18</v>
      </c>
      <c r="T1680" s="6"/>
      <c r="U1680" s="8"/>
    </row>
    <row r="1681" spans="1:39" ht="13" customHeight="1">
      <c r="A1681" s="8" t="s">
        <v>8164</v>
      </c>
      <c r="B1681" s="16">
        <v>38</v>
      </c>
      <c r="C1681" s="8" t="s">
        <v>20</v>
      </c>
      <c r="D1681" s="8" t="s">
        <v>85</v>
      </c>
      <c r="E1681" s="8" t="s">
        <v>8165</v>
      </c>
      <c r="F1681" s="17">
        <v>41856</v>
      </c>
      <c r="G1681" s="8" t="s">
        <v>8166</v>
      </c>
      <c r="H1681" s="8" t="s">
        <v>1596</v>
      </c>
      <c r="I1681" s="8" t="s">
        <v>52</v>
      </c>
      <c r="J1681" s="16" t="s">
        <v>4726</v>
      </c>
      <c r="K1681" s="2" t="s">
        <v>4727</v>
      </c>
      <c r="L1681" s="8" t="s">
        <v>2782</v>
      </c>
      <c r="M1681" s="8" t="s">
        <v>27</v>
      </c>
      <c r="N1681" s="2" t="s">
        <v>8167</v>
      </c>
      <c r="P1681" s="8" t="s">
        <v>401</v>
      </c>
      <c r="Q1681" s="12" t="s">
        <v>8168</v>
      </c>
      <c r="R1681" s="8" t="s">
        <v>100</v>
      </c>
      <c r="S1681" s="7" t="s">
        <v>18</v>
      </c>
      <c r="T1681" s="6"/>
      <c r="U1681" s="8"/>
    </row>
    <row r="1682" spans="1:39" ht="13" customHeight="1">
      <c r="A1682" s="8" t="s">
        <v>8185</v>
      </c>
      <c r="B1682" s="16">
        <v>40</v>
      </c>
      <c r="C1682" s="8" t="s">
        <v>20</v>
      </c>
      <c r="D1682" s="8" t="s">
        <v>30</v>
      </c>
      <c r="F1682" s="17">
        <v>41856</v>
      </c>
      <c r="G1682" s="8" t="s">
        <v>8186</v>
      </c>
      <c r="H1682" s="8" t="s">
        <v>2821</v>
      </c>
      <c r="I1682" s="8" t="s">
        <v>62</v>
      </c>
      <c r="J1682" s="16" t="s">
        <v>2822</v>
      </c>
      <c r="K1682" s="2" t="s">
        <v>2823</v>
      </c>
      <c r="L1682" s="8" t="s">
        <v>8187</v>
      </c>
      <c r="M1682" s="8" t="s">
        <v>27</v>
      </c>
      <c r="N1682" s="2" t="s">
        <v>8188</v>
      </c>
      <c r="O1682" s="8" t="s">
        <v>1013</v>
      </c>
      <c r="P1682" s="8" t="s">
        <v>401</v>
      </c>
      <c r="Q1682" s="12" t="str">
        <f>HYPERLINK("http://www.newsherald.com/news/crime-public-safety/man-shot-during-standoff-dies-1.357594","http://www.newsherald.com/news/crime-public-safety/man-shot-during-standoff-dies-1.357594")</f>
        <v>http://www.newsherald.com/news/crime-public-safety/man-shot-during-standoff-dies-1.357594</v>
      </c>
      <c r="R1682" s="8" t="s">
        <v>100</v>
      </c>
      <c r="S1682" s="7" t="s">
        <v>28</v>
      </c>
      <c r="T1682" s="6"/>
      <c r="U1682" s="8"/>
    </row>
    <row r="1683" spans="1:39" ht="13" customHeight="1">
      <c r="A1683" s="8" t="s">
        <v>8179</v>
      </c>
      <c r="B1683" s="16">
        <v>55</v>
      </c>
      <c r="C1683" s="8" t="s">
        <v>20</v>
      </c>
      <c r="D1683" s="8" t="s">
        <v>30</v>
      </c>
      <c r="F1683" s="17">
        <v>41856</v>
      </c>
      <c r="G1683" s="8" t="s">
        <v>8180</v>
      </c>
      <c r="H1683" s="8" t="s">
        <v>6607</v>
      </c>
      <c r="I1683" s="8" t="s">
        <v>244</v>
      </c>
      <c r="J1683" s="16" t="s">
        <v>8181</v>
      </c>
      <c r="K1683" s="2" t="s">
        <v>118</v>
      </c>
      <c r="L1683" s="8" t="s">
        <v>8182</v>
      </c>
      <c r="M1683" s="8" t="s">
        <v>27</v>
      </c>
      <c r="N1683" s="2" t="s">
        <v>8183</v>
      </c>
      <c r="O1683" s="8" t="s">
        <v>550</v>
      </c>
      <c r="P1683" s="8" t="s">
        <v>401</v>
      </c>
      <c r="Q1683" s="12" t="s">
        <v>8184</v>
      </c>
      <c r="R1683" s="8" t="s">
        <v>29</v>
      </c>
      <c r="S1683" s="7" t="s">
        <v>28</v>
      </c>
      <c r="T1683" s="6"/>
      <c r="U1683" s="8"/>
    </row>
    <row r="1684" spans="1:39" ht="13" customHeight="1">
      <c r="A1684" s="8" t="s">
        <v>8189</v>
      </c>
      <c r="B1684" s="16">
        <v>17</v>
      </c>
      <c r="C1684" s="8" t="s">
        <v>20</v>
      </c>
      <c r="D1684" s="8" t="s">
        <v>85</v>
      </c>
      <c r="E1684" s="8" t="s">
        <v>8190</v>
      </c>
      <c r="F1684" s="17">
        <v>41855</v>
      </c>
      <c r="G1684" s="8" t="s">
        <v>8191</v>
      </c>
      <c r="H1684" s="8" t="s">
        <v>118</v>
      </c>
      <c r="I1684" s="8" t="s">
        <v>3685</v>
      </c>
      <c r="J1684" s="16" t="s">
        <v>8192</v>
      </c>
      <c r="K1684" s="2" t="s">
        <v>3687</v>
      </c>
      <c r="L1684" s="8" t="s">
        <v>19723</v>
      </c>
      <c r="M1684" s="8" t="s">
        <v>379</v>
      </c>
      <c r="N1684" s="2" t="s">
        <v>8193</v>
      </c>
      <c r="O1684" s="8" t="s">
        <v>1013</v>
      </c>
      <c r="P1684" s="8" t="s">
        <v>401</v>
      </c>
      <c r="Q1684" s="12" t="s">
        <v>8194</v>
      </c>
      <c r="R1684" s="8" t="s">
        <v>100</v>
      </c>
      <c r="S1684" s="7" t="s">
        <v>18</v>
      </c>
      <c r="T1684" s="6"/>
      <c r="U1684" s="8"/>
    </row>
    <row r="1685" spans="1:39" ht="13" customHeight="1">
      <c r="A1685" s="8" t="s">
        <v>8195</v>
      </c>
      <c r="B1685" s="16">
        <v>28</v>
      </c>
      <c r="C1685" s="8" t="s">
        <v>20</v>
      </c>
      <c r="D1685" s="8" t="s">
        <v>48</v>
      </c>
      <c r="E1685" s="8" t="s">
        <v>8196</v>
      </c>
      <c r="F1685" s="17">
        <v>41855</v>
      </c>
      <c r="G1685" s="8" t="s">
        <v>8197</v>
      </c>
      <c r="H1685" s="8" t="s">
        <v>925</v>
      </c>
      <c r="I1685" s="8" t="s">
        <v>195</v>
      </c>
      <c r="J1685" s="16" t="s">
        <v>5459</v>
      </c>
      <c r="K1685" s="2" t="s">
        <v>467</v>
      </c>
      <c r="L1685" s="8" t="s">
        <v>8198</v>
      </c>
      <c r="M1685" s="8" t="s">
        <v>27</v>
      </c>
      <c r="N1685" s="2" t="s">
        <v>8199</v>
      </c>
      <c r="O1685" s="8" t="s">
        <v>1013</v>
      </c>
      <c r="P1685" s="8" t="s">
        <v>401</v>
      </c>
      <c r="Q1685" s="12" t="s">
        <v>8200</v>
      </c>
      <c r="R1685" s="8" t="s">
        <v>100</v>
      </c>
      <c r="S1685" s="7" t="s">
        <v>379</v>
      </c>
      <c r="T1685" s="6"/>
      <c r="U1685" s="8"/>
    </row>
    <row r="1686" spans="1:39" ht="13" customHeight="1">
      <c r="A1686" s="8" t="s">
        <v>8201</v>
      </c>
      <c r="B1686" s="16">
        <v>20</v>
      </c>
      <c r="C1686" s="8" t="s">
        <v>20</v>
      </c>
      <c r="D1686" s="8" t="s">
        <v>21</v>
      </c>
      <c r="F1686" s="17">
        <v>41854</v>
      </c>
      <c r="G1686" s="8" t="s">
        <v>8202</v>
      </c>
      <c r="H1686" s="8" t="s">
        <v>3613</v>
      </c>
      <c r="I1686" s="8" t="s">
        <v>133</v>
      </c>
      <c r="J1686" s="16" t="s">
        <v>8203</v>
      </c>
      <c r="K1686" s="2" t="s">
        <v>3615</v>
      </c>
      <c r="L1686" s="8" t="s">
        <v>4947</v>
      </c>
      <c r="M1686" s="8" t="s">
        <v>27</v>
      </c>
      <c r="N1686" s="2" t="s">
        <v>8204</v>
      </c>
      <c r="O1686" s="8" t="s">
        <v>1013</v>
      </c>
      <c r="P1686" s="8" t="s">
        <v>401</v>
      </c>
      <c r="Q1686" s="12" t="s">
        <v>8205</v>
      </c>
      <c r="R1686" s="8" t="s">
        <v>100</v>
      </c>
      <c r="S1686" s="7" t="s">
        <v>28</v>
      </c>
      <c r="T1686" s="6"/>
      <c r="U1686" s="8"/>
      <c r="AI1686" s="8"/>
      <c r="AJ1686" s="8"/>
      <c r="AK1686" s="8"/>
      <c r="AL1686" s="8"/>
      <c r="AM1686" s="8"/>
    </row>
    <row r="1687" spans="1:39" ht="13" customHeight="1">
      <c r="A1687" s="8" t="s">
        <v>8206</v>
      </c>
      <c r="B1687" s="16">
        <v>23</v>
      </c>
      <c r="C1687" s="8" t="s">
        <v>20</v>
      </c>
      <c r="D1687" s="8" t="s">
        <v>85</v>
      </c>
      <c r="E1687" s="8" t="s">
        <v>8207</v>
      </c>
      <c r="F1687" s="17">
        <v>41854</v>
      </c>
      <c r="G1687" s="8" t="s">
        <v>8208</v>
      </c>
      <c r="H1687" s="8" t="s">
        <v>603</v>
      </c>
      <c r="I1687" s="8" t="s">
        <v>45</v>
      </c>
      <c r="J1687" s="16" t="s">
        <v>5630</v>
      </c>
      <c r="K1687" s="2" t="s">
        <v>604</v>
      </c>
      <c r="L1687" s="8" t="s">
        <v>249</v>
      </c>
      <c r="M1687" s="8" t="s">
        <v>27</v>
      </c>
      <c r="N1687" s="2" t="s">
        <v>8209</v>
      </c>
      <c r="O1687" s="8" t="s">
        <v>1013</v>
      </c>
      <c r="P1687" s="8" t="s">
        <v>401</v>
      </c>
      <c r="Q1687" s="12" t="s">
        <v>21450</v>
      </c>
      <c r="R1687" s="8" t="s">
        <v>100</v>
      </c>
      <c r="S1687" s="7" t="s">
        <v>18</v>
      </c>
      <c r="T1687" s="6"/>
      <c r="U1687" s="8"/>
      <c r="Y1687" s="8"/>
      <c r="Z1687" s="8"/>
      <c r="AA1687" s="8"/>
      <c r="AB1687" s="8"/>
      <c r="AC1687" s="8"/>
      <c r="AD1687" s="8"/>
      <c r="AE1687" s="8"/>
      <c r="AF1687" s="8"/>
      <c r="AG1687" s="8"/>
      <c r="AH1687" s="8"/>
    </row>
    <row r="1688" spans="1:39" ht="13" customHeight="1">
      <c r="A1688" s="8" t="s">
        <v>8210</v>
      </c>
      <c r="B1688" s="16">
        <v>42</v>
      </c>
      <c r="C1688" s="8" t="s">
        <v>114</v>
      </c>
      <c r="D1688" s="8" t="s">
        <v>48</v>
      </c>
      <c r="E1688" s="8" t="s">
        <v>8211</v>
      </c>
      <c r="F1688" s="17">
        <v>41854</v>
      </c>
      <c r="G1688" s="8" t="s">
        <v>8212</v>
      </c>
      <c r="H1688" s="8" t="s">
        <v>681</v>
      </c>
      <c r="I1688" s="8" t="s">
        <v>45</v>
      </c>
      <c r="J1688" s="16" t="s">
        <v>8141</v>
      </c>
      <c r="K1688" s="2" t="s">
        <v>682</v>
      </c>
      <c r="L1688" s="8" t="s">
        <v>750</v>
      </c>
      <c r="M1688" s="8" t="s">
        <v>27</v>
      </c>
      <c r="N1688" s="2" t="s">
        <v>8213</v>
      </c>
      <c r="P1688" s="8" t="s">
        <v>401</v>
      </c>
      <c r="Q1688" s="12" t="s">
        <v>8214</v>
      </c>
      <c r="R1688" s="8" t="s">
        <v>29</v>
      </c>
      <c r="S1688" s="7" t="s">
        <v>18</v>
      </c>
      <c r="T1688" s="6"/>
      <c r="U1688" s="8"/>
    </row>
    <row r="1689" spans="1:39" ht="13" customHeight="1">
      <c r="A1689" s="8" t="s">
        <v>8215</v>
      </c>
      <c r="B1689" s="16">
        <v>27</v>
      </c>
      <c r="C1689" s="8" t="s">
        <v>20</v>
      </c>
      <c r="D1689" s="8" t="s">
        <v>37</v>
      </c>
      <c r="E1689" s="8" t="s">
        <v>8216</v>
      </c>
      <c r="F1689" s="17">
        <v>41854</v>
      </c>
      <c r="G1689" s="8" t="s">
        <v>8217</v>
      </c>
      <c r="H1689" s="8" t="s">
        <v>8218</v>
      </c>
      <c r="I1689" s="8" t="s">
        <v>370</v>
      </c>
      <c r="J1689" s="16" t="s">
        <v>8219</v>
      </c>
      <c r="K1689" s="2" t="s">
        <v>5575</v>
      </c>
      <c r="L1689" s="8" t="s">
        <v>8220</v>
      </c>
      <c r="M1689" s="8" t="s">
        <v>27</v>
      </c>
      <c r="N1689" s="2" t="s">
        <v>8221</v>
      </c>
      <c r="O1689" s="8" t="s">
        <v>1013</v>
      </c>
      <c r="P1689" s="8" t="s">
        <v>401</v>
      </c>
      <c r="Q1689" s="12" t="s">
        <v>8222</v>
      </c>
      <c r="R1689" s="8" t="s">
        <v>100</v>
      </c>
      <c r="S1689" s="7" t="s">
        <v>28</v>
      </c>
      <c r="T1689" s="6"/>
      <c r="U1689" s="8"/>
    </row>
    <row r="1690" spans="1:39" ht="13" customHeight="1">
      <c r="A1690" s="8" t="s">
        <v>8228</v>
      </c>
      <c r="B1690" s="16">
        <v>49</v>
      </c>
      <c r="C1690" s="8" t="s">
        <v>20</v>
      </c>
      <c r="D1690" s="8" t="s">
        <v>37</v>
      </c>
      <c r="E1690" s="8" t="s">
        <v>8229</v>
      </c>
      <c r="F1690" s="17">
        <v>41854</v>
      </c>
      <c r="G1690" s="8" t="s">
        <v>8230</v>
      </c>
      <c r="H1690" s="8" t="s">
        <v>726</v>
      </c>
      <c r="I1690" s="8" t="s">
        <v>73</v>
      </c>
      <c r="J1690" s="16">
        <v>77041</v>
      </c>
      <c r="K1690" s="2" t="s">
        <v>558</v>
      </c>
      <c r="L1690" s="8" t="s">
        <v>559</v>
      </c>
      <c r="M1690" s="8" t="s">
        <v>27</v>
      </c>
      <c r="N1690" s="2" t="s">
        <v>8231</v>
      </c>
      <c r="O1690" s="8" t="s">
        <v>1013</v>
      </c>
      <c r="P1690" s="8" t="s">
        <v>401</v>
      </c>
      <c r="Q1690" s="12" t="s">
        <v>8232</v>
      </c>
      <c r="S1690" s="7" t="s">
        <v>28</v>
      </c>
      <c r="T1690" s="6"/>
      <c r="U1690" s="8"/>
    </row>
    <row r="1691" spans="1:39" ht="13" customHeight="1">
      <c r="A1691" s="8" t="s">
        <v>8233</v>
      </c>
      <c r="B1691" s="16">
        <v>49</v>
      </c>
      <c r="C1691" s="8" t="s">
        <v>20</v>
      </c>
      <c r="D1691" s="8" t="s">
        <v>37</v>
      </c>
      <c r="E1691" s="8" t="s">
        <v>8234</v>
      </c>
      <c r="F1691" s="17">
        <v>41854</v>
      </c>
      <c r="G1691" s="8" t="s">
        <v>8235</v>
      </c>
      <c r="H1691" s="8" t="s">
        <v>8236</v>
      </c>
      <c r="I1691" s="8" t="s">
        <v>4399</v>
      </c>
      <c r="J1691" s="16" t="s">
        <v>8237</v>
      </c>
      <c r="K1691" s="2" t="s">
        <v>7029</v>
      </c>
      <c r="L1691" s="8" t="s">
        <v>4402</v>
      </c>
      <c r="M1691" s="8" t="s">
        <v>27</v>
      </c>
      <c r="N1691" s="2" t="s">
        <v>8238</v>
      </c>
      <c r="O1691" s="8" t="s">
        <v>1013</v>
      </c>
      <c r="P1691" s="8" t="s">
        <v>401</v>
      </c>
      <c r="Q1691" s="12" t="str">
        <f>HYPERLINK("http://bangordailynews.com/2014/08/04/news/penobscot/lagrange-man-49-killed-by-state-trooper-after-3-hour-standoff/","http://bangordailynews.com/2014/08/04/news/penobscot/lagrange-man-49-killed-by-state-trooper-after-3-hour-standoff/")</f>
        <v>http://bangordailynews.com/2014/08/04/news/penobscot/lagrange-man-49-killed-by-state-trooper-after-3-hour-standoff/</v>
      </c>
      <c r="R1691" s="8" t="s">
        <v>100</v>
      </c>
      <c r="S1691" s="7" t="s">
        <v>28</v>
      </c>
      <c r="T1691" s="6"/>
      <c r="U1691" s="8"/>
    </row>
    <row r="1692" spans="1:39" ht="13" customHeight="1">
      <c r="A1692" s="8" t="s">
        <v>8223</v>
      </c>
      <c r="B1692" s="16">
        <v>19</v>
      </c>
      <c r="C1692" s="8" t="s">
        <v>20</v>
      </c>
      <c r="D1692" s="8" t="s">
        <v>37</v>
      </c>
      <c r="E1692" s="8" t="str">
        <f>HYPERLINK("http://ak-cache.legacy.net/legacy/Images/Cobrands/DignityMemorial/Photos/0cde69ec-edda-421b-b501-5eebbf9d5797.jpg","http://ak-cache.legacy.net/legacy/Images/Cobrands/DignityMemorial/Photos/0cde69ec-edda-421b-b501-5eebbf9d5797.jpg")</f>
        <v>http://ak-cache.legacy.net/legacy/Images/Cobrands/DignityMemorial/Photos/0cde69ec-edda-421b-b501-5eebbf9d5797.jpg</v>
      </c>
      <c r="F1692" s="17">
        <v>41854</v>
      </c>
      <c r="G1692" s="8" t="s">
        <v>8224</v>
      </c>
      <c r="H1692" s="8" t="s">
        <v>653</v>
      </c>
      <c r="I1692" s="8" t="s">
        <v>62</v>
      </c>
      <c r="J1692" s="16" t="s">
        <v>8225</v>
      </c>
      <c r="K1692" s="2" t="s">
        <v>654</v>
      </c>
      <c r="L1692" s="8" t="s">
        <v>655</v>
      </c>
      <c r="M1692" s="8" t="s">
        <v>379</v>
      </c>
      <c r="N1692" s="2" t="s">
        <v>8226</v>
      </c>
      <c r="O1692" s="8" t="s">
        <v>1013</v>
      </c>
      <c r="P1692" s="8" t="s">
        <v>401</v>
      </c>
      <c r="Q1692" s="12" t="s">
        <v>8227</v>
      </c>
      <c r="R1692" s="8" t="s">
        <v>100</v>
      </c>
      <c r="S1692" s="7" t="s">
        <v>379</v>
      </c>
      <c r="T1692" s="6"/>
      <c r="U1692" s="8"/>
    </row>
    <row r="1693" spans="1:39" ht="13" customHeight="1">
      <c r="A1693" s="8" t="s">
        <v>8239</v>
      </c>
      <c r="B1693" s="16">
        <v>37</v>
      </c>
      <c r="C1693" s="8" t="s">
        <v>20</v>
      </c>
      <c r="D1693" s="8" t="s">
        <v>48</v>
      </c>
      <c r="E1693" s="8" t="s">
        <v>8240</v>
      </c>
      <c r="F1693" s="17">
        <v>41853</v>
      </c>
      <c r="G1693" s="8" t="s">
        <v>8241</v>
      </c>
      <c r="H1693" s="8" t="s">
        <v>98</v>
      </c>
      <c r="I1693" s="8" t="s">
        <v>45</v>
      </c>
      <c r="J1693" s="16" t="s">
        <v>7990</v>
      </c>
      <c r="K1693" s="2" t="s">
        <v>98</v>
      </c>
      <c r="L1693" s="8" t="s">
        <v>99</v>
      </c>
      <c r="M1693" s="8" t="s">
        <v>3169</v>
      </c>
      <c r="N1693" s="2" t="s">
        <v>8242</v>
      </c>
      <c r="O1693" s="8" t="s">
        <v>400</v>
      </c>
      <c r="P1693" s="8" t="s">
        <v>401</v>
      </c>
      <c r="Q1693" s="12" t="s">
        <v>8243</v>
      </c>
      <c r="R1693" s="8" t="s">
        <v>555</v>
      </c>
      <c r="S1693" s="7" t="s">
        <v>18</v>
      </c>
      <c r="T1693" s="6"/>
      <c r="U1693" s="8"/>
    </row>
    <row r="1694" spans="1:39" ht="13" customHeight="1">
      <c r="A1694" s="8" t="s">
        <v>8251</v>
      </c>
      <c r="B1694" s="16">
        <v>23</v>
      </c>
      <c r="C1694" s="8" t="s">
        <v>20</v>
      </c>
      <c r="D1694" s="8" t="s">
        <v>48</v>
      </c>
      <c r="F1694" s="17">
        <v>41853</v>
      </c>
      <c r="G1694" s="8" t="s">
        <v>8252</v>
      </c>
      <c r="H1694" s="8" t="s">
        <v>634</v>
      </c>
      <c r="I1694" s="8" t="s">
        <v>123</v>
      </c>
      <c r="J1694" s="16" t="s">
        <v>6206</v>
      </c>
      <c r="K1694" s="2" t="s">
        <v>635</v>
      </c>
      <c r="L1694" s="8" t="s">
        <v>636</v>
      </c>
      <c r="M1694" s="8" t="s">
        <v>27</v>
      </c>
      <c r="N1694" s="2" t="s">
        <v>8253</v>
      </c>
      <c r="O1694" s="8" t="s">
        <v>1013</v>
      </c>
      <c r="P1694" s="8" t="s">
        <v>401</v>
      </c>
      <c r="Q1694" s="12" t="s">
        <v>8254</v>
      </c>
      <c r="R1694" s="8" t="s">
        <v>100</v>
      </c>
      <c r="S1694" s="7" t="s">
        <v>28</v>
      </c>
      <c r="T1694" s="6"/>
      <c r="U1694" s="8"/>
      <c r="V1694" s="8"/>
      <c r="W1694" s="8"/>
      <c r="X1694" s="8"/>
    </row>
    <row r="1695" spans="1:39" ht="13" customHeight="1">
      <c r="A1695" s="8" t="s">
        <v>8244</v>
      </c>
      <c r="B1695" s="16">
        <v>24</v>
      </c>
      <c r="C1695" s="8" t="s">
        <v>20</v>
      </c>
      <c r="D1695" s="8" t="s">
        <v>48</v>
      </c>
      <c r="E1695" s="8" t="s">
        <v>8245</v>
      </c>
      <c r="F1695" s="17">
        <v>41853</v>
      </c>
      <c r="G1695" s="8" t="s">
        <v>8246</v>
      </c>
      <c r="H1695" s="8" t="s">
        <v>8247</v>
      </c>
      <c r="I1695" s="8" t="s">
        <v>45</v>
      </c>
      <c r="J1695" s="16" t="s">
        <v>8248</v>
      </c>
      <c r="K1695" s="2" t="s">
        <v>98</v>
      </c>
      <c r="L1695" s="8" t="s">
        <v>414</v>
      </c>
      <c r="M1695" s="8" t="s">
        <v>27</v>
      </c>
      <c r="N1695" s="2" t="s">
        <v>8249</v>
      </c>
      <c r="O1695" s="8" t="s">
        <v>1013</v>
      </c>
      <c r="P1695" s="8" t="s">
        <v>401</v>
      </c>
      <c r="Q1695" s="12" t="s">
        <v>8250</v>
      </c>
      <c r="R1695" s="8" t="s">
        <v>100</v>
      </c>
      <c r="S1695" s="7" t="s">
        <v>28</v>
      </c>
      <c r="T1695" s="6"/>
      <c r="U1695" s="8"/>
    </row>
    <row r="1696" spans="1:39" ht="13" customHeight="1">
      <c r="A1696" s="8" t="s">
        <v>8255</v>
      </c>
      <c r="B1696" s="16">
        <v>28</v>
      </c>
      <c r="C1696" s="8" t="s">
        <v>20</v>
      </c>
      <c r="D1696" s="8" t="s">
        <v>48</v>
      </c>
      <c r="F1696" s="17">
        <v>41853</v>
      </c>
      <c r="G1696" s="8" t="s">
        <v>8256</v>
      </c>
      <c r="H1696" s="8" t="s">
        <v>8257</v>
      </c>
      <c r="I1696" s="8" t="s">
        <v>123</v>
      </c>
      <c r="J1696" s="16" t="s">
        <v>8258</v>
      </c>
      <c r="K1696" s="2" t="s">
        <v>8259</v>
      </c>
      <c r="L1696" s="8" t="s">
        <v>8260</v>
      </c>
      <c r="M1696" s="8" t="s">
        <v>27</v>
      </c>
      <c r="N1696" s="2" t="s">
        <v>8261</v>
      </c>
      <c r="O1696" s="8" t="s">
        <v>1013</v>
      </c>
      <c r="P1696" s="8" t="s">
        <v>401</v>
      </c>
      <c r="Q1696" s="12" t="s">
        <v>8262</v>
      </c>
      <c r="S1696" s="7" t="s">
        <v>28</v>
      </c>
      <c r="T1696" s="6"/>
      <c r="U1696" s="8"/>
    </row>
    <row r="1697" spans="1:21" ht="13" customHeight="1">
      <c r="A1697" s="8" t="s">
        <v>8263</v>
      </c>
      <c r="B1697" s="16">
        <v>40</v>
      </c>
      <c r="C1697" s="8" t="s">
        <v>20</v>
      </c>
      <c r="D1697" s="8" t="s">
        <v>37</v>
      </c>
      <c r="F1697" s="17">
        <v>41853</v>
      </c>
      <c r="G1697" s="8" t="s">
        <v>8264</v>
      </c>
      <c r="H1697" s="8" t="s">
        <v>1763</v>
      </c>
      <c r="I1697" s="8" t="s">
        <v>45</v>
      </c>
      <c r="J1697" s="16" t="s">
        <v>8265</v>
      </c>
      <c r="K1697" s="2" t="s">
        <v>1765</v>
      </c>
      <c r="L1697" s="8" t="s">
        <v>960</v>
      </c>
      <c r="M1697" s="8" t="s">
        <v>27</v>
      </c>
      <c r="N1697" s="2" t="s">
        <v>8266</v>
      </c>
      <c r="O1697" s="8" t="s">
        <v>1013</v>
      </c>
      <c r="P1697" s="8" t="s">
        <v>401</v>
      </c>
      <c r="Q1697" s="12" t="s">
        <v>8267</v>
      </c>
      <c r="R1697" s="8" t="s">
        <v>100</v>
      </c>
      <c r="S1697" s="7" t="s">
        <v>28</v>
      </c>
      <c r="T1697" s="6"/>
      <c r="U1697" s="8"/>
    </row>
    <row r="1698" spans="1:21" ht="13" customHeight="1">
      <c r="A1698" s="8" t="s">
        <v>8268</v>
      </c>
      <c r="B1698" s="16">
        <v>27</v>
      </c>
      <c r="C1698" s="8" t="s">
        <v>20</v>
      </c>
      <c r="D1698" s="8" t="s">
        <v>85</v>
      </c>
      <c r="F1698" s="17">
        <v>41852</v>
      </c>
      <c r="G1698" s="8" t="s">
        <v>8269</v>
      </c>
      <c r="H1698" s="8" t="s">
        <v>8270</v>
      </c>
      <c r="I1698" s="8" t="s">
        <v>173</v>
      </c>
      <c r="J1698" s="16" t="s">
        <v>8271</v>
      </c>
      <c r="K1698" s="2" t="s">
        <v>1560</v>
      </c>
      <c r="L1698" s="8" t="s">
        <v>8272</v>
      </c>
      <c r="M1698" s="8" t="s">
        <v>27</v>
      </c>
      <c r="N1698" s="2" t="s">
        <v>8273</v>
      </c>
      <c r="O1698" s="8" t="s">
        <v>1013</v>
      </c>
      <c r="P1698" s="8" t="s">
        <v>401</v>
      </c>
      <c r="Q1698" s="12" t="str">
        <f>HYPERLINK("http://www.ajc.com/news/news/police-investigating-shooting-in-east-point/ngsX4/","http://www.ajc.com/news/news/police-investigating-shooting-in-east-point/ngsX4/")</f>
        <v>http://www.ajc.com/news/news/police-investigating-shooting-in-east-point/ngsX4/</v>
      </c>
      <c r="R1698" s="8" t="s">
        <v>100</v>
      </c>
      <c r="S1698" s="7" t="s">
        <v>28</v>
      </c>
      <c r="T1698" s="6"/>
      <c r="U1698" s="8"/>
    </row>
    <row r="1699" spans="1:21" ht="13" customHeight="1">
      <c r="A1699" s="8" t="s">
        <v>8274</v>
      </c>
      <c r="B1699" s="16">
        <v>42</v>
      </c>
      <c r="C1699" s="8" t="s">
        <v>20</v>
      </c>
      <c r="D1699" s="8" t="s">
        <v>85</v>
      </c>
      <c r="F1699" s="17">
        <v>41852</v>
      </c>
      <c r="G1699" s="8" t="s">
        <v>8275</v>
      </c>
      <c r="H1699" s="8" t="s">
        <v>8276</v>
      </c>
      <c r="I1699" s="8" t="s">
        <v>81</v>
      </c>
      <c r="J1699" s="16" t="s">
        <v>8277</v>
      </c>
      <c r="K1699" s="2" t="s">
        <v>1509</v>
      </c>
      <c r="L1699" s="8" t="s">
        <v>8278</v>
      </c>
      <c r="M1699" s="8" t="s">
        <v>27</v>
      </c>
      <c r="N1699" s="2" t="s">
        <v>8279</v>
      </c>
      <c r="O1699" s="8" t="s">
        <v>1013</v>
      </c>
      <c r="P1699" s="8" t="s">
        <v>401</v>
      </c>
      <c r="Q1699" s="12" t="s">
        <v>8280</v>
      </c>
      <c r="R1699" s="8" t="s">
        <v>29</v>
      </c>
      <c r="S1699" s="7" t="s">
        <v>35</v>
      </c>
      <c r="T1699" s="6"/>
      <c r="U1699" s="8"/>
    </row>
    <row r="1700" spans="1:21" ht="13" customHeight="1">
      <c r="A1700" s="8" t="s">
        <v>8281</v>
      </c>
      <c r="B1700" s="16">
        <v>54</v>
      </c>
      <c r="C1700" s="8" t="s">
        <v>20</v>
      </c>
      <c r="D1700" s="8" t="s">
        <v>48</v>
      </c>
      <c r="E1700" s="8" t="s">
        <v>8282</v>
      </c>
      <c r="F1700" s="17">
        <v>41852</v>
      </c>
      <c r="G1700" s="8" t="s">
        <v>8283</v>
      </c>
      <c r="H1700" s="8" t="s">
        <v>8247</v>
      </c>
      <c r="I1700" s="8" t="s">
        <v>45</v>
      </c>
      <c r="J1700" s="16" t="s">
        <v>8248</v>
      </c>
      <c r="K1700" s="2" t="s">
        <v>98</v>
      </c>
      <c r="L1700" s="8" t="s">
        <v>414</v>
      </c>
      <c r="M1700" s="8" t="s">
        <v>27</v>
      </c>
      <c r="N1700" s="2" t="s">
        <v>21446</v>
      </c>
      <c r="O1700" s="8" t="s">
        <v>1013</v>
      </c>
      <c r="P1700" s="8" t="s">
        <v>401</v>
      </c>
      <c r="Q1700" s="12" t="s">
        <v>8284</v>
      </c>
      <c r="R1700" s="8" t="s">
        <v>100</v>
      </c>
      <c r="S1700" s="7" t="s">
        <v>18</v>
      </c>
      <c r="T1700" s="6"/>
      <c r="U1700" s="8"/>
    </row>
    <row r="1701" spans="1:21" ht="13" customHeight="1">
      <c r="A1701" s="8" t="s">
        <v>8285</v>
      </c>
      <c r="B1701" s="16">
        <v>54</v>
      </c>
      <c r="C1701" s="8" t="s">
        <v>20</v>
      </c>
      <c r="D1701" s="8" t="s">
        <v>48</v>
      </c>
      <c r="F1701" s="17">
        <v>41852</v>
      </c>
      <c r="G1701" s="8" t="s">
        <v>8286</v>
      </c>
      <c r="H1701" s="8" t="s">
        <v>493</v>
      </c>
      <c r="I1701" s="8" t="s">
        <v>366</v>
      </c>
      <c r="J1701" s="16" t="s">
        <v>8287</v>
      </c>
      <c r="K1701" s="2" t="s">
        <v>493</v>
      </c>
      <c r="L1701" s="8" t="s">
        <v>495</v>
      </c>
      <c r="M1701" s="8" t="s">
        <v>379</v>
      </c>
      <c r="N1701" s="2" t="s">
        <v>8288</v>
      </c>
      <c r="O1701" s="8" t="s">
        <v>1013</v>
      </c>
      <c r="P1701" s="8" t="s">
        <v>401</v>
      </c>
      <c r="Q1701" s="12" t="s">
        <v>8289</v>
      </c>
      <c r="R1701" s="8" t="s">
        <v>100</v>
      </c>
      <c r="S1701" s="7" t="s">
        <v>28</v>
      </c>
      <c r="T1701" s="6"/>
      <c r="U1701" s="8"/>
    </row>
    <row r="1702" spans="1:21" ht="13" customHeight="1">
      <c r="A1702" s="8" t="s">
        <v>3267</v>
      </c>
      <c r="B1702" s="16">
        <v>41</v>
      </c>
      <c r="C1702" s="8" t="s">
        <v>20</v>
      </c>
      <c r="D1702" s="8" t="s">
        <v>30</v>
      </c>
      <c r="F1702" s="17">
        <v>41852</v>
      </c>
      <c r="G1702" s="8" t="s">
        <v>8290</v>
      </c>
      <c r="H1702" s="8" t="s">
        <v>1103</v>
      </c>
      <c r="I1702" s="8" t="s">
        <v>404</v>
      </c>
      <c r="J1702" s="16" t="s">
        <v>8291</v>
      </c>
      <c r="K1702" s="2" t="s">
        <v>1103</v>
      </c>
      <c r="L1702" s="8" t="s">
        <v>1104</v>
      </c>
      <c r="M1702" s="8" t="s">
        <v>27</v>
      </c>
      <c r="N1702" s="2" t="s">
        <v>8292</v>
      </c>
      <c r="O1702" s="8" t="s">
        <v>1013</v>
      </c>
      <c r="P1702" s="8" t="s">
        <v>401</v>
      </c>
      <c r="Q1702" s="12" t="s">
        <v>8293</v>
      </c>
      <c r="R1702" s="8" t="s">
        <v>100</v>
      </c>
      <c r="S1702" s="7" t="s">
        <v>28</v>
      </c>
      <c r="T1702" s="6"/>
      <c r="U1702" s="8"/>
    </row>
    <row r="1703" spans="1:21" ht="13" customHeight="1">
      <c r="A1703" s="8" t="s">
        <v>8294</v>
      </c>
      <c r="B1703" s="16">
        <v>50</v>
      </c>
      <c r="C1703" s="8" t="s">
        <v>20</v>
      </c>
      <c r="D1703" s="8" t="s">
        <v>37</v>
      </c>
      <c r="E1703" s="8" t="s">
        <v>8295</v>
      </c>
      <c r="F1703" s="17">
        <v>41851</v>
      </c>
      <c r="G1703" s="8" t="s">
        <v>8296</v>
      </c>
      <c r="H1703" s="8" t="s">
        <v>575</v>
      </c>
      <c r="I1703" s="8" t="s">
        <v>73</v>
      </c>
      <c r="J1703" s="16" t="s">
        <v>8297</v>
      </c>
      <c r="K1703" s="2" t="s">
        <v>576</v>
      </c>
      <c r="L1703" s="8" t="s">
        <v>577</v>
      </c>
      <c r="M1703" s="8" t="s">
        <v>27</v>
      </c>
      <c r="N1703" s="2" t="s">
        <v>8298</v>
      </c>
      <c r="O1703" s="8" t="s">
        <v>1013</v>
      </c>
      <c r="P1703" s="8" t="s">
        <v>401</v>
      </c>
      <c r="Q1703" s="12" t="s">
        <v>8299</v>
      </c>
      <c r="R1703" s="8" t="s">
        <v>100</v>
      </c>
      <c r="S1703" s="7" t="s">
        <v>28</v>
      </c>
      <c r="T1703" s="6"/>
      <c r="U1703" s="8"/>
    </row>
    <row r="1704" spans="1:21" ht="13" customHeight="1">
      <c r="A1704" s="8" t="s">
        <v>8300</v>
      </c>
      <c r="B1704" s="16">
        <v>32</v>
      </c>
      <c r="C1704" s="8" t="s">
        <v>20</v>
      </c>
      <c r="D1704" s="8" t="s">
        <v>85</v>
      </c>
      <c r="F1704" s="17">
        <v>41850</v>
      </c>
      <c r="G1704" s="8" t="s">
        <v>8301</v>
      </c>
      <c r="H1704" s="8" t="s">
        <v>5324</v>
      </c>
      <c r="I1704" s="8" t="s">
        <v>244</v>
      </c>
      <c r="J1704" s="16" t="s">
        <v>6436</v>
      </c>
      <c r="K1704" s="2" t="s">
        <v>5324</v>
      </c>
      <c r="L1704" s="8" t="s">
        <v>8302</v>
      </c>
      <c r="M1704" s="8" t="s">
        <v>27</v>
      </c>
      <c r="N1704" s="2" t="s">
        <v>8303</v>
      </c>
      <c r="O1704" s="8" t="s">
        <v>550</v>
      </c>
      <c r="P1704" s="8" t="s">
        <v>401</v>
      </c>
      <c r="Q1704" s="12" t="s">
        <v>8304</v>
      </c>
      <c r="R1704" s="8" t="s">
        <v>100</v>
      </c>
      <c r="S1704" s="7" t="s">
        <v>379</v>
      </c>
      <c r="T1704" s="6"/>
      <c r="U1704" s="8"/>
    </row>
    <row r="1705" spans="1:21" ht="13" customHeight="1">
      <c r="A1705" s="8" t="s">
        <v>8310</v>
      </c>
      <c r="B1705" s="16">
        <v>42</v>
      </c>
      <c r="C1705" s="8" t="s">
        <v>20</v>
      </c>
      <c r="D1705" s="8" t="s">
        <v>30</v>
      </c>
      <c r="F1705" s="17">
        <v>41850</v>
      </c>
      <c r="G1705" s="8" t="s">
        <v>8311</v>
      </c>
      <c r="H1705" s="8" t="s">
        <v>1211</v>
      </c>
      <c r="I1705" s="8" t="s">
        <v>303</v>
      </c>
      <c r="J1705" s="16" t="s">
        <v>8312</v>
      </c>
      <c r="K1705" s="2" t="s">
        <v>1212</v>
      </c>
      <c r="L1705" s="8" t="s">
        <v>1213</v>
      </c>
      <c r="M1705" s="8" t="s">
        <v>27</v>
      </c>
      <c r="N1705" s="2" t="s">
        <v>8313</v>
      </c>
      <c r="O1705" s="8" t="s">
        <v>29</v>
      </c>
      <c r="P1705" s="8" t="s">
        <v>401</v>
      </c>
      <c r="Q1705" s="12" t="s">
        <v>8314</v>
      </c>
      <c r="R1705" s="8" t="s">
        <v>967</v>
      </c>
      <c r="S1705" s="7" t="s">
        <v>28</v>
      </c>
      <c r="T1705" s="6"/>
      <c r="U1705" s="8"/>
    </row>
    <row r="1706" spans="1:21" ht="13" customHeight="1">
      <c r="A1706" s="8" t="s">
        <v>8305</v>
      </c>
      <c r="B1706" s="16">
        <v>52</v>
      </c>
      <c r="C1706" s="8" t="s">
        <v>20</v>
      </c>
      <c r="D1706" s="8" t="s">
        <v>30</v>
      </c>
      <c r="F1706" s="17">
        <v>41850</v>
      </c>
      <c r="G1706" s="8" t="s">
        <v>8306</v>
      </c>
      <c r="H1706" s="8" t="s">
        <v>2372</v>
      </c>
      <c r="I1706" s="8" t="s">
        <v>873</v>
      </c>
      <c r="J1706" s="16" t="s">
        <v>8307</v>
      </c>
      <c r="K1706" s="2" t="s">
        <v>2372</v>
      </c>
      <c r="L1706" s="8" t="s">
        <v>3603</v>
      </c>
      <c r="M1706" s="8" t="s">
        <v>27</v>
      </c>
      <c r="N1706" s="2" t="s">
        <v>8308</v>
      </c>
      <c r="O1706" s="8" t="s">
        <v>400</v>
      </c>
      <c r="P1706" s="8" t="s">
        <v>401</v>
      </c>
      <c r="Q1706" s="12" t="s">
        <v>8309</v>
      </c>
      <c r="R1706" s="8" t="s">
        <v>967</v>
      </c>
      <c r="S1706" s="7" t="s">
        <v>28</v>
      </c>
      <c r="T1706" s="6"/>
      <c r="U1706" s="8"/>
    </row>
    <row r="1707" spans="1:21" ht="13" customHeight="1">
      <c r="A1707" s="8" t="s">
        <v>8315</v>
      </c>
      <c r="B1707" s="16">
        <v>41</v>
      </c>
      <c r="C1707" s="8" t="s">
        <v>20</v>
      </c>
      <c r="D1707" s="8" t="s">
        <v>37</v>
      </c>
      <c r="E1707" s="8" t="s">
        <v>8316</v>
      </c>
      <c r="F1707" s="17">
        <v>41850</v>
      </c>
      <c r="G1707" s="8" t="s">
        <v>8317</v>
      </c>
      <c r="H1707" s="8" t="s">
        <v>5986</v>
      </c>
      <c r="I1707" s="8" t="s">
        <v>366</v>
      </c>
      <c r="J1707" s="16" t="s">
        <v>8318</v>
      </c>
      <c r="K1707" s="2" t="s">
        <v>3167</v>
      </c>
      <c r="L1707" s="8" t="s">
        <v>6535</v>
      </c>
      <c r="M1707" s="8" t="s">
        <v>27</v>
      </c>
      <c r="N1707" s="2" t="s">
        <v>8319</v>
      </c>
      <c r="O1707" s="8" t="s">
        <v>1013</v>
      </c>
      <c r="P1707" s="8" t="s">
        <v>401</v>
      </c>
      <c r="Q1707" s="12" t="s">
        <v>8320</v>
      </c>
      <c r="R1707" s="8" t="s">
        <v>29</v>
      </c>
      <c r="S1707" s="7" t="s">
        <v>28</v>
      </c>
      <c r="T1707" s="6"/>
      <c r="U1707" s="8"/>
    </row>
    <row r="1708" spans="1:21" ht="13" customHeight="1">
      <c r="A1708" s="8" t="s">
        <v>8325</v>
      </c>
      <c r="B1708" s="16">
        <v>36</v>
      </c>
      <c r="C1708" s="8" t="s">
        <v>20</v>
      </c>
      <c r="D1708" s="8" t="s">
        <v>48</v>
      </c>
      <c r="E1708" s="8" t="s">
        <v>8326</v>
      </c>
      <c r="F1708" s="17">
        <v>41849</v>
      </c>
      <c r="H1708" s="8" t="s">
        <v>8327</v>
      </c>
      <c r="I1708" s="8" t="s">
        <v>73</v>
      </c>
      <c r="J1708" s="16">
        <v>77024</v>
      </c>
      <c r="K1708" s="2" t="s">
        <v>558</v>
      </c>
      <c r="L1708" s="8" t="s">
        <v>8328</v>
      </c>
      <c r="M1708" s="8" t="s">
        <v>27</v>
      </c>
      <c r="N1708" s="2" t="s">
        <v>8329</v>
      </c>
      <c r="P1708" s="8" t="s">
        <v>401</v>
      </c>
      <c r="Q1708" s="12" t="s">
        <v>8330</v>
      </c>
      <c r="S1708" s="7" t="s">
        <v>28</v>
      </c>
      <c r="T1708" s="6"/>
      <c r="U1708" s="8"/>
    </row>
    <row r="1709" spans="1:21" ht="13" customHeight="1">
      <c r="A1709" s="8" t="s">
        <v>8321</v>
      </c>
      <c r="B1709" s="16">
        <v>51</v>
      </c>
      <c r="C1709" s="8" t="s">
        <v>20</v>
      </c>
      <c r="D1709" s="8" t="s">
        <v>48</v>
      </c>
      <c r="F1709" s="17">
        <v>41849</v>
      </c>
      <c r="G1709" s="8" t="s">
        <v>8322</v>
      </c>
      <c r="H1709" s="8" t="s">
        <v>1280</v>
      </c>
      <c r="I1709" s="8" t="s">
        <v>269</v>
      </c>
      <c r="J1709" s="16" t="s">
        <v>8323</v>
      </c>
      <c r="K1709" s="2" t="s">
        <v>570</v>
      </c>
      <c r="L1709" s="8" t="s">
        <v>1486</v>
      </c>
      <c r="M1709" s="8" t="s">
        <v>27</v>
      </c>
      <c r="N1709" s="2" t="s">
        <v>8324</v>
      </c>
      <c r="O1709" s="8" t="s">
        <v>1013</v>
      </c>
      <c r="P1709" s="8" t="s">
        <v>401</v>
      </c>
      <c r="Q1709" s="12" t="str">
        <f>HYPERLINK("http://www.8newsnow.com/story/26137424/breaking-news-police-investigate-officer-involved-shooting","http://www.8newsnow.com/story/26137424/breaking-news-police-investigate-officer-involved-shooting")</f>
        <v>http://www.8newsnow.com/story/26137424/breaking-news-police-investigate-officer-involved-shooting</v>
      </c>
      <c r="R1709" s="8" t="s">
        <v>100</v>
      </c>
      <c r="S1709" s="7" t="s">
        <v>28</v>
      </c>
      <c r="T1709" s="6"/>
      <c r="U1709" s="8"/>
    </row>
    <row r="1710" spans="1:21" ht="13" customHeight="1">
      <c r="A1710" s="8" t="s">
        <v>8331</v>
      </c>
      <c r="B1710" s="16">
        <v>34</v>
      </c>
      <c r="C1710" s="8" t="s">
        <v>20</v>
      </c>
      <c r="D1710" s="8" t="s">
        <v>30</v>
      </c>
      <c r="F1710" s="17">
        <v>41849</v>
      </c>
      <c r="G1710" s="8" t="s">
        <v>8332</v>
      </c>
      <c r="H1710" s="8" t="s">
        <v>4381</v>
      </c>
      <c r="I1710" s="8" t="s">
        <v>303</v>
      </c>
      <c r="J1710" s="16" t="s">
        <v>4382</v>
      </c>
      <c r="K1710" s="2" t="s">
        <v>1291</v>
      </c>
      <c r="L1710" s="8" t="s">
        <v>4383</v>
      </c>
      <c r="M1710" s="8" t="s">
        <v>27</v>
      </c>
      <c r="N1710" s="2" t="s">
        <v>8333</v>
      </c>
      <c r="O1710" s="8" t="s">
        <v>1013</v>
      </c>
      <c r="P1710" s="8" t="s">
        <v>401</v>
      </c>
      <c r="Q1710" s="12" t="str">
        <f>HYPERLINK("http://www.tri-cityherald.com/2014/07/29/3083195_pasco-man-with-knife-killed-by.html?rh=1","http://www.tri-cityherald.com/2014/07/29/3083195_pasco-man-with-knife-killed-by.html?rh=1")</f>
        <v>http://www.tri-cityherald.com/2014/07/29/3083195_pasco-man-with-knife-killed-by.html?rh=1</v>
      </c>
      <c r="R1710" s="8" t="s">
        <v>29</v>
      </c>
      <c r="S1710" s="7" t="s">
        <v>28</v>
      </c>
      <c r="T1710" s="6"/>
      <c r="U1710" s="8"/>
    </row>
    <row r="1711" spans="1:21" ht="13" customHeight="1">
      <c r="A1711" s="8" t="s">
        <v>8334</v>
      </c>
      <c r="B1711" s="16">
        <v>25</v>
      </c>
      <c r="C1711" s="8" t="s">
        <v>20</v>
      </c>
      <c r="D1711" s="8" t="s">
        <v>37</v>
      </c>
      <c r="F1711" s="17">
        <v>41849</v>
      </c>
      <c r="G1711" s="8" t="s">
        <v>8335</v>
      </c>
      <c r="H1711" s="8" t="s">
        <v>8336</v>
      </c>
      <c r="I1711" s="8" t="s">
        <v>44</v>
      </c>
      <c r="J1711" s="16" t="s">
        <v>8337</v>
      </c>
      <c r="K1711" s="2" t="s">
        <v>4211</v>
      </c>
      <c r="L1711" s="8" t="s">
        <v>8338</v>
      </c>
      <c r="M1711" s="8" t="s">
        <v>27</v>
      </c>
      <c r="N1711" s="2" t="s">
        <v>8339</v>
      </c>
      <c r="O1711" s="8" t="s">
        <v>1013</v>
      </c>
      <c r="P1711" s="8" t="s">
        <v>401</v>
      </c>
      <c r="Q1711" s="12" t="s">
        <v>8340</v>
      </c>
      <c r="R1711" s="8" t="s">
        <v>29</v>
      </c>
      <c r="S1711" s="7" t="s">
        <v>28</v>
      </c>
      <c r="T1711" s="6"/>
      <c r="U1711" s="8"/>
    </row>
    <row r="1712" spans="1:21" ht="13" customHeight="1">
      <c r="A1712" s="8" t="s">
        <v>8341</v>
      </c>
      <c r="B1712" s="16">
        <v>26</v>
      </c>
      <c r="C1712" s="8" t="s">
        <v>20</v>
      </c>
      <c r="D1712" s="8" t="s">
        <v>37</v>
      </c>
      <c r="E1712" s="8" t="s">
        <v>8342</v>
      </c>
      <c r="F1712" s="17">
        <v>41849</v>
      </c>
      <c r="G1712" s="8" t="s">
        <v>8343</v>
      </c>
      <c r="H1712" s="8" t="s">
        <v>8344</v>
      </c>
      <c r="I1712" s="8" t="s">
        <v>1086</v>
      </c>
      <c r="J1712" s="16" t="s">
        <v>8345</v>
      </c>
      <c r="K1712" s="2" t="s">
        <v>1144</v>
      </c>
      <c r="L1712" s="8" t="s">
        <v>8346</v>
      </c>
      <c r="M1712" s="8" t="s">
        <v>27</v>
      </c>
      <c r="N1712" s="2" t="s">
        <v>8347</v>
      </c>
      <c r="O1712" s="8" t="s">
        <v>1013</v>
      </c>
      <c r="P1712" s="8" t="s">
        <v>401</v>
      </c>
      <c r="Q1712" s="12" t="s">
        <v>8348</v>
      </c>
      <c r="R1712" s="8" t="s">
        <v>100</v>
      </c>
      <c r="S1712" s="7" t="s">
        <v>28</v>
      </c>
      <c r="T1712" s="6"/>
      <c r="U1712" s="8"/>
    </row>
    <row r="1713" spans="1:34" ht="13" customHeight="1">
      <c r="A1713" s="8" t="s">
        <v>8349</v>
      </c>
      <c r="B1713" s="16">
        <v>27</v>
      </c>
      <c r="C1713" s="8" t="s">
        <v>20</v>
      </c>
      <c r="D1713" s="8" t="s">
        <v>37</v>
      </c>
      <c r="E1713" s="8" t="s">
        <v>8350</v>
      </c>
      <c r="F1713" s="17">
        <v>41849</v>
      </c>
      <c r="G1713" s="8" t="s">
        <v>8351</v>
      </c>
      <c r="H1713" s="8" t="s">
        <v>657</v>
      </c>
      <c r="I1713" s="8" t="s">
        <v>269</v>
      </c>
      <c r="J1713" s="16" t="s">
        <v>8352</v>
      </c>
      <c r="K1713" s="2" t="s">
        <v>570</v>
      </c>
      <c r="L1713" s="8" t="s">
        <v>571</v>
      </c>
      <c r="M1713" s="8" t="s">
        <v>27</v>
      </c>
      <c r="N1713" s="2" t="s">
        <v>8353</v>
      </c>
      <c r="O1713" s="8" t="s">
        <v>1013</v>
      </c>
      <c r="P1713" s="8" t="s">
        <v>401</v>
      </c>
      <c r="Q1713" s="12" t="s">
        <v>8354</v>
      </c>
      <c r="R1713" s="8" t="s">
        <v>29</v>
      </c>
      <c r="S1713" s="7" t="s">
        <v>28</v>
      </c>
      <c r="T1713" s="6"/>
      <c r="U1713" s="8"/>
    </row>
    <row r="1714" spans="1:34" ht="13" customHeight="1">
      <c r="A1714" s="8" t="s">
        <v>8361</v>
      </c>
      <c r="B1714" s="16">
        <v>27</v>
      </c>
      <c r="C1714" s="8" t="s">
        <v>20</v>
      </c>
      <c r="D1714" s="8" t="s">
        <v>85</v>
      </c>
      <c r="E1714" s="8" t="s">
        <v>8362</v>
      </c>
      <c r="F1714" s="17">
        <v>41848</v>
      </c>
      <c r="G1714" s="8" t="s">
        <v>8363</v>
      </c>
      <c r="H1714" s="8" t="s">
        <v>3311</v>
      </c>
      <c r="I1714" s="8" t="s">
        <v>32</v>
      </c>
      <c r="J1714" s="16" t="s">
        <v>8364</v>
      </c>
      <c r="K1714" s="2" t="s">
        <v>3311</v>
      </c>
      <c r="L1714" s="8" t="s">
        <v>8365</v>
      </c>
      <c r="M1714" s="8" t="s">
        <v>27</v>
      </c>
      <c r="N1714" s="2" t="s">
        <v>8366</v>
      </c>
      <c r="O1714" s="8" t="s">
        <v>1013</v>
      </c>
      <c r="P1714" s="8" t="s">
        <v>401</v>
      </c>
      <c r="Q1714" s="12" t="s">
        <v>8367</v>
      </c>
      <c r="R1714" s="8" t="s">
        <v>100</v>
      </c>
      <c r="S1714" s="7" t="s">
        <v>28</v>
      </c>
      <c r="T1714" s="6"/>
      <c r="U1714" s="8"/>
    </row>
    <row r="1715" spans="1:34" ht="13" customHeight="1">
      <c r="A1715" s="8" t="s">
        <v>8355</v>
      </c>
      <c r="B1715" s="16">
        <v>53</v>
      </c>
      <c r="C1715" s="8" t="s">
        <v>20</v>
      </c>
      <c r="D1715" s="8" t="s">
        <v>85</v>
      </c>
      <c r="E1715" s="8" t="s">
        <v>8356</v>
      </c>
      <c r="F1715" s="17">
        <v>41848</v>
      </c>
      <c r="G1715" s="8" t="s">
        <v>8357</v>
      </c>
      <c r="H1715" s="8" t="s">
        <v>87</v>
      </c>
      <c r="I1715" s="8" t="s">
        <v>44</v>
      </c>
      <c r="J1715" s="16" t="s">
        <v>8358</v>
      </c>
      <c r="K1715" s="2" t="s">
        <v>88</v>
      </c>
      <c r="L1715" s="8" t="s">
        <v>89</v>
      </c>
      <c r="M1715" s="8" t="s">
        <v>27</v>
      </c>
      <c r="N1715" s="2" t="s">
        <v>8359</v>
      </c>
      <c r="O1715" s="8" t="s">
        <v>1013</v>
      </c>
      <c r="P1715" s="8" t="s">
        <v>401</v>
      </c>
      <c r="Q1715" s="12" t="s">
        <v>8360</v>
      </c>
      <c r="R1715" s="8" t="s">
        <v>29</v>
      </c>
      <c r="S1715" s="7" t="s">
        <v>18</v>
      </c>
      <c r="T1715" s="6"/>
      <c r="U1715" s="8"/>
    </row>
    <row r="1716" spans="1:34" ht="13" customHeight="1">
      <c r="A1716" s="8" t="s">
        <v>8368</v>
      </c>
      <c r="B1716" s="16">
        <v>32</v>
      </c>
      <c r="C1716" s="8" t="s">
        <v>20</v>
      </c>
      <c r="D1716" s="8" t="s">
        <v>37</v>
      </c>
      <c r="E1716" s="8" t="s">
        <v>8369</v>
      </c>
      <c r="F1716" s="17">
        <v>41848</v>
      </c>
      <c r="G1716" s="8" t="s">
        <v>8370</v>
      </c>
      <c r="H1716" s="8" t="s">
        <v>757</v>
      </c>
      <c r="I1716" s="8" t="s">
        <v>423</v>
      </c>
      <c r="J1716" s="16" t="s">
        <v>8371</v>
      </c>
      <c r="K1716" s="2" t="s">
        <v>757</v>
      </c>
      <c r="L1716" s="8" t="s">
        <v>582</v>
      </c>
      <c r="M1716" s="8" t="s">
        <v>27</v>
      </c>
      <c r="N1716" s="2" t="s">
        <v>8372</v>
      </c>
      <c r="O1716" s="8" t="s">
        <v>1013</v>
      </c>
      <c r="P1716" s="8" t="s">
        <v>401</v>
      </c>
      <c r="Q1716" s="12" t="s">
        <v>8373</v>
      </c>
      <c r="R1716" s="8" t="s">
        <v>29</v>
      </c>
      <c r="S1716" s="7" t="s">
        <v>28</v>
      </c>
      <c r="T1716" s="6"/>
      <c r="U1716" s="8"/>
    </row>
    <row r="1717" spans="1:34" ht="13" customHeight="1">
      <c r="A1717" s="8" t="s">
        <v>8374</v>
      </c>
      <c r="B1717" s="16">
        <v>57</v>
      </c>
      <c r="C1717" s="8" t="s">
        <v>20</v>
      </c>
      <c r="D1717" s="8" t="s">
        <v>30</v>
      </c>
      <c r="F1717" s="17">
        <v>41847</v>
      </c>
      <c r="G1717" s="8" t="s">
        <v>8375</v>
      </c>
      <c r="H1717" s="8" t="s">
        <v>98</v>
      </c>
      <c r="I1717" s="8" t="s">
        <v>45</v>
      </c>
      <c r="J1717" s="16" t="s">
        <v>8376</v>
      </c>
      <c r="K1717" s="2" t="s">
        <v>98</v>
      </c>
      <c r="L1717" s="8" t="s">
        <v>99</v>
      </c>
      <c r="M1717" s="8" t="s">
        <v>379</v>
      </c>
      <c r="N1717" s="2" t="s">
        <v>8377</v>
      </c>
      <c r="O1717" s="8" t="s">
        <v>1013</v>
      </c>
      <c r="P1717" s="8" t="s">
        <v>401</v>
      </c>
      <c r="Q1717" s="12" t="s">
        <v>8378</v>
      </c>
      <c r="R1717" s="8" t="s">
        <v>29</v>
      </c>
      <c r="S1717" s="7" t="s">
        <v>28</v>
      </c>
      <c r="T1717" s="6"/>
      <c r="U1717" s="8"/>
    </row>
    <row r="1718" spans="1:34" ht="13" customHeight="1">
      <c r="A1718" s="8" t="s">
        <v>8385</v>
      </c>
      <c r="B1718" s="16">
        <v>45</v>
      </c>
      <c r="C1718" s="8" t="s">
        <v>20</v>
      </c>
      <c r="D1718" s="8" t="s">
        <v>37</v>
      </c>
      <c r="E1718" s="8" t="s">
        <v>8386</v>
      </c>
      <c r="F1718" s="17">
        <v>41847</v>
      </c>
      <c r="G1718" s="8" t="s">
        <v>8387</v>
      </c>
      <c r="H1718" s="8" t="s">
        <v>387</v>
      </c>
      <c r="I1718" s="8" t="s">
        <v>319</v>
      </c>
      <c r="J1718" s="16" t="s">
        <v>8388</v>
      </c>
      <c r="K1718" s="2" t="s">
        <v>2692</v>
      </c>
      <c r="L1718" s="8" t="s">
        <v>7879</v>
      </c>
      <c r="M1718" s="8" t="s">
        <v>27</v>
      </c>
      <c r="N1718" s="2" t="s">
        <v>8389</v>
      </c>
      <c r="O1718" s="8" t="s">
        <v>1013</v>
      </c>
      <c r="P1718" s="8" t="s">
        <v>401</v>
      </c>
      <c r="Q1718" s="12" t="str">
        <f>HYPERLINK("http://www.knoxnews.com/news/local-news/parolee-killed-in-fight-with-officer-had-a-syringe-narcotic-on-him_07147175","http://www.knoxnews.com/news/local-news/parolee-killed-in-fight-with-officer-had-a-syringe-narcotic-on-him_07147175")</f>
        <v>http://www.knoxnews.com/news/local-news/parolee-killed-in-fight-with-officer-had-a-syringe-narcotic-on-him_07147175</v>
      </c>
      <c r="R1718" s="8" t="s">
        <v>100</v>
      </c>
      <c r="S1718" s="7" t="s">
        <v>28</v>
      </c>
      <c r="T1718" s="6"/>
      <c r="U1718" s="8"/>
    </row>
    <row r="1719" spans="1:34" ht="13" customHeight="1">
      <c r="A1719" s="8" t="s">
        <v>8390</v>
      </c>
      <c r="B1719" s="16">
        <v>33</v>
      </c>
      <c r="C1719" s="8" t="s">
        <v>20</v>
      </c>
      <c r="D1719" s="8" t="s">
        <v>37</v>
      </c>
      <c r="E1719" s="8" t="s">
        <v>8391</v>
      </c>
      <c r="F1719" s="17">
        <v>41847</v>
      </c>
      <c r="G1719" s="8" t="s">
        <v>8392</v>
      </c>
      <c r="H1719" s="8" t="s">
        <v>8393</v>
      </c>
      <c r="I1719" s="8" t="s">
        <v>73</v>
      </c>
      <c r="J1719" s="16" t="s">
        <v>8394</v>
      </c>
      <c r="K1719" s="2" t="s">
        <v>8395</v>
      </c>
      <c r="L1719" s="8" t="s">
        <v>8396</v>
      </c>
      <c r="M1719" s="8" t="s">
        <v>27</v>
      </c>
      <c r="N1719" s="2" t="s">
        <v>8397</v>
      </c>
      <c r="O1719" s="8" t="s">
        <v>1013</v>
      </c>
      <c r="P1719" s="8" t="s">
        <v>401</v>
      </c>
      <c r="Q1719" s="12" t="s">
        <v>8398</v>
      </c>
      <c r="R1719" s="8" t="s">
        <v>100</v>
      </c>
      <c r="S1719" s="7" t="s">
        <v>35</v>
      </c>
      <c r="T1719" s="6"/>
      <c r="U1719" s="8"/>
    </row>
    <row r="1720" spans="1:34" ht="13" customHeight="1">
      <c r="A1720" s="8" t="s">
        <v>8379</v>
      </c>
      <c r="B1720" s="16">
        <v>33</v>
      </c>
      <c r="C1720" s="8" t="s">
        <v>20</v>
      </c>
      <c r="D1720" s="8" t="s">
        <v>37</v>
      </c>
      <c r="E1720" s="8" t="s">
        <v>8380</v>
      </c>
      <c r="F1720" s="17">
        <v>41847</v>
      </c>
      <c r="G1720" s="8" t="s">
        <v>8381</v>
      </c>
      <c r="H1720" s="8" t="s">
        <v>7585</v>
      </c>
      <c r="I1720" s="8" t="s">
        <v>45</v>
      </c>
      <c r="J1720" s="16" t="s">
        <v>8382</v>
      </c>
      <c r="K1720" s="2" t="s">
        <v>7587</v>
      </c>
      <c r="L1720" s="8" t="s">
        <v>7588</v>
      </c>
      <c r="M1720" s="8" t="s">
        <v>14474</v>
      </c>
      <c r="N1720" s="2" t="s">
        <v>8383</v>
      </c>
      <c r="O1720" s="8" t="s">
        <v>400</v>
      </c>
      <c r="P1720" s="8" t="s">
        <v>401</v>
      </c>
      <c r="Q1720" s="12" t="s">
        <v>8384</v>
      </c>
      <c r="R1720" s="8" t="s">
        <v>555</v>
      </c>
      <c r="S1720" s="7" t="s">
        <v>18</v>
      </c>
      <c r="T1720" s="6"/>
      <c r="U1720" s="8"/>
    </row>
    <row r="1721" spans="1:34" ht="13" customHeight="1">
      <c r="A1721" s="8" t="s">
        <v>8399</v>
      </c>
      <c r="B1721" s="16">
        <v>37</v>
      </c>
      <c r="C1721" s="8" t="s">
        <v>20</v>
      </c>
      <c r="D1721" s="8" t="s">
        <v>85</v>
      </c>
      <c r="F1721" s="17">
        <v>41846</v>
      </c>
      <c r="G1721" s="8" t="s">
        <v>8400</v>
      </c>
      <c r="H1721" s="8" t="s">
        <v>8401</v>
      </c>
      <c r="I1721" s="8" t="s">
        <v>150</v>
      </c>
      <c r="J1721" s="16" t="s">
        <v>8402</v>
      </c>
      <c r="K1721" s="2" t="s">
        <v>8403</v>
      </c>
      <c r="L1721" s="8" t="s">
        <v>8404</v>
      </c>
      <c r="M1721" s="8" t="s">
        <v>27</v>
      </c>
      <c r="N1721" s="2" t="s">
        <v>8405</v>
      </c>
      <c r="O1721" s="8" t="s">
        <v>1013</v>
      </c>
      <c r="P1721" s="8" t="s">
        <v>401</v>
      </c>
      <c r="Q1721" s="12" t="s">
        <v>8406</v>
      </c>
      <c r="R1721" s="8" t="s">
        <v>29</v>
      </c>
      <c r="S1721" s="7" t="s">
        <v>28</v>
      </c>
      <c r="T1721" s="6"/>
      <c r="U1721" s="8"/>
    </row>
    <row r="1722" spans="1:34" ht="13" customHeight="1">
      <c r="A1722" s="8" t="s">
        <v>8407</v>
      </c>
      <c r="B1722" s="16">
        <v>95</v>
      </c>
      <c r="C1722" s="8" t="s">
        <v>20</v>
      </c>
      <c r="D1722" s="8" t="s">
        <v>37</v>
      </c>
      <c r="E1722" s="8" t="s">
        <v>8408</v>
      </c>
      <c r="F1722" s="17">
        <v>41846</v>
      </c>
      <c r="G1722" s="8" t="s">
        <v>8409</v>
      </c>
      <c r="H1722" s="8" t="s">
        <v>8410</v>
      </c>
      <c r="I1722" s="8" t="s">
        <v>44</v>
      </c>
      <c r="J1722" s="16" t="s">
        <v>8411</v>
      </c>
      <c r="K1722" s="2" t="s">
        <v>88</v>
      </c>
      <c r="L1722" s="8" t="s">
        <v>8412</v>
      </c>
      <c r="M1722" s="8" t="s">
        <v>8413</v>
      </c>
      <c r="N1722" s="2" t="s">
        <v>8414</v>
      </c>
      <c r="O1722" s="8" t="s">
        <v>7772</v>
      </c>
      <c r="P1722" s="8" t="s">
        <v>21434</v>
      </c>
      <c r="Q1722" s="12" t="s">
        <v>8415</v>
      </c>
      <c r="R1722" s="8" t="s">
        <v>29</v>
      </c>
      <c r="S1722" s="7" t="s">
        <v>28</v>
      </c>
      <c r="T1722" s="6"/>
      <c r="U1722" s="8"/>
    </row>
    <row r="1723" spans="1:34" ht="13" customHeight="1">
      <c r="A1723" s="8" t="s">
        <v>8416</v>
      </c>
      <c r="B1723" s="16">
        <v>33</v>
      </c>
      <c r="C1723" s="8" t="s">
        <v>20</v>
      </c>
      <c r="D1723" s="8" t="s">
        <v>48</v>
      </c>
      <c r="F1723" s="17">
        <v>41845</v>
      </c>
      <c r="G1723" s="8" t="s">
        <v>8417</v>
      </c>
      <c r="H1723" s="8" t="s">
        <v>6188</v>
      </c>
      <c r="I1723" s="8" t="s">
        <v>45</v>
      </c>
      <c r="J1723" s="16" t="s">
        <v>6189</v>
      </c>
      <c r="K1723" s="2" t="s">
        <v>98</v>
      </c>
      <c r="L1723" s="8" t="s">
        <v>99</v>
      </c>
      <c r="M1723" s="8" t="s">
        <v>27</v>
      </c>
      <c r="N1723" s="2" t="s">
        <v>21456</v>
      </c>
      <c r="O1723" s="8" t="s">
        <v>1013</v>
      </c>
      <c r="P1723" s="8" t="s">
        <v>401</v>
      </c>
      <c r="Q1723" s="12" t="s">
        <v>8418</v>
      </c>
      <c r="R1723" s="8" t="s">
        <v>100</v>
      </c>
      <c r="S1723" s="7" t="s">
        <v>35</v>
      </c>
      <c r="T1723" s="6"/>
      <c r="U1723" s="8"/>
    </row>
    <row r="1724" spans="1:34" ht="13" customHeight="1">
      <c r="A1724" s="8" t="s">
        <v>8419</v>
      </c>
      <c r="B1724" s="16">
        <v>33</v>
      </c>
      <c r="C1724" s="8" t="s">
        <v>20</v>
      </c>
      <c r="D1724" s="8" t="s">
        <v>37</v>
      </c>
      <c r="F1724" s="17">
        <v>41845</v>
      </c>
      <c r="G1724" s="8" t="s">
        <v>8420</v>
      </c>
      <c r="H1724" s="8" t="s">
        <v>1316</v>
      </c>
      <c r="I1724" s="8" t="s">
        <v>73</v>
      </c>
      <c r="J1724" s="16" t="s">
        <v>8421</v>
      </c>
      <c r="K1724" s="2" t="s">
        <v>1317</v>
      </c>
      <c r="L1724" s="8" t="s">
        <v>1318</v>
      </c>
      <c r="M1724" s="8" t="s">
        <v>8422</v>
      </c>
      <c r="N1724" s="2" t="s">
        <v>8423</v>
      </c>
      <c r="O1724" s="8" t="s">
        <v>29</v>
      </c>
      <c r="P1724" s="8" t="s">
        <v>401</v>
      </c>
      <c r="Q1724" s="12" t="s">
        <v>8424</v>
      </c>
      <c r="R1724" s="8" t="s">
        <v>555</v>
      </c>
      <c r="S1724" s="7" t="s">
        <v>28</v>
      </c>
      <c r="T1724" s="6"/>
      <c r="U1724" s="8"/>
      <c r="Y1724" s="8"/>
      <c r="Z1724" s="8"/>
      <c r="AA1724" s="8"/>
      <c r="AB1724" s="8"/>
      <c r="AC1724" s="8"/>
      <c r="AD1724" s="8"/>
      <c r="AE1724" s="8"/>
      <c r="AF1724" s="8"/>
      <c r="AG1724" s="8"/>
      <c r="AH1724" s="8"/>
    </row>
    <row r="1725" spans="1:34" ht="13" customHeight="1">
      <c r="A1725" s="8" t="s">
        <v>8425</v>
      </c>
      <c r="B1725" s="16">
        <v>31</v>
      </c>
      <c r="C1725" s="8" t="s">
        <v>20</v>
      </c>
      <c r="D1725" s="8" t="s">
        <v>37</v>
      </c>
      <c r="E1725" s="8" t="s">
        <v>8426</v>
      </c>
      <c r="F1725" s="17">
        <v>41845</v>
      </c>
      <c r="G1725" s="8" t="s">
        <v>8427</v>
      </c>
      <c r="H1725" s="8" t="s">
        <v>613</v>
      </c>
      <c r="I1725" s="8" t="s">
        <v>240</v>
      </c>
      <c r="J1725" s="16" t="s">
        <v>8428</v>
      </c>
      <c r="K1725" s="2" t="s">
        <v>613</v>
      </c>
      <c r="L1725" s="8" t="s">
        <v>8429</v>
      </c>
      <c r="M1725" s="8" t="s">
        <v>27</v>
      </c>
      <c r="N1725" s="2" t="s">
        <v>8430</v>
      </c>
      <c r="O1725" s="8" t="s">
        <v>550</v>
      </c>
      <c r="P1725" s="8" t="s">
        <v>401</v>
      </c>
      <c r="Q1725" s="12" t="str">
        <f>HYPERLINK("http://www.sltrib.com/news/justice/1618808-155/officers-shot-lister-police-gill-gun","http://www.sltrib.com/news/justice/1618808-155/officers-shot-lister-police-gill-gun")</f>
        <v>http://www.sltrib.com/news/justice/1618808-155/officers-shot-lister-police-gill-gun</v>
      </c>
      <c r="R1725" s="8" t="s">
        <v>967</v>
      </c>
      <c r="S1725" s="7" t="s">
        <v>28</v>
      </c>
      <c r="T1725" s="6"/>
      <c r="U1725" s="8"/>
    </row>
    <row r="1726" spans="1:34" ht="13" customHeight="1">
      <c r="A1726" s="8" t="s">
        <v>8431</v>
      </c>
      <c r="B1726" s="16">
        <v>37</v>
      </c>
      <c r="C1726" s="8" t="s">
        <v>114</v>
      </c>
      <c r="D1726" s="8" t="s">
        <v>37</v>
      </c>
      <c r="F1726" s="17">
        <v>41844</v>
      </c>
      <c r="G1726" s="8" t="s">
        <v>8432</v>
      </c>
      <c r="H1726" s="8" t="s">
        <v>8433</v>
      </c>
      <c r="I1726" s="8" t="s">
        <v>173</v>
      </c>
      <c r="J1726" s="16" t="s">
        <v>8434</v>
      </c>
      <c r="K1726" s="2" t="s">
        <v>8435</v>
      </c>
      <c r="L1726" s="8" t="s">
        <v>8436</v>
      </c>
      <c r="M1726" s="8" t="s">
        <v>27</v>
      </c>
      <c r="N1726" s="2" t="s">
        <v>8437</v>
      </c>
      <c r="O1726" s="8" t="s">
        <v>1013</v>
      </c>
      <c r="P1726" s="8" t="s">
        <v>401</v>
      </c>
      <c r="Q1726" s="12" t="s">
        <v>8438</v>
      </c>
      <c r="R1726" s="8" t="s">
        <v>29</v>
      </c>
      <c r="S1726" s="7" t="s">
        <v>28</v>
      </c>
      <c r="T1726" s="6"/>
      <c r="U1726" s="8"/>
    </row>
    <row r="1727" spans="1:34" ht="13" customHeight="1">
      <c r="A1727" s="8" t="s">
        <v>8439</v>
      </c>
      <c r="B1727" s="16">
        <v>29</v>
      </c>
      <c r="C1727" s="8" t="s">
        <v>20</v>
      </c>
      <c r="D1727" s="8" t="s">
        <v>85</v>
      </c>
      <c r="E1727" s="8" t="s">
        <v>8440</v>
      </c>
      <c r="F1727" s="17">
        <v>41843</v>
      </c>
      <c r="G1727" s="8" t="s">
        <v>8441</v>
      </c>
      <c r="H1727" s="8" t="s">
        <v>8442</v>
      </c>
      <c r="I1727" s="8" t="s">
        <v>62</v>
      </c>
      <c r="J1727" s="16" t="s">
        <v>8443</v>
      </c>
      <c r="K1727" s="2" t="s">
        <v>1064</v>
      </c>
      <c r="L1727" s="8" t="s">
        <v>4453</v>
      </c>
      <c r="M1727" s="8" t="s">
        <v>27</v>
      </c>
      <c r="N1727" s="2" t="s">
        <v>8444</v>
      </c>
      <c r="O1727" s="8" t="s">
        <v>1013</v>
      </c>
      <c r="P1727" s="8" t="s">
        <v>401</v>
      </c>
      <c r="Q1727" s="12" t="s">
        <v>8445</v>
      </c>
      <c r="R1727" s="8" t="s">
        <v>100</v>
      </c>
      <c r="S1727" s="7" t="s">
        <v>28</v>
      </c>
      <c r="T1727" s="6"/>
      <c r="U1727" s="8"/>
    </row>
    <row r="1728" spans="1:34" ht="13" customHeight="1">
      <c r="A1728" s="8" t="s">
        <v>8446</v>
      </c>
      <c r="B1728" s="16">
        <v>17</v>
      </c>
      <c r="C1728" s="8" t="s">
        <v>20</v>
      </c>
      <c r="D1728" s="8" t="s">
        <v>37</v>
      </c>
      <c r="E1728" s="8" t="s">
        <v>8447</v>
      </c>
      <c r="F1728" s="17">
        <v>41843</v>
      </c>
      <c r="G1728" s="8" t="s">
        <v>8448</v>
      </c>
      <c r="H1728" s="8" t="s">
        <v>8449</v>
      </c>
      <c r="I1728" s="8" t="s">
        <v>62</v>
      </c>
      <c r="J1728" s="16" t="s">
        <v>8450</v>
      </c>
      <c r="K1728" s="2" t="s">
        <v>8451</v>
      </c>
      <c r="L1728" s="8" t="s">
        <v>8452</v>
      </c>
      <c r="M1728" s="8" t="s">
        <v>379</v>
      </c>
      <c r="N1728" s="2" t="s">
        <v>8453</v>
      </c>
      <c r="O1728" s="8" t="s">
        <v>1013</v>
      </c>
      <c r="P1728" s="8" t="s">
        <v>401</v>
      </c>
      <c r="Q1728" s="12" t="s">
        <v>8454</v>
      </c>
      <c r="R1728" s="8" t="s">
        <v>100</v>
      </c>
      <c r="S1728" s="7" t="s">
        <v>28</v>
      </c>
      <c r="T1728" s="6"/>
      <c r="U1728" s="8"/>
    </row>
    <row r="1729" spans="1:34" ht="13" customHeight="1">
      <c r="A1729" s="8" t="s">
        <v>8462</v>
      </c>
      <c r="B1729" s="16">
        <v>37</v>
      </c>
      <c r="C1729" s="8" t="s">
        <v>20</v>
      </c>
      <c r="D1729" s="8" t="s">
        <v>85</v>
      </c>
      <c r="E1729" s="8" t="s">
        <v>8463</v>
      </c>
      <c r="F1729" s="17">
        <v>41842</v>
      </c>
      <c r="G1729" s="8" t="s">
        <v>8464</v>
      </c>
      <c r="H1729" s="8" t="s">
        <v>8465</v>
      </c>
      <c r="I1729" s="8" t="s">
        <v>32</v>
      </c>
      <c r="J1729" s="16" t="s">
        <v>8466</v>
      </c>
      <c r="K1729" s="2" t="s">
        <v>825</v>
      </c>
      <c r="L1729" s="8" t="s">
        <v>5671</v>
      </c>
      <c r="M1729" s="8" t="s">
        <v>27</v>
      </c>
      <c r="N1729" s="2" t="s">
        <v>8467</v>
      </c>
      <c r="O1729" s="8" t="s">
        <v>550</v>
      </c>
      <c r="P1729" s="8" t="s">
        <v>401</v>
      </c>
      <c r="Q1729" s="12" t="s">
        <v>8468</v>
      </c>
      <c r="R1729" s="8" t="s">
        <v>100</v>
      </c>
      <c r="S1729" s="7" t="s">
        <v>28</v>
      </c>
      <c r="T1729" s="6"/>
      <c r="U1729" s="8"/>
    </row>
    <row r="1730" spans="1:34" ht="13" customHeight="1">
      <c r="A1730" s="8" t="s">
        <v>8469</v>
      </c>
      <c r="B1730" s="16">
        <v>19</v>
      </c>
      <c r="C1730" s="8" t="s">
        <v>20</v>
      </c>
      <c r="D1730" s="8" t="s">
        <v>85</v>
      </c>
      <c r="E1730" s="8" t="s">
        <v>8470</v>
      </c>
      <c r="F1730" s="17">
        <v>41842</v>
      </c>
      <c r="G1730" s="8" t="s">
        <v>8471</v>
      </c>
      <c r="H1730" s="8" t="s">
        <v>8472</v>
      </c>
      <c r="I1730" s="8" t="s">
        <v>52</v>
      </c>
      <c r="J1730" s="16" t="s">
        <v>8473</v>
      </c>
      <c r="K1730" s="2" t="s">
        <v>1596</v>
      </c>
      <c r="L1730" s="8" t="s">
        <v>231</v>
      </c>
      <c r="M1730" s="8" t="s">
        <v>27</v>
      </c>
      <c r="N1730" s="2" t="s">
        <v>8474</v>
      </c>
      <c r="O1730" s="8" t="s">
        <v>1013</v>
      </c>
      <c r="P1730" s="8" t="s">
        <v>401</v>
      </c>
      <c r="Q1730" s="12" t="s">
        <v>8475</v>
      </c>
      <c r="R1730" s="8" t="s">
        <v>100</v>
      </c>
      <c r="S1730" s="7" t="s">
        <v>18</v>
      </c>
      <c r="T1730" s="6"/>
      <c r="U1730" s="8"/>
      <c r="V1730" s="8"/>
      <c r="W1730" s="8"/>
      <c r="X1730" s="8"/>
    </row>
    <row r="1731" spans="1:34" ht="13" customHeight="1">
      <c r="A1731" s="8" t="s">
        <v>8455</v>
      </c>
      <c r="B1731" s="16">
        <v>29</v>
      </c>
      <c r="C1731" s="8" t="s">
        <v>20</v>
      </c>
      <c r="D1731" s="8" t="s">
        <v>85</v>
      </c>
      <c r="E1731" s="8" t="s">
        <v>8456</v>
      </c>
      <c r="F1731" s="17">
        <v>41842</v>
      </c>
      <c r="G1731" s="8" t="s">
        <v>8457</v>
      </c>
      <c r="H1731" s="8" t="s">
        <v>8458</v>
      </c>
      <c r="I1731" s="8" t="s">
        <v>173</v>
      </c>
      <c r="J1731" s="16" t="s">
        <v>8459</v>
      </c>
      <c r="K1731" s="2" t="s">
        <v>1121</v>
      </c>
      <c r="L1731" s="8" t="s">
        <v>8460</v>
      </c>
      <c r="M1731" s="8" t="s">
        <v>27</v>
      </c>
      <c r="N1731" s="2" t="s">
        <v>8461</v>
      </c>
      <c r="O1731" s="8" t="s">
        <v>400</v>
      </c>
      <c r="P1731" s="8" t="s">
        <v>401</v>
      </c>
      <c r="Q1731" s="12" t="str">
        <f>HYPERLINK("http://www.northwestgeorgianews.com/rome/adairsville-officer-on-administrative-leave-after-fatal-shooting/article_7082a720-119e-11e4-8eb9-001a4bcf6878.html","http://www.northwestgeorgianews.com/rome/adairsville-officer-on-administrative-leave-after-fatal-shooting/article_7082a720-119e-11e4-8eb9-001a4bcf6878.html")</f>
        <v>http://www.northwestgeorgianews.com/rome/adairsville-officer-on-administrative-leave-after-fatal-shooting/article_7082a720-119e-11e4-8eb9-001a4bcf6878.html</v>
      </c>
      <c r="R1731" s="8" t="s">
        <v>100</v>
      </c>
      <c r="S1731" s="7" t="s">
        <v>379</v>
      </c>
      <c r="T1731" s="6"/>
      <c r="U1731" s="8"/>
      <c r="Y1731" s="8"/>
      <c r="Z1731" s="8"/>
      <c r="AA1731" s="8"/>
      <c r="AB1731" s="8"/>
      <c r="AC1731" s="8"/>
      <c r="AD1731" s="8"/>
      <c r="AE1731" s="8"/>
      <c r="AF1731" s="8"/>
      <c r="AG1731" s="8"/>
      <c r="AH1731" s="8"/>
    </row>
    <row r="1732" spans="1:34" ht="13" customHeight="1">
      <c r="A1732" s="8" t="s">
        <v>8476</v>
      </c>
      <c r="B1732" s="16">
        <v>29</v>
      </c>
      <c r="C1732" s="8" t="s">
        <v>20</v>
      </c>
      <c r="D1732" s="8" t="s">
        <v>48</v>
      </c>
      <c r="E1732" s="8" t="s">
        <v>8477</v>
      </c>
      <c r="F1732" s="17">
        <v>41842</v>
      </c>
      <c r="G1732" s="8" t="s">
        <v>8478</v>
      </c>
      <c r="H1732" s="8" t="s">
        <v>8479</v>
      </c>
      <c r="I1732" s="8" t="s">
        <v>73</v>
      </c>
      <c r="J1732" s="16" t="s">
        <v>8480</v>
      </c>
      <c r="K1732" s="2" t="s">
        <v>1398</v>
      </c>
      <c r="L1732" s="8" t="s">
        <v>8481</v>
      </c>
      <c r="M1732" s="8" t="s">
        <v>27</v>
      </c>
      <c r="N1732" s="2" t="s">
        <v>8482</v>
      </c>
      <c r="O1732" s="8" t="s">
        <v>1013</v>
      </c>
      <c r="P1732" s="8" t="s">
        <v>401</v>
      </c>
      <c r="Q1732" s="12" t="s">
        <v>8483</v>
      </c>
      <c r="R1732" s="8" t="s">
        <v>100</v>
      </c>
      <c r="S1732" s="7" t="s">
        <v>28</v>
      </c>
      <c r="T1732" s="6"/>
      <c r="U1732" s="8"/>
    </row>
    <row r="1733" spans="1:34" ht="13" customHeight="1">
      <c r="A1733" s="8" t="s">
        <v>8484</v>
      </c>
      <c r="B1733" s="16">
        <v>33</v>
      </c>
      <c r="C1733" s="8" t="s">
        <v>20</v>
      </c>
      <c r="D1733" s="8" t="s">
        <v>37</v>
      </c>
      <c r="E1733" s="8" t="s">
        <v>8485</v>
      </c>
      <c r="F1733" s="17">
        <v>41842</v>
      </c>
      <c r="G1733" s="8" t="s">
        <v>8486</v>
      </c>
      <c r="H1733" s="8" t="s">
        <v>925</v>
      </c>
      <c r="I1733" s="8" t="s">
        <v>195</v>
      </c>
      <c r="J1733" s="16" t="s">
        <v>8487</v>
      </c>
      <c r="K1733" s="2" t="s">
        <v>467</v>
      </c>
      <c r="L1733" s="8" t="s">
        <v>4995</v>
      </c>
      <c r="M1733" s="8" t="s">
        <v>27</v>
      </c>
      <c r="N1733" s="2" t="s">
        <v>8488</v>
      </c>
      <c r="O1733" s="8" t="s">
        <v>1013</v>
      </c>
      <c r="P1733" s="8" t="s">
        <v>401</v>
      </c>
      <c r="Q1733" s="12" t="str">
        <f>HYPERLINK("http://www.koat.com/news/apd-involved-in-shooting-near-eubank-central/27095580","http://www.koat.com/news/apd-involved-in-shooting-near-eubank-central/27095580")</f>
        <v>http://www.koat.com/news/apd-involved-in-shooting-near-eubank-central/27095580</v>
      </c>
      <c r="R1733" s="8" t="s">
        <v>100</v>
      </c>
      <c r="S1733" s="7" t="s">
        <v>28</v>
      </c>
      <c r="T1733" s="6"/>
      <c r="U1733" s="8"/>
      <c r="Y1733" s="8"/>
      <c r="Z1733" s="8"/>
      <c r="AA1733" s="8"/>
      <c r="AB1733" s="8"/>
      <c r="AC1733" s="8"/>
      <c r="AD1733" s="8"/>
      <c r="AE1733" s="8"/>
      <c r="AF1733" s="8"/>
      <c r="AG1733" s="8"/>
      <c r="AH1733" s="8"/>
    </row>
    <row r="1734" spans="1:34" ht="13" customHeight="1">
      <c r="A1734" s="8" t="s">
        <v>8489</v>
      </c>
      <c r="B1734" s="16">
        <v>54</v>
      </c>
      <c r="C1734" s="8" t="s">
        <v>20</v>
      </c>
      <c r="D1734" s="8" t="s">
        <v>85</v>
      </c>
      <c r="F1734" s="17">
        <v>41841</v>
      </c>
      <c r="G1734" s="8" t="s">
        <v>8490</v>
      </c>
      <c r="H1734" s="8" t="s">
        <v>2365</v>
      </c>
      <c r="I1734" s="8" t="s">
        <v>52</v>
      </c>
      <c r="J1734" s="16" t="s">
        <v>8491</v>
      </c>
      <c r="K1734" s="2" t="s">
        <v>1059</v>
      </c>
      <c r="L1734" s="8" t="s">
        <v>2367</v>
      </c>
      <c r="M1734" s="8" t="s">
        <v>27</v>
      </c>
      <c r="N1734" s="2" t="s">
        <v>8492</v>
      </c>
      <c r="O1734" s="8" t="s">
        <v>1013</v>
      </c>
      <c r="P1734" s="8" t="s">
        <v>401</v>
      </c>
      <c r="Q1734" s="12" t="s">
        <v>8493</v>
      </c>
      <c r="R1734" s="8" t="s">
        <v>555</v>
      </c>
      <c r="S1734" s="7" t="s">
        <v>28</v>
      </c>
      <c r="T1734" s="6"/>
      <c r="U1734" s="8"/>
    </row>
    <row r="1735" spans="1:34" ht="13" customHeight="1">
      <c r="A1735" s="8" t="s">
        <v>8498</v>
      </c>
      <c r="B1735" s="16">
        <v>52</v>
      </c>
      <c r="C1735" s="8" t="s">
        <v>20</v>
      </c>
      <c r="D1735" s="8" t="s">
        <v>37</v>
      </c>
      <c r="F1735" s="17">
        <v>41840</v>
      </c>
      <c r="G1735" s="8" t="s">
        <v>8499</v>
      </c>
      <c r="H1735" s="8" t="s">
        <v>8500</v>
      </c>
      <c r="I1735" s="8" t="s">
        <v>94</v>
      </c>
      <c r="J1735" s="16" t="s">
        <v>8501</v>
      </c>
      <c r="K1735" s="2" t="s">
        <v>3729</v>
      </c>
      <c r="L1735" s="8" t="s">
        <v>8502</v>
      </c>
      <c r="M1735" s="8" t="s">
        <v>27</v>
      </c>
      <c r="N1735" s="2" t="s">
        <v>8503</v>
      </c>
      <c r="O1735" s="8" t="s">
        <v>1161</v>
      </c>
      <c r="P1735" s="8" t="s">
        <v>1162</v>
      </c>
      <c r="Q1735" s="12" t="s">
        <v>8504</v>
      </c>
      <c r="R1735" s="8" t="s">
        <v>100</v>
      </c>
      <c r="S1735" s="7" t="s">
        <v>18</v>
      </c>
      <c r="T1735" s="6"/>
      <c r="U1735" s="8"/>
    </row>
    <row r="1736" spans="1:34" ht="13" customHeight="1">
      <c r="A1736" s="8" t="s">
        <v>8494</v>
      </c>
      <c r="B1736" s="16">
        <v>28</v>
      </c>
      <c r="C1736" s="8" t="s">
        <v>20</v>
      </c>
      <c r="D1736" s="8" t="s">
        <v>37</v>
      </c>
      <c r="F1736" s="17">
        <v>41840</v>
      </c>
      <c r="G1736" s="8" t="s">
        <v>8495</v>
      </c>
      <c r="H1736" s="8" t="s">
        <v>2544</v>
      </c>
      <c r="I1736" s="8" t="s">
        <v>303</v>
      </c>
      <c r="J1736" s="16" t="s">
        <v>8496</v>
      </c>
      <c r="K1736" s="2" t="s">
        <v>1212</v>
      </c>
      <c r="L1736" s="8" t="s">
        <v>3486</v>
      </c>
      <c r="M1736" s="8" t="s">
        <v>27</v>
      </c>
      <c r="N1736" s="2" t="s">
        <v>8497</v>
      </c>
      <c r="O1736" s="8" t="s">
        <v>1013</v>
      </c>
      <c r="P1736" s="8" t="s">
        <v>401</v>
      </c>
      <c r="Q1736" s="12" t="str">
        <f>HYPERLINK("http://www.kentreporter.com/news/272307371.html","http://www.kentreporter.com/news/272307371.html#")</f>
        <v>http://www.kentreporter.com/news/272307371.html#</v>
      </c>
      <c r="R1736" s="8" t="s">
        <v>100</v>
      </c>
      <c r="S1736" s="7" t="s">
        <v>28</v>
      </c>
      <c r="T1736" s="6"/>
      <c r="U1736" s="8"/>
    </row>
    <row r="1737" spans="1:34" ht="13" customHeight="1">
      <c r="A1737" s="8" t="s">
        <v>8505</v>
      </c>
      <c r="B1737" s="16">
        <v>41</v>
      </c>
      <c r="C1737" s="8" t="s">
        <v>20</v>
      </c>
      <c r="D1737" s="8" t="s">
        <v>48</v>
      </c>
      <c r="F1737" s="17">
        <v>41839</v>
      </c>
      <c r="G1737" s="8" t="s">
        <v>8506</v>
      </c>
      <c r="H1737" s="8" t="s">
        <v>87</v>
      </c>
      <c r="I1737" s="8" t="s">
        <v>44</v>
      </c>
      <c r="J1737" s="16" t="s">
        <v>8507</v>
      </c>
      <c r="K1737" s="2" t="s">
        <v>88</v>
      </c>
      <c r="L1737" s="8" t="s">
        <v>89</v>
      </c>
      <c r="M1737" s="8" t="s">
        <v>391</v>
      </c>
      <c r="N1737" s="2" t="s">
        <v>8508</v>
      </c>
      <c r="O1737" s="8" t="s">
        <v>1013</v>
      </c>
      <c r="P1737" s="8" t="s">
        <v>401</v>
      </c>
      <c r="Q1737" s="12" t="s">
        <v>8509</v>
      </c>
      <c r="R1737" s="8" t="s">
        <v>100</v>
      </c>
      <c r="S1737" s="7" t="s">
        <v>18</v>
      </c>
      <c r="T1737" s="6"/>
      <c r="U1737" s="8"/>
    </row>
    <row r="1738" spans="1:34" ht="13" customHeight="1">
      <c r="A1738" s="8" t="s">
        <v>8510</v>
      </c>
      <c r="B1738" s="16">
        <v>25</v>
      </c>
      <c r="C1738" s="8" t="s">
        <v>20</v>
      </c>
      <c r="D1738" s="8" t="s">
        <v>85</v>
      </c>
      <c r="E1738" s="8" t="s">
        <v>8511</v>
      </c>
      <c r="F1738" s="17">
        <v>41838</v>
      </c>
      <c r="G1738" s="8" t="s">
        <v>8512</v>
      </c>
      <c r="H1738" s="8" t="s">
        <v>3930</v>
      </c>
      <c r="I1738" s="8" t="s">
        <v>123</v>
      </c>
      <c r="J1738" s="16" t="s">
        <v>3931</v>
      </c>
      <c r="K1738" s="2" t="s">
        <v>635</v>
      </c>
      <c r="L1738" s="8" t="s">
        <v>3932</v>
      </c>
      <c r="M1738" s="8" t="s">
        <v>27</v>
      </c>
      <c r="N1738" s="2" t="s">
        <v>8513</v>
      </c>
      <c r="O1738" s="8" t="s">
        <v>1013</v>
      </c>
      <c r="P1738" s="8" t="s">
        <v>401</v>
      </c>
      <c r="Q1738" s="12" t="str">
        <f>HYPERLINK("http://www.azcentral.com/story/news/local/tempe/2014/07/20/tempe-officer-involved-shooting-jonathan-williams-dead/12922577/","http://www.azcentral.com/story/news/local/tempe/2014/07/20/tempe-officer-involved-shooting-jonathan-williams-dead/12922577/")</f>
        <v>http://www.azcentral.com/story/news/local/tempe/2014/07/20/tempe-officer-involved-shooting-jonathan-williams-dead/12922577/</v>
      </c>
      <c r="R1738" s="8" t="s">
        <v>100</v>
      </c>
      <c r="S1738" s="7" t="s">
        <v>28</v>
      </c>
      <c r="T1738" s="6"/>
      <c r="U1738" s="8"/>
    </row>
    <row r="1739" spans="1:34" ht="13" customHeight="1">
      <c r="A1739" s="8" t="s">
        <v>8514</v>
      </c>
      <c r="B1739" s="16">
        <v>5</v>
      </c>
      <c r="C1739" s="8" t="s">
        <v>114</v>
      </c>
      <c r="D1739" s="8" t="s">
        <v>37</v>
      </c>
      <c r="E1739" s="8" t="s">
        <v>8515</v>
      </c>
      <c r="F1739" s="17">
        <v>41838</v>
      </c>
      <c r="G1739" s="8" t="s">
        <v>8516</v>
      </c>
      <c r="H1739" s="8" t="s">
        <v>8517</v>
      </c>
      <c r="I1739" s="8" t="s">
        <v>363</v>
      </c>
      <c r="J1739" s="16" t="s">
        <v>8518</v>
      </c>
      <c r="K1739" s="2" t="s">
        <v>8517</v>
      </c>
      <c r="L1739" s="8" t="s">
        <v>8519</v>
      </c>
      <c r="M1739" s="8" t="s">
        <v>27</v>
      </c>
      <c r="N1739" s="2" t="s">
        <v>8520</v>
      </c>
      <c r="O1739" s="8" t="s">
        <v>1013</v>
      </c>
      <c r="P1739" s="8" t="s">
        <v>401</v>
      </c>
      <c r="Q1739" s="12" t="s">
        <v>8521</v>
      </c>
      <c r="R1739" s="8" t="s">
        <v>100</v>
      </c>
      <c r="S1739" s="7" t="s">
        <v>18</v>
      </c>
      <c r="T1739" s="6"/>
      <c r="U1739" s="8"/>
    </row>
    <row r="1740" spans="1:34" ht="13" customHeight="1">
      <c r="A1740" s="8" t="s">
        <v>8522</v>
      </c>
      <c r="B1740" s="16">
        <v>34</v>
      </c>
      <c r="C1740" s="8" t="s">
        <v>20</v>
      </c>
      <c r="D1740" s="8" t="s">
        <v>37</v>
      </c>
      <c r="F1740" s="17">
        <v>41838</v>
      </c>
      <c r="G1740" s="8" t="s">
        <v>8523</v>
      </c>
      <c r="H1740" s="8" t="s">
        <v>268</v>
      </c>
      <c r="I1740" s="8" t="s">
        <v>269</v>
      </c>
      <c r="J1740" s="16" t="s">
        <v>8524</v>
      </c>
      <c r="K1740" s="2" t="s">
        <v>570</v>
      </c>
      <c r="L1740" s="8" t="s">
        <v>270</v>
      </c>
      <c r="M1740" s="8" t="s">
        <v>27</v>
      </c>
      <c r="N1740" s="2" t="s">
        <v>8525</v>
      </c>
      <c r="O1740" s="8" t="s">
        <v>1013</v>
      </c>
      <c r="P1740" s="8" t="s">
        <v>401</v>
      </c>
      <c r="Q1740" s="12" t="str">
        <f>HYPERLINK("http://www.fox5vegas.com/story/26071249/coroner-identifies-man-shot-by-nlv-police","http://www.fox5vegas.com/story/26071249/coroner-identifies-man-shot-by-nlv-police")</f>
        <v>http://www.fox5vegas.com/story/26071249/coroner-identifies-man-shot-by-nlv-police</v>
      </c>
      <c r="R1740" s="8" t="s">
        <v>100</v>
      </c>
      <c r="S1740" s="7" t="s">
        <v>18</v>
      </c>
      <c r="T1740" s="6"/>
      <c r="U1740" s="8"/>
    </row>
    <row r="1741" spans="1:34" ht="13" customHeight="1">
      <c r="A1741" s="8" t="s">
        <v>8531</v>
      </c>
      <c r="B1741" s="16" t="s">
        <v>8532</v>
      </c>
      <c r="C1741" s="8" t="s">
        <v>20</v>
      </c>
      <c r="D1741" s="8" t="s">
        <v>85</v>
      </c>
      <c r="E1741" s="8" t="s">
        <v>8533</v>
      </c>
      <c r="F1741" s="17">
        <v>41837</v>
      </c>
      <c r="G1741" s="8" t="s">
        <v>8534</v>
      </c>
      <c r="H1741" s="8" t="s">
        <v>757</v>
      </c>
      <c r="I1741" s="8" t="s">
        <v>423</v>
      </c>
      <c r="J1741" s="16" t="s">
        <v>8535</v>
      </c>
      <c r="K1741" s="2" t="s">
        <v>757</v>
      </c>
      <c r="L1741" s="8" t="s">
        <v>582</v>
      </c>
      <c r="M1741" s="8" t="s">
        <v>8536</v>
      </c>
      <c r="N1741" s="2" t="s">
        <v>21447</v>
      </c>
      <c r="O1741" s="8" t="s">
        <v>550</v>
      </c>
      <c r="P1741" s="8" t="s">
        <v>401</v>
      </c>
      <c r="Q1741" s="12" t="s">
        <v>8537</v>
      </c>
      <c r="R1741" s="8" t="s">
        <v>100</v>
      </c>
      <c r="S1741" s="7" t="s">
        <v>18</v>
      </c>
      <c r="T1741" s="6"/>
      <c r="U1741" s="8"/>
    </row>
    <row r="1742" spans="1:34" ht="13" customHeight="1">
      <c r="A1742" s="8" t="s">
        <v>8526</v>
      </c>
      <c r="B1742" s="16">
        <v>36</v>
      </c>
      <c r="C1742" s="8" t="s">
        <v>20</v>
      </c>
      <c r="D1742" s="8" t="s">
        <v>85</v>
      </c>
      <c r="F1742" s="17">
        <v>41837</v>
      </c>
      <c r="G1742" s="8" t="s">
        <v>8527</v>
      </c>
      <c r="H1742" s="8" t="s">
        <v>248</v>
      </c>
      <c r="I1742" s="8" t="s">
        <v>45</v>
      </c>
      <c r="J1742" s="16" t="s">
        <v>8528</v>
      </c>
      <c r="K1742" s="2" t="s">
        <v>604</v>
      </c>
      <c r="L1742" s="8" t="s">
        <v>249</v>
      </c>
      <c r="M1742" s="8" t="s">
        <v>27</v>
      </c>
      <c r="N1742" s="2" t="s">
        <v>8529</v>
      </c>
      <c r="O1742" s="8" t="s">
        <v>1013</v>
      </c>
      <c r="P1742" s="8" t="s">
        <v>401</v>
      </c>
      <c r="Q1742" s="12" t="s">
        <v>8530</v>
      </c>
      <c r="R1742" s="8" t="s">
        <v>29</v>
      </c>
      <c r="S1742" s="7" t="s">
        <v>18</v>
      </c>
      <c r="T1742" s="6"/>
      <c r="U1742" s="8"/>
      <c r="Y1742" s="8"/>
      <c r="Z1742" s="8"/>
      <c r="AA1742" s="8"/>
      <c r="AB1742" s="8"/>
      <c r="AC1742" s="8"/>
      <c r="AD1742" s="8"/>
      <c r="AE1742" s="8"/>
      <c r="AF1742" s="8"/>
      <c r="AG1742" s="8"/>
      <c r="AH1742" s="8"/>
    </row>
    <row r="1743" spans="1:34" ht="13" customHeight="1">
      <c r="A1743" s="8" t="s">
        <v>8538</v>
      </c>
      <c r="B1743" s="16">
        <v>49</v>
      </c>
      <c r="C1743" s="8" t="s">
        <v>20</v>
      </c>
      <c r="D1743" s="8" t="s">
        <v>30</v>
      </c>
      <c r="F1743" s="17">
        <v>41837</v>
      </c>
      <c r="G1743" s="8" t="s">
        <v>8539</v>
      </c>
      <c r="H1743" s="8" t="s">
        <v>8540</v>
      </c>
      <c r="I1743" s="8" t="s">
        <v>73</v>
      </c>
      <c r="J1743" s="16" t="s">
        <v>8541</v>
      </c>
      <c r="K1743" s="2" t="s">
        <v>8542</v>
      </c>
      <c r="L1743" s="8" t="s">
        <v>8543</v>
      </c>
      <c r="M1743" s="8" t="s">
        <v>27</v>
      </c>
      <c r="N1743" s="2" t="s">
        <v>8544</v>
      </c>
      <c r="O1743" s="8" t="s">
        <v>400</v>
      </c>
      <c r="P1743" s="8" t="s">
        <v>401</v>
      </c>
      <c r="Q1743" s="12" t="s">
        <v>8545</v>
      </c>
      <c r="R1743" s="8" t="s">
        <v>555</v>
      </c>
      <c r="S1743" s="7" t="s">
        <v>28</v>
      </c>
      <c r="T1743" s="6"/>
      <c r="U1743" s="8"/>
    </row>
    <row r="1744" spans="1:34" ht="13" customHeight="1">
      <c r="A1744" s="8" t="s">
        <v>8546</v>
      </c>
      <c r="B1744" s="16">
        <v>71</v>
      </c>
      <c r="C1744" s="8" t="s">
        <v>20</v>
      </c>
      <c r="D1744" s="8" t="s">
        <v>37</v>
      </c>
      <c r="F1744" s="17">
        <v>41837</v>
      </c>
      <c r="G1744" s="8" t="s">
        <v>8547</v>
      </c>
      <c r="H1744" s="8" t="s">
        <v>5348</v>
      </c>
      <c r="I1744" s="8" t="s">
        <v>117</v>
      </c>
      <c r="J1744" s="16" t="s">
        <v>8548</v>
      </c>
      <c r="K1744" s="2" t="s">
        <v>941</v>
      </c>
      <c r="L1744" s="8" t="s">
        <v>8549</v>
      </c>
      <c r="M1744" s="8" t="s">
        <v>27</v>
      </c>
      <c r="N1744" s="2" t="s">
        <v>8550</v>
      </c>
      <c r="O1744" s="8" t="s">
        <v>1013</v>
      </c>
      <c r="P1744" s="8" t="s">
        <v>401</v>
      </c>
      <c r="Q1744" s="12" t="s">
        <v>8551</v>
      </c>
      <c r="R1744" s="8" t="s">
        <v>100</v>
      </c>
      <c r="S1744" s="7" t="s">
        <v>28</v>
      </c>
      <c r="T1744" s="6"/>
      <c r="U1744" s="8"/>
    </row>
    <row r="1745" spans="1:39" ht="13" customHeight="1">
      <c r="A1745" s="8" t="s">
        <v>8552</v>
      </c>
      <c r="B1745" s="16">
        <v>23</v>
      </c>
      <c r="C1745" s="8" t="s">
        <v>20</v>
      </c>
      <c r="D1745" s="8" t="s">
        <v>85</v>
      </c>
      <c r="F1745" s="17">
        <v>41836</v>
      </c>
      <c r="G1745" s="8" t="s">
        <v>8553</v>
      </c>
      <c r="H1745" s="8" t="s">
        <v>8554</v>
      </c>
      <c r="I1745" s="8" t="s">
        <v>57</v>
      </c>
      <c r="J1745" s="16" t="s">
        <v>8555</v>
      </c>
      <c r="K1745" s="2" t="s">
        <v>8556</v>
      </c>
      <c r="L1745" s="8" t="s">
        <v>8557</v>
      </c>
      <c r="M1745" s="8" t="s">
        <v>27</v>
      </c>
      <c r="N1745" s="2" t="s">
        <v>8558</v>
      </c>
      <c r="O1745" s="8" t="s">
        <v>1013</v>
      </c>
      <c r="P1745" s="8" t="s">
        <v>401</v>
      </c>
      <c r="Q1745" s="12" t="s">
        <v>8559</v>
      </c>
      <c r="R1745" s="8" t="s">
        <v>29</v>
      </c>
      <c r="S1745" s="7" t="s">
        <v>379</v>
      </c>
      <c r="T1745" s="6"/>
      <c r="U1745" s="8"/>
    </row>
    <row r="1746" spans="1:39" ht="13" customHeight="1">
      <c r="A1746" s="8" t="s">
        <v>8560</v>
      </c>
      <c r="B1746" s="16">
        <v>27</v>
      </c>
      <c r="C1746" s="8" t="s">
        <v>20</v>
      </c>
      <c r="D1746" s="8" t="s">
        <v>48</v>
      </c>
      <c r="E1746" s="8" t="s">
        <v>8561</v>
      </c>
      <c r="F1746" s="17">
        <v>41836</v>
      </c>
      <c r="G1746" s="8" t="s">
        <v>8562</v>
      </c>
      <c r="H1746" s="8" t="s">
        <v>1763</v>
      </c>
      <c r="I1746" s="8" t="s">
        <v>45</v>
      </c>
      <c r="J1746" s="16" t="s">
        <v>4649</v>
      </c>
      <c r="K1746" s="2" t="s">
        <v>1765</v>
      </c>
      <c r="L1746" s="8" t="s">
        <v>1766</v>
      </c>
      <c r="M1746" s="8" t="s">
        <v>27</v>
      </c>
      <c r="N1746" s="2" t="s">
        <v>8563</v>
      </c>
      <c r="O1746" s="8" t="s">
        <v>1013</v>
      </c>
      <c r="P1746" s="8" t="s">
        <v>401</v>
      </c>
      <c r="Q1746" s="12" t="s">
        <v>8564</v>
      </c>
      <c r="R1746" s="8" t="s">
        <v>100</v>
      </c>
      <c r="S1746" s="7" t="s">
        <v>28</v>
      </c>
      <c r="T1746" s="6"/>
      <c r="U1746" s="8"/>
    </row>
    <row r="1747" spans="1:39" ht="13" customHeight="1">
      <c r="A1747" s="8" t="s">
        <v>8565</v>
      </c>
      <c r="B1747" s="16">
        <v>30</v>
      </c>
      <c r="C1747" s="8" t="s">
        <v>20</v>
      </c>
      <c r="D1747" s="8" t="s">
        <v>48</v>
      </c>
      <c r="E1747" s="8" t="s">
        <v>8561</v>
      </c>
      <c r="F1747" s="17">
        <v>41836</v>
      </c>
      <c r="G1747" s="8" t="s">
        <v>8562</v>
      </c>
      <c r="H1747" s="8" t="s">
        <v>1763</v>
      </c>
      <c r="I1747" s="8" t="s">
        <v>45</v>
      </c>
      <c r="J1747" s="16" t="s">
        <v>4649</v>
      </c>
      <c r="K1747" s="2" t="s">
        <v>1765</v>
      </c>
      <c r="L1747" s="8" t="s">
        <v>1766</v>
      </c>
      <c r="M1747" s="8" t="s">
        <v>27</v>
      </c>
      <c r="N1747" s="2" t="s">
        <v>8563</v>
      </c>
      <c r="O1747" s="8" t="s">
        <v>1013</v>
      </c>
      <c r="P1747" s="8" t="s">
        <v>401</v>
      </c>
      <c r="Q1747" s="12" t="s">
        <v>8564</v>
      </c>
      <c r="R1747" s="8" t="s">
        <v>100</v>
      </c>
      <c r="S1747" s="7" t="s">
        <v>28</v>
      </c>
      <c r="T1747" s="6"/>
      <c r="U1747" s="8"/>
    </row>
    <row r="1748" spans="1:39" ht="13" customHeight="1">
      <c r="A1748" s="8" t="s">
        <v>8566</v>
      </c>
      <c r="B1748" s="16">
        <v>41</v>
      </c>
      <c r="C1748" s="8" t="s">
        <v>114</v>
      </c>
      <c r="D1748" s="8" t="s">
        <v>37</v>
      </c>
      <c r="E1748" s="8" t="s">
        <v>8567</v>
      </c>
      <c r="F1748" s="17">
        <v>41836</v>
      </c>
      <c r="G1748" s="8" t="s">
        <v>8568</v>
      </c>
      <c r="H1748" s="8" t="s">
        <v>1763</v>
      </c>
      <c r="I1748" s="8" t="s">
        <v>45</v>
      </c>
      <c r="J1748" s="16" t="s">
        <v>8569</v>
      </c>
      <c r="K1748" s="2" t="s">
        <v>1765</v>
      </c>
      <c r="L1748" s="8" t="s">
        <v>1766</v>
      </c>
      <c r="M1748" s="8" t="s">
        <v>27</v>
      </c>
      <c r="N1748" s="2" t="s">
        <v>8570</v>
      </c>
      <c r="O1748" s="8" t="s">
        <v>400</v>
      </c>
      <c r="P1748" s="8" t="s">
        <v>401</v>
      </c>
      <c r="Q1748" s="12" t="s">
        <v>8571</v>
      </c>
      <c r="R1748" s="8" t="s">
        <v>100</v>
      </c>
      <c r="S1748" s="7" t="s">
        <v>18</v>
      </c>
      <c r="T1748" s="6"/>
      <c r="U1748" s="8"/>
    </row>
    <row r="1749" spans="1:39" ht="13" customHeight="1">
      <c r="A1749" s="8" t="s">
        <v>8572</v>
      </c>
      <c r="B1749" s="16">
        <v>24</v>
      </c>
      <c r="C1749" s="8" t="s">
        <v>20</v>
      </c>
      <c r="D1749" s="8" t="s">
        <v>37</v>
      </c>
      <c r="E1749" s="8" t="s">
        <v>8573</v>
      </c>
      <c r="F1749" s="17">
        <v>41835</v>
      </c>
      <c r="G1749" s="8" t="s">
        <v>8574</v>
      </c>
      <c r="H1749" s="8" t="s">
        <v>8575</v>
      </c>
      <c r="I1749" s="8" t="s">
        <v>319</v>
      </c>
      <c r="J1749" s="16" t="s">
        <v>8576</v>
      </c>
      <c r="K1749" s="2" t="s">
        <v>1196</v>
      </c>
      <c r="L1749" s="8" t="s">
        <v>8577</v>
      </c>
      <c r="M1749" s="8" t="s">
        <v>27</v>
      </c>
      <c r="N1749" s="2" t="s">
        <v>8578</v>
      </c>
      <c r="O1749" s="8" t="s">
        <v>1013</v>
      </c>
      <c r="P1749" s="8" t="s">
        <v>401</v>
      </c>
      <c r="Q1749" s="12" t="s">
        <v>8579</v>
      </c>
      <c r="R1749" s="8" t="s">
        <v>555</v>
      </c>
      <c r="S1749" s="7" t="s">
        <v>28</v>
      </c>
      <c r="T1749" s="6"/>
      <c r="U1749" s="8"/>
    </row>
    <row r="1750" spans="1:39" ht="13" customHeight="1">
      <c r="A1750" s="8" t="s">
        <v>8580</v>
      </c>
      <c r="B1750" s="16">
        <v>47</v>
      </c>
      <c r="C1750" s="8" t="s">
        <v>20</v>
      </c>
      <c r="D1750" s="8" t="s">
        <v>85</v>
      </c>
      <c r="E1750" s="8" t="s">
        <v>8581</v>
      </c>
      <c r="F1750" s="17">
        <v>41834</v>
      </c>
      <c r="G1750" s="8" t="s">
        <v>8582</v>
      </c>
      <c r="H1750" s="8" t="s">
        <v>200</v>
      </c>
      <c r="I1750" s="8" t="s">
        <v>45</v>
      </c>
      <c r="J1750" s="16" t="s">
        <v>7131</v>
      </c>
      <c r="K1750" s="2" t="s">
        <v>200</v>
      </c>
      <c r="L1750" s="8" t="s">
        <v>201</v>
      </c>
      <c r="M1750" s="8" t="s">
        <v>27</v>
      </c>
      <c r="N1750" s="2" t="s">
        <v>8583</v>
      </c>
      <c r="O1750" s="8" t="s">
        <v>1013</v>
      </c>
      <c r="P1750" s="8" t="s">
        <v>401</v>
      </c>
      <c r="Q1750" s="12" t="s">
        <v>8584</v>
      </c>
      <c r="R1750" s="8" t="s">
        <v>29</v>
      </c>
      <c r="S1750" s="7" t="s">
        <v>28</v>
      </c>
      <c r="T1750" s="6"/>
      <c r="U1750" s="8"/>
    </row>
    <row r="1751" spans="1:39" ht="13" customHeight="1">
      <c r="A1751" s="8" t="s">
        <v>8594</v>
      </c>
      <c r="B1751" s="16">
        <v>34</v>
      </c>
      <c r="C1751" s="8" t="s">
        <v>20</v>
      </c>
      <c r="D1751" s="8" t="s">
        <v>37</v>
      </c>
      <c r="E1751" s="8" t="s">
        <v>8595</v>
      </c>
      <c r="F1751" s="17">
        <v>41834</v>
      </c>
      <c r="G1751" s="8" t="s">
        <v>8596</v>
      </c>
      <c r="H1751" s="8" t="s">
        <v>8597</v>
      </c>
      <c r="I1751" s="8" t="s">
        <v>73</v>
      </c>
      <c r="J1751" s="16" t="s">
        <v>8598</v>
      </c>
      <c r="K1751" s="2" t="s">
        <v>685</v>
      </c>
      <c r="L1751" s="8" t="s">
        <v>8599</v>
      </c>
      <c r="M1751" s="8" t="s">
        <v>27</v>
      </c>
      <c r="N1751" s="2" t="s">
        <v>8600</v>
      </c>
      <c r="O1751" s="8" t="s">
        <v>1013</v>
      </c>
      <c r="P1751" s="8" t="s">
        <v>401</v>
      </c>
      <c r="Q1751" s="12" t="s">
        <v>8601</v>
      </c>
      <c r="R1751" s="8" t="s">
        <v>100</v>
      </c>
      <c r="S1751" s="7" t="s">
        <v>28</v>
      </c>
      <c r="T1751" s="6"/>
      <c r="U1751" s="8"/>
      <c r="V1751" s="8"/>
      <c r="W1751" s="8"/>
      <c r="X1751" s="8"/>
    </row>
    <row r="1752" spans="1:39" ht="13" customHeight="1">
      <c r="A1752" s="8" t="s">
        <v>8585</v>
      </c>
      <c r="B1752" s="16">
        <v>46</v>
      </c>
      <c r="C1752" s="8" t="s">
        <v>20</v>
      </c>
      <c r="D1752" s="8" t="s">
        <v>37</v>
      </c>
      <c r="E1752" s="8" t="s">
        <v>8586</v>
      </c>
      <c r="F1752" s="17">
        <v>41834</v>
      </c>
      <c r="G1752" s="8" t="s">
        <v>8587</v>
      </c>
      <c r="H1752" s="8" t="s">
        <v>8588</v>
      </c>
      <c r="I1752" s="8" t="s">
        <v>57</v>
      </c>
      <c r="J1752" s="16" t="s">
        <v>8589</v>
      </c>
      <c r="K1752" s="2" t="s">
        <v>8590</v>
      </c>
      <c r="L1752" s="8" t="s">
        <v>8591</v>
      </c>
      <c r="M1752" s="8" t="s">
        <v>27</v>
      </c>
      <c r="N1752" s="2" t="s">
        <v>8592</v>
      </c>
      <c r="O1752" s="8" t="s">
        <v>550</v>
      </c>
      <c r="P1752" s="8" t="s">
        <v>401</v>
      </c>
      <c r="Q1752" s="12" t="s">
        <v>8593</v>
      </c>
      <c r="R1752" s="8" t="s">
        <v>2209</v>
      </c>
      <c r="S1752" s="7" t="s">
        <v>18</v>
      </c>
      <c r="T1752" s="6"/>
      <c r="U1752" s="8"/>
    </row>
    <row r="1753" spans="1:39" ht="13" customHeight="1">
      <c r="A1753" s="8" t="s">
        <v>8602</v>
      </c>
      <c r="B1753" s="16">
        <v>21</v>
      </c>
      <c r="C1753" s="8" t="s">
        <v>20</v>
      </c>
      <c r="D1753" s="8" t="s">
        <v>21</v>
      </c>
      <c r="E1753" s="8" t="s">
        <v>8603</v>
      </c>
      <c r="F1753" s="17">
        <v>41833</v>
      </c>
      <c r="G1753" s="8" t="s">
        <v>8604</v>
      </c>
      <c r="H1753" s="8" t="s">
        <v>156</v>
      </c>
      <c r="I1753" s="8" t="s">
        <v>45</v>
      </c>
      <c r="J1753" s="16" t="s">
        <v>8605</v>
      </c>
      <c r="K1753" s="2" t="s">
        <v>156</v>
      </c>
      <c r="L1753" s="8" t="s">
        <v>157</v>
      </c>
      <c r="M1753" s="8" t="s">
        <v>27</v>
      </c>
      <c r="N1753" s="2" t="s">
        <v>8606</v>
      </c>
      <c r="O1753" s="8" t="s">
        <v>1013</v>
      </c>
      <c r="P1753" s="8" t="s">
        <v>401</v>
      </c>
      <c r="Q1753" s="12" t="s">
        <v>8607</v>
      </c>
      <c r="R1753" s="8" t="s">
        <v>555</v>
      </c>
      <c r="S1753" s="7" t="s">
        <v>28</v>
      </c>
      <c r="T1753" s="6"/>
      <c r="U1753" s="8"/>
      <c r="AI1753" s="8"/>
      <c r="AJ1753" s="8"/>
      <c r="AK1753" s="8"/>
      <c r="AL1753" s="8"/>
      <c r="AM1753" s="8"/>
    </row>
    <row r="1754" spans="1:39" ht="13" customHeight="1">
      <c r="A1754" s="8" t="s">
        <v>8608</v>
      </c>
      <c r="B1754" s="16">
        <v>27</v>
      </c>
      <c r="C1754" s="8" t="s">
        <v>20</v>
      </c>
      <c r="D1754" s="8" t="s">
        <v>85</v>
      </c>
      <c r="E1754" s="8" t="s">
        <v>8609</v>
      </c>
      <c r="F1754" s="17">
        <v>41833</v>
      </c>
      <c r="G1754" s="8" t="s">
        <v>8610</v>
      </c>
      <c r="H1754" s="8" t="s">
        <v>8611</v>
      </c>
      <c r="I1754" s="8" t="s">
        <v>81</v>
      </c>
      <c r="J1754" s="16" t="s">
        <v>8612</v>
      </c>
      <c r="K1754" s="2" t="s">
        <v>2486</v>
      </c>
      <c r="L1754" s="8" t="s">
        <v>8613</v>
      </c>
      <c r="M1754" s="8" t="s">
        <v>27</v>
      </c>
      <c r="N1754" s="2" t="s">
        <v>8614</v>
      </c>
      <c r="O1754" s="8" t="s">
        <v>550</v>
      </c>
      <c r="P1754" s="8" t="s">
        <v>401</v>
      </c>
      <c r="Q1754" s="12" t="s">
        <v>8615</v>
      </c>
      <c r="R1754" s="8" t="s">
        <v>100</v>
      </c>
      <c r="S1754" s="7" t="s">
        <v>28</v>
      </c>
      <c r="T1754" s="6"/>
      <c r="U1754" s="8"/>
    </row>
    <row r="1755" spans="1:39" ht="13" customHeight="1">
      <c r="A1755" s="8" t="s">
        <v>8616</v>
      </c>
      <c r="B1755" s="16">
        <v>46</v>
      </c>
      <c r="C1755" s="8" t="s">
        <v>20</v>
      </c>
      <c r="D1755" s="8" t="s">
        <v>30</v>
      </c>
      <c r="F1755" s="17">
        <v>41833</v>
      </c>
      <c r="G1755" s="8" t="s">
        <v>8617</v>
      </c>
      <c r="H1755" s="8" t="s">
        <v>621</v>
      </c>
      <c r="I1755" s="8" t="s">
        <v>366</v>
      </c>
      <c r="J1755" s="16" t="s">
        <v>8618</v>
      </c>
      <c r="K1755" s="2" t="s">
        <v>1280</v>
      </c>
      <c r="L1755" s="8" t="s">
        <v>1486</v>
      </c>
      <c r="M1755" s="8" t="s">
        <v>27</v>
      </c>
      <c r="N1755" s="2" t="s">
        <v>8619</v>
      </c>
      <c r="O1755" s="8" t="s">
        <v>1013</v>
      </c>
      <c r="P1755" s="8" t="s">
        <v>401</v>
      </c>
      <c r="Q1755" s="12" t="str">
        <f>HYPERLINK("http://www.citizen-times.com/story/news/crime/2014/07/14/hendersonville-police-shoot-kill-suspect/12640863/","http://www.citizen-times.com/story/news/crime/2014/07/14/hendersonville-police-shoot-kill-suspect/12640863/")</f>
        <v>http://www.citizen-times.com/story/news/crime/2014/07/14/hendersonville-police-shoot-kill-suspect/12640863/</v>
      </c>
      <c r="R1755" s="8" t="s">
        <v>100</v>
      </c>
      <c r="S1755" s="7" t="s">
        <v>28</v>
      </c>
      <c r="T1755" s="6"/>
      <c r="U1755" s="8"/>
    </row>
    <row r="1756" spans="1:39" ht="13" customHeight="1">
      <c r="A1756" s="8" t="s">
        <v>8620</v>
      </c>
      <c r="B1756" s="16">
        <v>55</v>
      </c>
      <c r="C1756" s="8" t="s">
        <v>20</v>
      </c>
      <c r="D1756" s="8" t="s">
        <v>30</v>
      </c>
      <c r="F1756" s="17">
        <v>41833</v>
      </c>
      <c r="G1756" s="8" t="s">
        <v>8621</v>
      </c>
      <c r="H1756" s="8" t="s">
        <v>8622</v>
      </c>
      <c r="I1756" s="8" t="s">
        <v>1086</v>
      </c>
      <c r="J1756" s="16" t="s">
        <v>8623</v>
      </c>
      <c r="K1756" s="2" t="s">
        <v>8624</v>
      </c>
      <c r="L1756" s="8" t="s">
        <v>8625</v>
      </c>
      <c r="M1756" s="8" t="s">
        <v>27</v>
      </c>
      <c r="N1756" s="2" t="s">
        <v>8626</v>
      </c>
      <c r="O1756" s="8" t="s">
        <v>1013</v>
      </c>
      <c r="P1756" s="8" t="s">
        <v>401</v>
      </c>
      <c r="Q1756" s="12" t="s">
        <v>8627</v>
      </c>
      <c r="R1756" s="8" t="s">
        <v>29</v>
      </c>
      <c r="S1756" s="7" t="s">
        <v>28</v>
      </c>
      <c r="T1756" s="6"/>
      <c r="U1756" s="8"/>
    </row>
    <row r="1757" spans="1:39" ht="13" customHeight="1">
      <c r="A1757" s="8" t="s">
        <v>8635</v>
      </c>
      <c r="B1757" s="16">
        <v>26</v>
      </c>
      <c r="C1757" s="8" t="s">
        <v>20</v>
      </c>
      <c r="D1757" s="8" t="s">
        <v>37</v>
      </c>
      <c r="E1757" s="8" t="s">
        <v>8636</v>
      </c>
      <c r="F1757" s="17">
        <v>41833</v>
      </c>
      <c r="G1757" s="8" t="s">
        <v>8637</v>
      </c>
      <c r="H1757" s="8" t="s">
        <v>8638</v>
      </c>
      <c r="I1757" s="8" t="s">
        <v>123</v>
      </c>
      <c r="J1757" s="16" t="s">
        <v>8639</v>
      </c>
      <c r="K1757" s="2" t="s">
        <v>635</v>
      </c>
      <c r="L1757" s="8" t="s">
        <v>1896</v>
      </c>
      <c r="M1757" s="8" t="s">
        <v>27</v>
      </c>
      <c r="N1757" s="2" t="s">
        <v>8640</v>
      </c>
      <c r="O1757" s="8" t="s">
        <v>550</v>
      </c>
      <c r="P1757" s="8" t="s">
        <v>401</v>
      </c>
      <c r="Q1757" s="12" t="s">
        <v>8641</v>
      </c>
      <c r="R1757" s="8" t="s">
        <v>555</v>
      </c>
      <c r="S1757" s="7" t="s">
        <v>18</v>
      </c>
      <c r="T1757" s="6"/>
      <c r="U1757" s="8"/>
    </row>
    <row r="1758" spans="1:39" ht="13" customHeight="1">
      <c r="A1758" s="8" t="s">
        <v>8628</v>
      </c>
      <c r="B1758" s="16">
        <v>51</v>
      </c>
      <c r="C1758" s="8" t="s">
        <v>20</v>
      </c>
      <c r="D1758" s="8" t="s">
        <v>37</v>
      </c>
      <c r="F1758" s="17">
        <v>41833</v>
      </c>
      <c r="G1758" s="8" t="s">
        <v>8629</v>
      </c>
      <c r="H1758" s="8" t="s">
        <v>8630</v>
      </c>
      <c r="I1758" s="8" t="s">
        <v>366</v>
      </c>
      <c r="J1758" s="16">
        <v>28429</v>
      </c>
      <c r="K1758" s="2" t="s">
        <v>8631</v>
      </c>
      <c r="L1758" s="8" t="s">
        <v>8632</v>
      </c>
      <c r="M1758" s="8" t="s">
        <v>29</v>
      </c>
      <c r="N1758" s="2" t="s">
        <v>8633</v>
      </c>
      <c r="P1758" s="8" t="s">
        <v>401</v>
      </c>
      <c r="Q1758" s="12" t="s">
        <v>8634</v>
      </c>
      <c r="S1758" s="7" t="s">
        <v>28</v>
      </c>
      <c r="T1758" s="6"/>
      <c r="U1758" s="8"/>
    </row>
    <row r="1759" spans="1:39" ht="13" customHeight="1">
      <c r="A1759" s="8" t="s">
        <v>8658</v>
      </c>
      <c r="B1759" s="16">
        <v>33</v>
      </c>
      <c r="C1759" s="8" t="s">
        <v>20</v>
      </c>
      <c r="D1759" s="8" t="s">
        <v>37</v>
      </c>
      <c r="E1759" s="8" t="s">
        <v>8659</v>
      </c>
      <c r="F1759" s="17">
        <v>41832</v>
      </c>
      <c r="G1759" s="8" t="s">
        <v>8660</v>
      </c>
      <c r="H1759" s="8" t="s">
        <v>8661</v>
      </c>
      <c r="I1759" s="8" t="s">
        <v>25</v>
      </c>
      <c r="J1759" s="16" t="s">
        <v>8662</v>
      </c>
      <c r="K1759" s="2" t="s">
        <v>8663</v>
      </c>
      <c r="L1759" s="8" t="s">
        <v>8664</v>
      </c>
      <c r="M1759" s="8" t="s">
        <v>27</v>
      </c>
      <c r="N1759" s="2" t="s">
        <v>8665</v>
      </c>
      <c r="O1759" s="8" t="s">
        <v>1013</v>
      </c>
      <c r="P1759" s="8" t="s">
        <v>401</v>
      </c>
      <c r="Q1759" s="12" t="s">
        <v>8666</v>
      </c>
      <c r="R1759" s="8" t="s">
        <v>100</v>
      </c>
      <c r="S1759" s="7" t="s">
        <v>28</v>
      </c>
      <c r="T1759" s="6"/>
      <c r="U1759" s="8"/>
    </row>
    <row r="1760" spans="1:39" ht="13" customHeight="1">
      <c r="A1760" s="8" t="s">
        <v>8642</v>
      </c>
      <c r="B1760" s="16">
        <v>36</v>
      </c>
      <c r="C1760" s="8" t="s">
        <v>114</v>
      </c>
      <c r="D1760" s="8" t="s">
        <v>37</v>
      </c>
      <c r="E1760" s="8" t="s">
        <v>8643</v>
      </c>
      <c r="F1760" s="17">
        <v>41832</v>
      </c>
      <c r="G1760" s="8" t="s">
        <v>8644</v>
      </c>
      <c r="H1760" s="8" t="s">
        <v>8645</v>
      </c>
      <c r="I1760" s="8" t="s">
        <v>32</v>
      </c>
      <c r="J1760" s="16" t="s">
        <v>8646</v>
      </c>
      <c r="K1760" s="2" t="s">
        <v>8647</v>
      </c>
      <c r="L1760" s="8" t="s">
        <v>8648</v>
      </c>
      <c r="M1760" s="8" t="s">
        <v>27</v>
      </c>
      <c r="N1760" s="2" t="s">
        <v>8649</v>
      </c>
      <c r="O1760" s="8" t="s">
        <v>1013</v>
      </c>
      <c r="P1760" s="8" t="s">
        <v>401</v>
      </c>
      <c r="Q1760" s="12" t="s">
        <v>8650</v>
      </c>
      <c r="R1760" s="8" t="s">
        <v>29</v>
      </c>
      <c r="S1760" s="7" t="s">
        <v>28</v>
      </c>
      <c r="T1760" s="6"/>
      <c r="U1760" s="8"/>
    </row>
    <row r="1761" spans="1:21" ht="13" customHeight="1">
      <c r="A1761" s="8" t="s">
        <v>8651</v>
      </c>
      <c r="B1761" s="16">
        <v>54</v>
      </c>
      <c r="C1761" s="8" t="s">
        <v>20</v>
      </c>
      <c r="D1761" s="8" t="s">
        <v>37</v>
      </c>
      <c r="F1761" s="17">
        <v>41832</v>
      </c>
      <c r="G1761" s="8" t="s">
        <v>8652</v>
      </c>
      <c r="H1761" s="8" t="s">
        <v>8653</v>
      </c>
      <c r="I1761" s="8" t="s">
        <v>62</v>
      </c>
      <c r="J1761" s="16" t="s">
        <v>8654</v>
      </c>
      <c r="K1761" s="2" t="s">
        <v>1259</v>
      </c>
      <c r="L1761" s="8" t="s">
        <v>8655</v>
      </c>
      <c r="M1761" s="8" t="s">
        <v>27</v>
      </c>
      <c r="N1761" s="2" t="s">
        <v>8656</v>
      </c>
      <c r="O1761" s="8" t="s">
        <v>1013</v>
      </c>
      <c r="P1761" s="8" t="s">
        <v>401</v>
      </c>
      <c r="Q1761" s="12" t="s">
        <v>8657</v>
      </c>
      <c r="R1761" s="8" t="s">
        <v>555</v>
      </c>
      <c r="S1761" s="7" t="s">
        <v>28</v>
      </c>
      <c r="T1761" s="6"/>
      <c r="U1761" s="8"/>
    </row>
    <row r="1762" spans="1:21" ht="13" customHeight="1">
      <c r="A1762" s="8" t="s">
        <v>8667</v>
      </c>
      <c r="B1762" s="16">
        <v>42</v>
      </c>
      <c r="C1762" s="8" t="s">
        <v>20</v>
      </c>
      <c r="D1762" s="8" t="s">
        <v>139</v>
      </c>
      <c r="E1762" s="8" t="s">
        <v>8668</v>
      </c>
      <c r="F1762" s="17">
        <v>41831</v>
      </c>
      <c r="G1762" s="8" t="s">
        <v>8669</v>
      </c>
      <c r="H1762" s="8" t="s">
        <v>8670</v>
      </c>
      <c r="I1762" s="8" t="s">
        <v>303</v>
      </c>
      <c r="J1762" s="16" t="s">
        <v>8671</v>
      </c>
      <c r="K1762" s="2" t="s">
        <v>6288</v>
      </c>
      <c r="L1762" s="8" t="s">
        <v>8672</v>
      </c>
      <c r="M1762" s="8" t="s">
        <v>27</v>
      </c>
      <c r="N1762" s="2" t="s">
        <v>8673</v>
      </c>
      <c r="O1762" s="8" t="s">
        <v>4714</v>
      </c>
      <c r="P1762" s="8" t="s">
        <v>401</v>
      </c>
      <c r="Q1762" s="12" t="s">
        <v>8674</v>
      </c>
      <c r="R1762" s="8" t="s">
        <v>100</v>
      </c>
      <c r="S1762" s="7" t="s">
        <v>28</v>
      </c>
      <c r="T1762" s="6"/>
      <c r="U1762" s="8"/>
    </row>
    <row r="1763" spans="1:21" ht="13" customHeight="1">
      <c r="A1763" s="8" t="s">
        <v>8675</v>
      </c>
      <c r="B1763" s="16">
        <v>41</v>
      </c>
      <c r="C1763" s="8" t="s">
        <v>20</v>
      </c>
      <c r="D1763" s="8" t="s">
        <v>37</v>
      </c>
      <c r="E1763" s="8" t="s">
        <v>8676</v>
      </c>
      <c r="F1763" s="17">
        <v>41831</v>
      </c>
      <c r="G1763" s="8" t="s">
        <v>8677</v>
      </c>
      <c r="H1763" s="8" t="s">
        <v>8678</v>
      </c>
      <c r="I1763" s="8" t="s">
        <v>73</v>
      </c>
      <c r="J1763" s="16" t="s">
        <v>8679</v>
      </c>
      <c r="K1763" s="2" t="s">
        <v>1064</v>
      </c>
      <c r="L1763" s="8" t="s">
        <v>8680</v>
      </c>
      <c r="M1763" s="8" t="s">
        <v>27</v>
      </c>
      <c r="N1763" s="2" t="s">
        <v>8681</v>
      </c>
      <c r="O1763" s="8" t="s">
        <v>550</v>
      </c>
      <c r="P1763" s="8" t="s">
        <v>401</v>
      </c>
      <c r="Q1763" s="12" t="str">
        <f>HYPERLINK("http://www.12newsnow.com/story/26796642/vidor-officers-cleared-by-grand-jury-will-return-to-work-friday","http://www.12newsnow.com/story/26796642/vidor-officers-cleared-by-grand-jury-will-return-to-work-friday")</f>
        <v>http://www.12newsnow.com/story/26796642/vidor-officers-cleared-by-grand-jury-will-return-to-work-friday</v>
      </c>
      <c r="R1763" s="8" t="s">
        <v>29</v>
      </c>
      <c r="S1763" s="7" t="s">
        <v>28</v>
      </c>
      <c r="T1763" s="6"/>
      <c r="U1763" s="8"/>
    </row>
    <row r="1764" spans="1:21" ht="13" customHeight="1">
      <c r="A1764" s="8" t="s">
        <v>8682</v>
      </c>
      <c r="B1764" s="16">
        <v>67</v>
      </c>
      <c r="C1764" s="8" t="s">
        <v>20</v>
      </c>
      <c r="D1764" s="8" t="s">
        <v>37</v>
      </c>
      <c r="F1764" s="17">
        <v>41831</v>
      </c>
      <c r="G1764" s="8" t="s">
        <v>8683</v>
      </c>
      <c r="H1764" s="8" t="s">
        <v>8684</v>
      </c>
      <c r="I1764" s="8" t="s">
        <v>315</v>
      </c>
      <c r="J1764" s="16" t="s">
        <v>8685</v>
      </c>
      <c r="K1764" s="2" t="s">
        <v>8686</v>
      </c>
      <c r="L1764" s="8" t="s">
        <v>8687</v>
      </c>
      <c r="M1764" s="8" t="s">
        <v>27</v>
      </c>
      <c r="N1764" s="2" t="s">
        <v>8688</v>
      </c>
      <c r="O1764" s="8" t="s">
        <v>550</v>
      </c>
      <c r="P1764" s="8" t="s">
        <v>401</v>
      </c>
      <c r="Q1764" s="12" t="s">
        <v>8689</v>
      </c>
      <c r="R1764" s="8" t="s">
        <v>100</v>
      </c>
      <c r="S1764" s="7" t="s">
        <v>28</v>
      </c>
      <c r="T1764" s="6"/>
      <c r="U1764" s="8"/>
    </row>
    <row r="1765" spans="1:21" ht="13" customHeight="1">
      <c r="A1765" s="8" t="s">
        <v>8690</v>
      </c>
      <c r="B1765" s="16">
        <v>37</v>
      </c>
      <c r="C1765" s="8" t="s">
        <v>20</v>
      </c>
      <c r="D1765" s="8" t="s">
        <v>85</v>
      </c>
      <c r="E1765" s="8" t="s">
        <v>8691</v>
      </c>
      <c r="F1765" s="17">
        <v>41830</v>
      </c>
      <c r="G1765" s="8" t="s">
        <v>8692</v>
      </c>
      <c r="H1765" s="8" t="s">
        <v>1290</v>
      </c>
      <c r="I1765" s="8" t="s">
        <v>69</v>
      </c>
      <c r="J1765" s="16" t="s">
        <v>8693</v>
      </c>
      <c r="K1765" s="2" t="s">
        <v>1291</v>
      </c>
      <c r="L1765" s="8" t="s">
        <v>12628</v>
      </c>
      <c r="M1765" s="8" t="s">
        <v>27</v>
      </c>
      <c r="N1765" s="2" t="s">
        <v>8694</v>
      </c>
      <c r="O1765" s="8" t="s">
        <v>4714</v>
      </c>
      <c r="P1765" s="8" t="s">
        <v>401</v>
      </c>
      <c r="Q1765" s="12" t="str">
        <f>HYPERLINK("http://www.10tv.com/content/stories/2014/07/10/columbus-ohio-probation-officer-among-2-people-shot-in-southeast-columbus.html","http://www.10tv.com/content/stories/2014/07/10/columbus-ohio-probation-officer-among-2-people-shot-in-southeast-columbus.html")</f>
        <v>http://www.10tv.com/content/stories/2014/07/10/columbus-ohio-probation-officer-among-2-people-shot-in-southeast-columbus.html</v>
      </c>
      <c r="R1765" s="8" t="s">
        <v>555</v>
      </c>
      <c r="S1765" s="7" t="s">
        <v>35</v>
      </c>
      <c r="T1765" s="6"/>
      <c r="U1765" s="8"/>
    </row>
    <row r="1766" spans="1:21" ht="13" customHeight="1">
      <c r="A1766" s="8" t="s">
        <v>8695</v>
      </c>
      <c r="B1766" s="16">
        <v>40</v>
      </c>
      <c r="C1766" s="8" t="s">
        <v>20</v>
      </c>
      <c r="D1766" s="8" t="s">
        <v>48</v>
      </c>
      <c r="E1766" s="8" t="s">
        <v>8696</v>
      </c>
      <c r="F1766" s="17">
        <v>41830</v>
      </c>
      <c r="G1766" s="8" t="s">
        <v>8697</v>
      </c>
      <c r="H1766" s="8" t="s">
        <v>6383</v>
      </c>
      <c r="I1766" s="8" t="s">
        <v>45</v>
      </c>
      <c r="J1766" s="16" t="s">
        <v>6384</v>
      </c>
      <c r="K1766" s="2" t="s">
        <v>65</v>
      </c>
      <c r="L1766" s="8" t="s">
        <v>6385</v>
      </c>
      <c r="M1766" s="8" t="s">
        <v>27</v>
      </c>
      <c r="N1766" s="2" t="s">
        <v>8698</v>
      </c>
      <c r="O1766" s="8" t="s">
        <v>4714</v>
      </c>
      <c r="P1766" s="8" t="s">
        <v>401</v>
      </c>
      <c r="Q1766" s="12" t="s">
        <v>8699</v>
      </c>
      <c r="R1766" s="8" t="s">
        <v>100</v>
      </c>
      <c r="S1766" s="7" t="s">
        <v>18</v>
      </c>
      <c r="T1766" s="6"/>
      <c r="U1766" s="8"/>
    </row>
    <row r="1767" spans="1:21" ht="13" customHeight="1">
      <c r="A1767" s="8" t="s">
        <v>8700</v>
      </c>
      <c r="B1767" s="16">
        <v>27</v>
      </c>
      <c r="C1767" s="8" t="s">
        <v>20</v>
      </c>
      <c r="D1767" s="8" t="s">
        <v>37</v>
      </c>
      <c r="E1767" s="8" t="s">
        <v>8701</v>
      </c>
      <c r="F1767" s="17">
        <v>41830</v>
      </c>
      <c r="G1767" s="8" t="s">
        <v>8702</v>
      </c>
      <c r="H1767" s="8" t="s">
        <v>8703</v>
      </c>
      <c r="I1767" s="8" t="s">
        <v>303</v>
      </c>
      <c r="J1767" s="16" t="s">
        <v>8704</v>
      </c>
      <c r="K1767" s="2" t="s">
        <v>2155</v>
      </c>
      <c r="L1767" s="8" t="s">
        <v>2157</v>
      </c>
      <c r="M1767" s="8" t="s">
        <v>27</v>
      </c>
      <c r="N1767" s="2" t="s">
        <v>21460</v>
      </c>
      <c r="O1767" s="8" t="s">
        <v>1013</v>
      </c>
      <c r="P1767" s="8" t="s">
        <v>401</v>
      </c>
      <c r="Q1767" s="12" t="s">
        <v>8705</v>
      </c>
      <c r="R1767" s="8" t="s">
        <v>555</v>
      </c>
      <c r="S1767" s="7" t="s">
        <v>28</v>
      </c>
      <c r="T1767" s="6"/>
      <c r="U1767" s="8"/>
    </row>
    <row r="1768" spans="1:21" ht="13" customHeight="1">
      <c r="A1768" s="8" t="s">
        <v>8706</v>
      </c>
      <c r="B1768" s="16">
        <v>53</v>
      </c>
      <c r="C1768" s="8" t="s">
        <v>20</v>
      </c>
      <c r="D1768" s="8" t="s">
        <v>85</v>
      </c>
      <c r="E1768" s="8" t="s">
        <v>8707</v>
      </c>
      <c r="F1768" s="17">
        <v>41829</v>
      </c>
      <c r="G1768" s="8" t="s">
        <v>8708</v>
      </c>
      <c r="H1768" s="8" t="s">
        <v>8709</v>
      </c>
      <c r="I1768" s="8" t="s">
        <v>73</v>
      </c>
      <c r="J1768" s="16" t="s">
        <v>8710</v>
      </c>
      <c r="K1768" s="2" t="s">
        <v>558</v>
      </c>
      <c r="L1768" s="8" t="s">
        <v>8711</v>
      </c>
      <c r="M1768" s="8" t="s">
        <v>27</v>
      </c>
      <c r="N1768" s="2" t="s">
        <v>8712</v>
      </c>
      <c r="O1768" s="8" t="s">
        <v>4714</v>
      </c>
      <c r="P1768" s="8" t="s">
        <v>401</v>
      </c>
      <c r="Q1768" s="12" t="s">
        <v>8713</v>
      </c>
      <c r="R1768" s="8" t="s">
        <v>100</v>
      </c>
      <c r="S1768" s="7" t="s">
        <v>18</v>
      </c>
      <c r="T1768" s="6"/>
      <c r="U1768" s="8"/>
    </row>
    <row r="1769" spans="1:21" ht="13" customHeight="1">
      <c r="A1769" s="8" t="s">
        <v>8736</v>
      </c>
      <c r="B1769" s="16">
        <v>26</v>
      </c>
      <c r="C1769" s="8" t="s">
        <v>20</v>
      </c>
      <c r="D1769" s="8" t="s">
        <v>37</v>
      </c>
      <c r="E1769" s="8" t="s">
        <v>8737</v>
      </c>
      <c r="F1769" s="17">
        <v>41829</v>
      </c>
      <c r="G1769" s="8" t="s">
        <v>8738</v>
      </c>
      <c r="H1769" s="8" t="s">
        <v>8739</v>
      </c>
      <c r="I1769" s="8" t="s">
        <v>73</v>
      </c>
      <c r="J1769" s="16" t="s">
        <v>8740</v>
      </c>
      <c r="K1769" s="2" t="s">
        <v>1390</v>
      </c>
      <c r="L1769" s="8" t="s">
        <v>8741</v>
      </c>
      <c r="M1769" s="8" t="s">
        <v>27</v>
      </c>
      <c r="N1769" s="2" t="s">
        <v>8742</v>
      </c>
      <c r="O1769" s="8" t="s">
        <v>1013</v>
      </c>
      <c r="P1769" s="8" t="s">
        <v>401</v>
      </c>
      <c r="Q1769" s="12" t="s">
        <v>8743</v>
      </c>
      <c r="R1769" s="8" t="s">
        <v>100</v>
      </c>
      <c r="S1769" s="7" t="s">
        <v>28</v>
      </c>
      <c r="T1769" s="6"/>
      <c r="U1769" s="8"/>
    </row>
    <row r="1770" spans="1:21" ht="13" customHeight="1">
      <c r="A1770" s="8" t="s">
        <v>8728</v>
      </c>
      <c r="B1770" s="16">
        <v>37</v>
      </c>
      <c r="C1770" s="8" t="s">
        <v>20</v>
      </c>
      <c r="D1770" s="8" t="s">
        <v>37</v>
      </c>
      <c r="E1770" s="8" t="s">
        <v>8729</v>
      </c>
      <c r="F1770" s="17">
        <v>41829</v>
      </c>
      <c r="G1770" s="8" t="s">
        <v>8730</v>
      </c>
      <c r="H1770" s="8" t="s">
        <v>8731</v>
      </c>
      <c r="I1770" s="8" t="s">
        <v>62</v>
      </c>
      <c r="J1770" s="16" t="s">
        <v>8732</v>
      </c>
      <c r="K1770" s="2" t="s">
        <v>5575</v>
      </c>
      <c r="L1770" s="8" t="s">
        <v>8733</v>
      </c>
      <c r="M1770" s="8" t="s">
        <v>27</v>
      </c>
      <c r="N1770" s="2" t="s">
        <v>8734</v>
      </c>
      <c r="O1770" s="8" t="s">
        <v>3400</v>
      </c>
      <c r="P1770" s="8" t="s">
        <v>401</v>
      </c>
      <c r="Q1770" s="12" t="s">
        <v>8735</v>
      </c>
      <c r="R1770" s="8" t="s">
        <v>100</v>
      </c>
      <c r="S1770" s="7" t="s">
        <v>28</v>
      </c>
      <c r="T1770" s="6"/>
      <c r="U1770" s="8"/>
    </row>
    <row r="1771" spans="1:21" ht="13" customHeight="1">
      <c r="A1771" s="8" t="s">
        <v>8720</v>
      </c>
      <c r="B1771" s="16">
        <v>45</v>
      </c>
      <c r="C1771" s="8" t="s">
        <v>20</v>
      </c>
      <c r="D1771" s="8" t="s">
        <v>37</v>
      </c>
      <c r="E1771" s="8" t="s">
        <v>8721</v>
      </c>
      <c r="F1771" s="17">
        <v>41829</v>
      </c>
      <c r="G1771" s="8" t="s">
        <v>8722</v>
      </c>
      <c r="H1771" s="8" t="s">
        <v>8723</v>
      </c>
      <c r="I1771" s="8" t="s">
        <v>44</v>
      </c>
      <c r="J1771" s="16" t="s">
        <v>8724</v>
      </c>
      <c r="K1771" s="2" t="s">
        <v>2165</v>
      </c>
      <c r="L1771" s="8" t="s">
        <v>8725</v>
      </c>
      <c r="M1771" s="8" t="s">
        <v>27</v>
      </c>
      <c r="N1771" s="2" t="s">
        <v>8726</v>
      </c>
      <c r="O1771" s="8" t="s">
        <v>1013</v>
      </c>
      <c r="P1771" s="8" t="s">
        <v>401</v>
      </c>
      <c r="Q1771" s="12" t="s">
        <v>8727</v>
      </c>
      <c r="R1771" s="8" t="s">
        <v>29</v>
      </c>
      <c r="S1771" s="7" t="s">
        <v>28</v>
      </c>
      <c r="T1771" s="6"/>
      <c r="U1771" s="8"/>
    </row>
    <row r="1772" spans="1:21" ht="13" customHeight="1">
      <c r="A1772" s="8" t="s">
        <v>8714</v>
      </c>
      <c r="B1772" s="16">
        <v>49</v>
      </c>
      <c r="C1772" s="8" t="s">
        <v>20</v>
      </c>
      <c r="D1772" s="8" t="s">
        <v>37</v>
      </c>
      <c r="E1772" s="8" t="s">
        <v>8715</v>
      </c>
      <c r="F1772" s="17">
        <v>41829</v>
      </c>
      <c r="G1772" s="8" t="s">
        <v>8716</v>
      </c>
      <c r="H1772" s="8" t="s">
        <v>4381</v>
      </c>
      <c r="I1772" s="8" t="s">
        <v>303</v>
      </c>
      <c r="J1772" s="16" t="s">
        <v>4382</v>
      </c>
      <c r="K1772" s="2" t="s">
        <v>1291</v>
      </c>
      <c r="L1772" s="8" t="s">
        <v>8717</v>
      </c>
      <c r="M1772" s="8" t="s">
        <v>27</v>
      </c>
      <c r="N1772" s="2" t="s">
        <v>8718</v>
      </c>
      <c r="O1772" s="8" t="s">
        <v>1013</v>
      </c>
      <c r="P1772" s="8" t="s">
        <v>401</v>
      </c>
      <c r="Q1772" s="12" t="s">
        <v>8719</v>
      </c>
      <c r="R1772" s="8" t="s">
        <v>555</v>
      </c>
      <c r="S1772" s="7" t="s">
        <v>28</v>
      </c>
      <c r="T1772" s="6"/>
      <c r="U1772" s="8"/>
    </row>
    <row r="1773" spans="1:21" ht="13" customHeight="1">
      <c r="A1773" s="8" t="s">
        <v>8744</v>
      </c>
      <c r="B1773" s="16">
        <v>30</v>
      </c>
      <c r="C1773" s="8" t="s">
        <v>20</v>
      </c>
      <c r="D1773" s="8" t="s">
        <v>48</v>
      </c>
      <c r="E1773" s="8" t="s">
        <v>8745</v>
      </c>
      <c r="F1773" s="17">
        <v>41828</v>
      </c>
      <c r="G1773" s="8" t="s">
        <v>8746</v>
      </c>
      <c r="H1773" s="8" t="s">
        <v>575</v>
      </c>
      <c r="I1773" s="8" t="s">
        <v>73</v>
      </c>
      <c r="J1773" s="16" t="s">
        <v>8747</v>
      </c>
      <c r="K1773" s="2" t="s">
        <v>576</v>
      </c>
      <c r="L1773" s="8" t="s">
        <v>577</v>
      </c>
      <c r="M1773" s="8" t="s">
        <v>14474</v>
      </c>
      <c r="N1773" s="2" t="s">
        <v>8748</v>
      </c>
      <c r="O1773" s="8" t="s">
        <v>4714</v>
      </c>
      <c r="P1773" s="8" t="s">
        <v>401</v>
      </c>
      <c r="Q1773" s="12" t="s">
        <v>8749</v>
      </c>
      <c r="R1773" s="8" t="s">
        <v>100</v>
      </c>
      <c r="S1773" s="7" t="s">
        <v>18</v>
      </c>
      <c r="T1773" s="6"/>
      <c r="U1773" s="8"/>
    </row>
    <row r="1774" spans="1:21" ht="13" customHeight="1">
      <c r="A1774" s="8" t="s">
        <v>8750</v>
      </c>
      <c r="B1774" s="16">
        <v>35</v>
      </c>
      <c r="C1774" s="8" t="s">
        <v>114</v>
      </c>
      <c r="D1774" s="8" t="s">
        <v>139</v>
      </c>
      <c r="E1774" s="8" t="s">
        <v>8751</v>
      </c>
      <c r="F1774" s="17">
        <v>41828</v>
      </c>
      <c r="G1774" s="8" t="s">
        <v>8752</v>
      </c>
      <c r="H1774" s="8" t="s">
        <v>792</v>
      </c>
      <c r="I1774" s="8" t="s">
        <v>793</v>
      </c>
      <c r="J1774" s="16" t="s">
        <v>8753</v>
      </c>
      <c r="K1774" s="2" t="s">
        <v>794</v>
      </c>
      <c r="L1774" s="8" t="s">
        <v>8754</v>
      </c>
      <c r="M1774" s="8" t="s">
        <v>27</v>
      </c>
      <c r="N1774" s="2" t="s">
        <v>8755</v>
      </c>
      <c r="O1774" s="8" t="s">
        <v>550</v>
      </c>
      <c r="P1774" s="8" t="s">
        <v>401</v>
      </c>
      <c r="Q1774" s="12" t="s">
        <v>8756</v>
      </c>
      <c r="R1774" s="8" t="s">
        <v>29</v>
      </c>
      <c r="S1774" s="7" t="s">
        <v>28</v>
      </c>
      <c r="T1774" s="6"/>
      <c r="U1774" s="8"/>
    </row>
    <row r="1775" spans="1:21" ht="13" customHeight="1">
      <c r="A1775" s="8" t="s">
        <v>8757</v>
      </c>
      <c r="B1775" s="16">
        <v>36</v>
      </c>
      <c r="C1775" s="8" t="s">
        <v>20</v>
      </c>
      <c r="D1775" s="8" t="s">
        <v>37</v>
      </c>
      <c r="F1775" s="17">
        <v>41827</v>
      </c>
      <c r="G1775" s="8" t="s">
        <v>8758</v>
      </c>
      <c r="H1775" s="8" t="s">
        <v>8759</v>
      </c>
      <c r="I1775" s="8" t="s">
        <v>117</v>
      </c>
      <c r="J1775" s="16" t="s">
        <v>8760</v>
      </c>
      <c r="K1775" s="2" t="s">
        <v>4284</v>
      </c>
      <c r="L1775" s="8" t="s">
        <v>4285</v>
      </c>
      <c r="M1775" s="8" t="s">
        <v>27</v>
      </c>
      <c r="N1775" s="2" t="s">
        <v>8761</v>
      </c>
      <c r="O1775" s="8" t="s">
        <v>1013</v>
      </c>
      <c r="P1775" s="8" t="s">
        <v>401</v>
      </c>
      <c r="Q1775" s="12" t="s">
        <v>8762</v>
      </c>
      <c r="R1775" s="8" t="s">
        <v>100</v>
      </c>
      <c r="S1775" s="7" t="s">
        <v>28</v>
      </c>
      <c r="T1775" s="6"/>
      <c r="U1775" s="8"/>
    </row>
    <row r="1776" spans="1:21" ht="13" customHeight="1">
      <c r="A1776" s="8" t="s">
        <v>8763</v>
      </c>
      <c r="B1776" s="16">
        <v>29</v>
      </c>
      <c r="C1776" s="8" t="s">
        <v>20</v>
      </c>
      <c r="D1776" s="8" t="s">
        <v>30</v>
      </c>
      <c r="F1776" s="17">
        <v>41826</v>
      </c>
      <c r="G1776" s="8" t="s">
        <v>8764</v>
      </c>
      <c r="H1776" s="8" t="s">
        <v>8765</v>
      </c>
      <c r="I1776" s="8" t="s">
        <v>45</v>
      </c>
      <c r="J1776" s="16" t="s">
        <v>8766</v>
      </c>
      <c r="K1776" s="2" t="s">
        <v>604</v>
      </c>
      <c r="L1776" s="8" t="s">
        <v>8767</v>
      </c>
      <c r="M1776" s="8" t="s">
        <v>27</v>
      </c>
      <c r="N1776" s="2" t="s">
        <v>8768</v>
      </c>
      <c r="O1776" s="8" t="s">
        <v>1013</v>
      </c>
      <c r="P1776" s="8" t="s">
        <v>401</v>
      </c>
      <c r="Q1776" s="12" t="s">
        <v>8769</v>
      </c>
      <c r="R1776" s="8" t="s">
        <v>967</v>
      </c>
      <c r="S1776" s="7" t="s">
        <v>18</v>
      </c>
      <c r="T1776" s="6"/>
      <c r="U1776" s="8"/>
    </row>
    <row r="1777" spans="1:34" ht="13" customHeight="1">
      <c r="A1777" s="8" t="s">
        <v>8770</v>
      </c>
      <c r="B1777" s="16" t="s">
        <v>8771</v>
      </c>
      <c r="C1777" s="8" t="s">
        <v>20</v>
      </c>
      <c r="D1777" s="8" t="s">
        <v>37</v>
      </c>
      <c r="E1777" s="8" t="s">
        <v>8772</v>
      </c>
      <c r="F1777" s="17">
        <v>41826</v>
      </c>
      <c r="G1777" s="8" t="s">
        <v>8773</v>
      </c>
      <c r="H1777" s="8" t="s">
        <v>8774</v>
      </c>
      <c r="I1777" s="8" t="s">
        <v>438</v>
      </c>
      <c r="J1777" s="16" t="s">
        <v>8775</v>
      </c>
      <c r="K1777" s="2" t="s">
        <v>8776</v>
      </c>
      <c r="L1777" s="8" t="s">
        <v>8777</v>
      </c>
      <c r="M1777" s="8" t="s">
        <v>27</v>
      </c>
      <c r="N1777" s="2" t="s">
        <v>8778</v>
      </c>
      <c r="O1777" s="8" t="s">
        <v>29</v>
      </c>
      <c r="P1777" s="8" t="s">
        <v>401</v>
      </c>
      <c r="Q1777" s="12" t="str">
        <f>HYPERLINK("http://journaltimes.com/news/local/crime-and-courts/man-fatally-shot-by-police-identified/article_9983c98a-0620-11e4-8f7e-0019bb2963f4.html","http://journaltimes.com/news/local/crime-and-courts/man-fatally-shot-by-police-identified/article_9983c98a-0620-11e4-8f7e-0019bb2963f4.html")</f>
        <v>http://journaltimes.com/news/local/crime-and-courts/man-fatally-shot-by-police-identified/article_9983c98a-0620-11e4-8f7e-0019bb2963f4.html</v>
      </c>
      <c r="R1777" s="8" t="s">
        <v>555</v>
      </c>
      <c r="S1777" s="7" t="s">
        <v>28</v>
      </c>
      <c r="T1777" s="6"/>
      <c r="U1777" s="8"/>
    </row>
    <row r="1778" spans="1:34" ht="13" customHeight="1">
      <c r="A1778" s="8" t="s">
        <v>8779</v>
      </c>
      <c r="B1778" s="16">
        <v>37</v>
      </c>
      <c r="C1778" s="8" t="s">
        <v>20</v>
      </c>
      <c r="D1778" s="8" t="s">
        <v>85</v>
      </c>
      <c r="F1778" s="17">
        <v>41825</v>
      </c>
      <c r="G1778" s="8" t="s">
        <v>8780</v>
      </c>
      <c r="H1778" s="8" t="s">
        <v>7072</v>
      </c>
      <c r="I1778" s="8" t="s">
        <v>25</v>
      </c>
      <c r="J1778" s="16" t="s">
        <v>7073</v>
      </c>
      <c r="K1778" s="2" t="s">
        <v>7074</v>
      </c>
      <c r="L1778" s="8" t="s">
        <v>7075</v>
      </c>
      <c r="M1778" s="8" t="s">
        <v>8536</v>
      </c>
      <c r="N1778" s="2" t="s">
        <v>8781</v>
      </c>
      <c r="O1778" s="8" t="s">
        <v>1013</v>
      </c>
      <c r="P1778" s="8" t="s">
        <v>401</v>
      </c>
      <c r="Q1778" s="12" t="s">
        <v>8782</v>
      </c>
      <c r="R1778" s="8" t="s">
        <v>29</v>
      </c>
      <c r="S1778" s="7" t="s">
        <v>28</v>
      </c>
      <c r="T1778" s="6"/>
      <c r="U1778" s="8"/>
    </row>
    <row r="1779" spans="1:34" ht="13" customHeight="1">
      <c r="A1779" s="8" t="s">
        <v>8783</v>
      </c>
      <c r="B1779" s="16">
        <v>30</v>
      </c>
      <c r="C1779" s="8" t="s">
        <v>20</v>
      </c>
      <c r="D1779" s="8" t="s">
        <v>85</v>
      </c>
      <c r="E1779" s="8" t="s">
        <v>8784</v>
      </c>
      <c r="F1779" s="17">
        <v>41825</v>
      </c>
      <c r="G1779" s="8" t="s">
        <v>8785</v>
      </c>
      <c r="H1779" s="8" t="s">
        <v>8786</v>
      </c>
      <c r="I1779" s="8" t="s">
        <v>431</v>
      </c>
      <c r="J1779" s="16">
        <v>63121</v>
      </c>
      <c r="K1779" s="2" t="s">
        <v>712</v>
      </c>
      <c r="L1779" s="8" t="s">
        <v>8787</v>
      </c>
      <c r="M1779" s="8" t="s">
        <v>27</v>
      </c>
      <c r="N1779" s="2" t="s">
        <v>8788</v>
      </c>
      <c r="O1779" s="8" t="s">
        <v>550</v>
      </c>
      <c r="P1779" s="8" t="s">
        <v>401</v>
      </c>
      <c r="Q1779" s="59" t="s">
        <v>21452</v>
      </c>
      <c r="R1779" s="8" t="s">
        <v>100</v>
      </c>
      <c r="S1779" s="7" t="s">
        <v>18</v>
      </c>
      <c r="T1779" s="6"/>
      <c r="U1779" s="8"/>
    </row>
    <row r="1780" spans="1:34" ht="13" customHeight="1">
      <c r="A1780" s="8" t="s">
        <v>8789</v>
      </c>
      <c r="B1780" s="16">
        <v>16</v>
      </c>
      <c r="C1780" s="8" t="s">
        <v>20</v>
      </c>
      <c r="D1780" s="8" t="s">
        <v>85</v>
      </c>
      <c r="E1780" s="8" t="s">
        <v>8790</v>
      </c>
      <c r="F1780" s="17">
        <v>41825</v>
      </c>
      <c r="G1780" s="8" t="s">
        <v>8791</v>
      </c>
      <c r="H1780" s="8" t="s">
        <v>87</v>
      </c>
      <c r="I1780" s="8" t="s">
        <v>44</v>
      </c>
      <c r="J1780" s="16" t="s">
        <v>7884</v>
      </c>
      <c r="K1780" s="2" t="s">
        <v>88</v>
      </c>
      <c r="L1780" s="8" t="s">
        <v>89</v>
      </c>
      <c r="M1780" s="8" t="s">
        <v>27</v>
      </c>
      <c r="N1780" s="2" t="s">
        <v>8792</v>
      </c>
      <c r="O1780" s="8" t="s">
        <v>1013</v>
      </c>
      <c r="P1780" s="8" t="s">
        <v>401</v>
      </c>
      <c r="Q1780" s="12" t="s">
        <v>8793</v>
      </c>
      <c r="R1780" s="8" t="s">
        <v>100</v>
      </c>
      <c r="S1780" s="7" t="s">
        <v>35</v>
      </c>
      <c r="T1780" s="6"/>
      <c r="U1780" s="8"/>
    </row>
    <row r="1781" spans="1:34" ht="13" customHeight="1">
      <c r="A1781" s="8" t="s">
        <v>8807</v>
      </c>
      <c r="B1781" s="16">
        <v>57</v>
      </c>
      <c r="C1781" s="8" t="s">
        <v>114</v>
      </c>
      <c r="D1781" s="8" t="s">
        <v>37</v>
      </c>
      <c r="E1781" s="8" t="s">
        <v>8808</v>
      </c>
      <c r="F1781" s="17">
        <v>41825</v>
      </c>
      <c r="G1781" s="8" t="s">
        <v>8809</v>
      </c>
      <c r="H1781" s="8" t="s">
        <v>8810</v>
      </c>
      <c r="I1781" s="8" t="s">
        <v>404</v>
      </c>
      <c r="J1781" s="16" t="s">
        <v>8811</v>
      </c>
      <c r="K1781" s="2" t="s">
        <v>8812</v>
      </c>
      <c r="L1781" s="8" t="s">
        <v>9400</v>
      </c>
      <c r="M1781" s="8" t="s">
        <v>379</v>
      </c>
      <c r="N1781" s="2" t="s">
        <v>8813</v>
      </c>
      <c r="O1781" s="8" t="s">
        <v>8814</v>
      </c>
      <c r="P1781" s="8" t="s">
        <v>1162</v>
      </c>
      <c r="Q1781" s="12" t="s">
        <v>8815</v>
      </c>
      <c r="R1781" s="8" t="s">
        <v>100</v>
      </c>
      <c r="S1781" s="7" t="s">
        <v>18</v>
      </c>
      <c r="T1781" s="6"/>
      <c r="U1781" s="8"/>
    </row>
    <row r="1782" spans="1:34" ht="13" customHeight="1">
      <c r="A1782" s="8" t="s">
        <v>8801</v>
      </c>
      <c r="B1782" s="16">
        <v>27</v>
      </c>
      <c r="C1782" s="8" t="s">
        <v>20</v>
      </c>
      <c r="D1782" s="8" t="s">
        <v>37</v>
      </c>
      <c r="E1782" s="8" t="s">
        <v>8802</v>
      </c>
      <c r="F1782" s="17">
        <v>41825</v>
      </c>
      <c r="G1782" s="8" t="s">
        <v>8803</v>
      </c>
      <c r="H1782" s="8" t="s">
        <v>5221</v>
      </c>
      <c r="I1782" s="8" t="s">
        <v>395</v>
      </c>
      <c r="J1782" s="16" t="s">
        <v>8804</v>
      </c>
      <c r="K1782" s="2" t="s">
        <v>987</v>
      </c>
      <c r="L1782" s="8" t="s">
        <v>19719</v>
      </c>
      <c r="M1782" s="8" t="s">
        <v>27</v>
      </c>
      <c r="N1782" s="2" t="s">
        <v>8805</v>
      </c>
      <c r="O1782" s="8" t="s">
        <v>1013</v>
      </c>
      <c r="P1782" s="8" t="s">
        <v>401</v>
      </c>
      <c r="Q1782" s="12" t="s">
        <v>8806</v>
      </c>
      <c r="R1782" s="8" t="s">
        <v>100</v>
      </c>
      <c r="S1782" s="7" t="s">
        <v>28</v>
      </c>
      <c r="T1782" s="6"/>
      <c r="U1782" s="8"/>
    </row>
    <row r="1783" spans="1:34" ht="13" customHeight="1">
      <c r="A1783" s="8" t="s">
        <v>8794</v>
      </c>
      <c r="B1783" s="16">
        <v>59</v>
      </c>
      <c r="C1783" s="8" t="s">
        <v>114</v>
      </c>
      <c r="D1783" s="8" t="s">
        <v>37</v>
      </c>
      <c r="F1783" s="17">
        <v>41825</v>
      </c>
      <c r="G1783" s="8" t="s">
        <v>8795</v>
      </c>
      <c r="H1783" s="8" t="s">
        <v>8796</v>
      </c>
      <c r="I1783" s="8" t="s">
        <v>370</v>
      </c>
      <c r="J1783" s="16" t="s">
        <v>8797</v>
      </c>
      <c r="K1783" s="2" t="s">
        <v>1867</v>
      </c>
      <c r="L1783" s="8" t="s">
        <v>8798</v>
      </c>
      <c r="M1783" s="8" t="s">
        <v>27</v>
      </c>
      <c r="N1783" s="2" t="s">
        <v>8799</v>
      </c>
      <c r="O1783" s="8" t="s">
        <v>550</v>
      </c>
      <c r="P1783" s="8" t="s">
        <v>401</v>
      </c>
      <c r="Q1783" s="12" t="s">
        <v>8800</v>
      </c>
      <c r="R1783" s="8" t="s">
        <v>555</v>
      </c>
      <c r="S1783" s="7" t="s">
        <v>28</v>
      </c>
      <c r="T1783" s="6"/>
      <c r="U1783" s="8"/>
      <c r="Y1783" s="8"/>
      <c r="Z1783" s="8"/>
      <c r="AA1783" s="8"/>
      <c r="AB1783" s="8"/>
      <c r="AC1783" s="8"/>
      <c r="AD1783" s="8"/>
      <c r="AE1783" s="8"/>
      <c r="AF1783" s="8"/>
      <c r="AG1783" s="8"/>
      <c r="AH1783" s="8"/>
    </row>
    <row r="1784" spans="1:34" ht="13" customHeight="1">
      <c r="A1784" s="8" t="s">
        <v>8816</v>
      </c>
      <c r="B1784" s="16" t="s">
        <v>8817</v>
      </c>
      <c r="C1784" s="8" t="s">
        <v>20</v>
      </c>
      <c r="D1784" s="8" t="s">
        <v>85</v>
      </c>
      <c r="E1784" s="8" t="s">
        <v>8818</v>
      </c>
      <c r="F1784" s="17">
        <v>41824</v>
      </c>
      <c r="G1784" s="8" t="s">
        <v>8819</v>
      </c>
      <c r="H1784" s="8" t="s">
        <v>685</v>
      </c>
      <c r="I1784" s="8" t="s">
        <v>363</v>
      </c>
      <c r="J1784" s="16" t="s">
        <v>8820</v>
      </c>
      <c r="K1784" s="2" t="s">
        <v>686</v>
      </c>
      <c r="L1784" s="8" t="s">
        <v>8821</v>
      </c>
      <c r="M1784" s="8" t="s">
        <v>27</v>
      </c>
      <c r="N1784" s="2" t="s">
        <v>8822</v>
      </c>
      <c r="O1784" s="8" t="s">
        <v>29</v>
      </c>
      <c r="P1784" s="8" t="s">
        <v>401</v>
      </c>
      <c r="Q1784" s="12" t="s">
        <v>8823</v>
      </c>
      <c r="R1784" s="8" t="s">
        <v>29</v>
      </c>
      <c r="S1784" s="7" t="s">
        <v>28</v>
      </c>
      <c r="T1784" s="6"/>
      <c r="U1784" s="8"/>
      <c r="V1784" s="8"/>
      <c r="W1784" s="8"/>
      <c r="X1784" s="8"/>
    </row>
    <row r="1785" spans="1:34" ht="13" customHeight="1">
      <c r="A1785" s="8" t="s">
        <v>8824</v>
      </c>
      <c r="B1785" s="16" t="s">
        <v>8825</v>
      </c>
      <c r="C1785" s="8" t="s">
        <v>20</v>
      </c>
      <c r="D1785" s="8" t="s">
        <v>48</v>
      </c>
      <c r="E1785" s="8" t="s">
        <v>8826</v>
      </c>
      <c r="F1785" s="17">
        <v>41824</v>
      </c>
      <c r="G1785" s="8" t="s">
        <v>8827</v>
      </c>
      <c r="H1785" s="8" t="s">
        <v>87</v>
      </c>
      <c r="I1785" s="8" t="s">
        <v>44</v>
      </c>
      <c r="J1785" s="16" t="s">
        <v>8828</v>
      </c>
      <c r="K1785" s="2" t="s">
        <v>88</v>
      </c>
      <c r="L1785" s="8" t="s">
        <v>89</v>
      </c>
      <c r="M1785" s="8" t="s">
        <v>27</v>
      </c>
      <c r="N1785" s="2" t="s">
        <v>8829</v>
      </c>
      <c r="O1785" s="8" t="s">
        <v>29</v>
      </c>
      <c r="P1785" s="8" t="s">
        <v>401</v>
      </c>
      <c r="Q1785" s="12" t="s">
        <v>8830</v>
      </c>
      <c r="R1785" s="8" t="s">
        <v>100</v>
      </c>
      <c r="S1785" s="7" t="s">
        <v>28</v>
      </c>
      <c r="T1785" s="6"/>
      <c r="U1785" s="8"/>
    </row>
    <row r="1786" spans="1:34" ht="13" customHeight="1">
      <c r="A1786" s="8" t="s">
        <v>8831</v>
      </c>
      <c r="B1786" s="16">
        <v>78</v>
      </c>
      <c r="C1786" s="8" t="s">
        <v>20</v>
      </c>
      <c r="D1786" s="8" t="s">
        <v>30</v>
      </c>
      <c r="F1786" s="17">
        <v>41824</v>
      </c>
      <c r="G1786" s="8" t="s">
        <v>8832</v>
      </c>
      <c r="H1786" s="8" t="s">
        <v>8833</v>
      </c>
      <c r="I1786" s="8" t="s">
        <v>133</v>
      </c>
      <c r="J1786" s="16" t="s">
        <v>8834</v>
      </c>
      <c r="K1786" s="2" t="s">
        <v>8835</v>
      </c>
      <c r="L1786" s="8" t="s">
        <v>5384</v>
      </c>
      <c r="M1786" s="8" t="s">
        <v>379</v>
      </c>
      <c r="N1786" s="2" t="s">
        <v>8836</v>
      </c>
      <c r="O1786" s="8" t="s">
        <v>1013</v>
      </c>
      <c r="P1786" s="8" t="s">
        <v>401</v>
      </c>
      <c r="Q1786" s="12" t="s">
        <v>8837</v>
      </c>
      <c r="R1786" s="8" t="s">
        <v>100</v>
      </c>
      <c r="S1786" s="7" t="s">
        <v>28</v>
      </c>
      <c r="T1786" s="6"/>
      <c r="U1786" s="8"/>
    </row>
    <row r="1787" spans="1:34" ht="13" customHeight="1">
      <c r="A1787" s="8" t="s">
        <v>8838</v>
      </c>
      <c r="B1787" s="16">
        <v>79</v>
      </c>
      <c r="C1787" s="8" t="s">
        <v>114</v>
      </c>
      <c r="D1787" s="8" t="s">
        <v>30</v>
      </c>
      <c r="F1787" s="17">
        <v>41824</v>
      </c>
      <c r="G1787" s="8" t="s">
        <v>8832</v>
      </c>
      <c r="H1787" s="8" t="s">
        <v>8833</v>
      </c>
      <c r="I1787" s="8" t="s">
        <v>133</v>
      </c>
      <c r="J1787" s="16" t="s">
        <v>8834</v>
      </c>
      <c r="K1787" s="2" t="s">
        <v>8835</v>
      </c>
      <c r="L1787" s="8" t="s">
        <v>5384</v>
      </c>
      <c r="M1787" s="8" t="s">
        <v>379</v>
      </c>
      <c r="N1787" s="2" t="s">
        <v>8836</v>
      </c>
      <c r="O1787" s="8" t="s">
        <v>1013</v>
      </c>
      <c r="P1787" s="8" t="s">
        <v>401</v>
      </c>
      <c r="Q1787" s="12" t="s">
        <v>8837</v>
      </c>
      <c r="R1787" s="8" t="s">
        <v>100</v>
      </c>
      <c r="S1787" s="7" t="s">
        <v>28</v>
      </c>
      <c r="T1787" s="6"/>
      <c r="U1787" s="8"/>
    </row>
    <row r="1788" spans="1:34" ht="13" customHeight="1">
      <c r="A1788" s="8" t="s">
        <v>8839</v>
      </c>
      <c r="B1788" s="16">
        <v>33</v>
      </c>
      <c r="C1788" s="8" t="s">
        <v>20</v>
      </c>
      <c r="D1788" s="8" t="s">
        <v>37</v>
      </c>
      <c r="F1788" s="17">
        <v>41824</v>
      </c>
      <c r="G1788" s="8" t="s">
        <v>8840</v>
      </c>
      <c r="H1788" s="8" t="s">
        <v>8841</v>
      </c>
      <c r="I1788" s="8" t="s">
        <v>319</v>
      </c>
      <c r="J1788" s="16" t="s">
        <v>8842</v>
      </c>
      <c r="K1788" s="2" t="s">
        <v>8843</v>
      </c>
      <c r="L1788" s="8" t="s">
        <v>8844</v>
      </c>
      <c r="M1788" s="8" t="s">
        <v>29</v>
      </c>
      <c r="N1788" s="2" t="s">
        <v>8845</v>
      </c>
      <c r="O1788" s="8" t="s">
        <v>1013</v>
      </c>
      <c r="P1788" s="8" t="s">
        <v>401</v>
      </c>
      <c r="Q1788" s="59" t="str">
        <f>HYPERLINK("http://www.wcyb.com/news/tbi-investigating-death-of-man-in-custody/26809334","http://www.wcyb.com/news/tbi-investigating-death-of-man-in-custody/26809334")</f>
        <v>http://www.wcyb.com/news/tbi-investigating-death-of-man-in-custody/26809334</v>
      </c>
      <c r="R1788" s="8" t="s">
        <v>29</v>
      </c>
      <c r="S1788" s="7" t="s">
        <v>18</v>
      </c>
      <c r="T1788" s="6"/>
      <c r="U1788" s="8"/>
    </row>
    <row r="1789" spans="1:34" ht="13" customHeight="1">
      <c r="A1789" s="8" t="s">
        <v>8846</v>
      </c>
      <c r="B1789" s="16">
        <v>64</v>
      </c>
      <c r="C1789" s="8" t="s">
        <v>114</v>
      </c>
      <c r="D1789" s="8" t="s">
        <v>85</v>
      </c>
      <c r="E1789" s="8" t="s">
        <v>8847</v>
      </c>
      <c r="F1789" s="17">
        <v>41823</v>
      </c>
      <c r="G1789" s="8" t="s">
        <v>8848</v>
      </c>
      <c r="H1789" s="8" t="s">
        <v>8849</v>
      </c>
      <c r="I1789" s="8" t="s">
        <v>57</v>
      </c>
      <c r="J1789" s="16" t="s">
        <v>8850</v>
      </c>
      <c r="K1789" s="2" t="s">
        <v>8556</v>
      </c>
      <c r="L1789" s="8" t="s">
        <v>3978</v>
      </c>
      <c r="M1789" s="8" t="s">
        <v>379</v>
      </c>
      <c r="N1789" s="2" t="s">
        <v>8851</v>
      </c>
      <c r="O1789" s="8" t="s">
        <v>1013</v>
      </c>
      <c r="P1789" s="8" t="s">
        <v>401</v>
      </c>
      <c r="Q1789" s="12" t="s">
        <v>8852</v>
      </c>
      <c r="R1789" s="8" t="s">
        <v>100</v>
      </c>
      <c r="S1789" s="7" t="s">
        <v>18</v>
      </c>
      <c r="T1789" s="6"/>
      <c r="U1789" s="8"/>
    </row>
    <row r="1790" spans="1:34" ht="13" customHeight="1">
      <c r="A1790" s="8" t="s">
        <v>8860</v>
      </c>
      <c r="B1790" s="16">
        <v>40</v>
      </c>
      <c r="C1790" s="8" t="s">
        <v>20</v>
      </c>
      <c r="D1790" s="8" t="s">
        <v>48</v>
      </c>
      <c r="F1790" s="17">
        <v>41823</v>
      </c>
      <c r="G1790" s="8" t="s">
        <v>8861</v>
      </c>
      <c r="H1790" s="8" t="s">
        <v>2201</v>
      </c>
      <c r="I1790" s="8" t="s">
        <v>62</v>
      </c>
      <c r="J1790" s="16" t="s">
        <v>8862</v>
      </c>
      <c r="K1790" s="2" t="s">
        <v>1127</v>
      </c>
      <c r="L1790" s="8" t="s">
        <v>4412</v>
      </c>
      <c r="M1790" s="8" t="s">
        <v>27</v>
      </c>
      <c r="N1790" s="2" t="s">
        <v>8863</v>
      </c>
      <c r="O1790" s="8" t="s">
        <v>1013</v>
      </c>
      <c r="P1790" s="8" t="s">
        <v>401</v>
      </c>
      <c r="Q1790" s="12" t="s">
        <v>8864</v>
      </c>
      <c r="R1790" s="8" t="s">
        <v>100</v>
      </c>
      <c r="S1790" s="7" t="s">
        <v>28</v>
      </c>
      <c r="T1790" s="6"/>
      <c r="U1790" s="8"/>
    </row>
    <row r="1791" spans="1:34" ht="13" customHeight="1">
      <c r="A1791" s="8" t="s">
        <v>8853</v>
      </c>
      <c r="B1791" s="16" t="s">
        <v>8854</v>
      </c>
      <c r="C1791" s="8" t="s">
        <v>20</v>
      </c>
      <c r="D1791" s="8" t="s">
        <v>48</v>
      </c>
      <c r="E1791" s="8" t="s">
        <v>8855</v>
      </c>
      <c r="F1791" s="17">
        <v>41823</v>
      </c>
      <c r="G1791" s="8" t="s">
        <v>8856</v>
      </c>
      <c r="H1791" s="8" t="s">
        <v>1301</v>
      </c>
      <c r="I1791" s="8" t="s">
        <v>209</v>
      </c>
      <c r="J1791" s="16" t="s">
        <v>8857</v>
      </c>
      <c r="K1791" s="2" t="s">
        <v>1301</v>
      </c>
      <c r="L1791" s="8" t="s">
        <v>1302</v>
      </c>
      <c r="M1791" s="8" t="s">
        <v>27</v>
      </c>
      <c r="N1791" s="2" t="s">
        <v>8858</v>
      </c>
      <c r="O1791" s="8" t="s">
        <v>29</v>
      </c>
      <c r="P1791" s="8" t="s">
        <v>401</v>
      </c>
      <c r="Q1791" s="12" t="s">
        <v>8859</v>
      </c>
      <c r="R1791" s="8" t="s">
        <v>100</v>
      </c>
      <c r="S1791" s="7" t="s">
        <v>379</v>
      </c>
      <c r="T1791" s="6"/>
      <c r="U1791" s="8"/>
    </row>
    <row r="1792" spans="1:34" ht="13" customHeight="1">
      <c r="A1792" s="8" t="s">
        <v>8865</v>
      </c>
      <c r="B1792" s="16">
        <v>60</v>
      </c>
      <c r="C1792" s="8" t="s">
        <v>20</v>
      </c>
      <c r="D1792" s="8" t="s">
        <v>37</v>
      </c>
      <c r="F1792" s="17">
        <v>41823</v>
      </c>
      <c r="G1792" s="8" t="s">
        <v>8866</v>
      </c>
      <c r="H1792" s="8" t="s">
        <v>1919</v>
      </c>
      <c r="I1792" s="8" t="s">
        <v>173</v>
      </c>
      <c r="J1792" s="16" t="s">
        <v>3856</v>
      </c>
      <c r="K1792" s="2" t="s">
        <v>1560</v>
      </c>
      <c r="L1792" s="8" t="s">
        <v>2550</v>
      </c>
      <c r="M1792" s="8" t="s">
        <v>27</v>
      </c>
      <c r="N1792" s="2" t="s">
        <v>8867</v>
      </c>
      <c r="O1792" s="8" t="s">
        <v>1013</v>
      </c>
      <c r="P1792" s="8" t="s">
        <v>401</v>
      </c>
      <c r="Q1792" s="12" t="str">
        <f>HYPERLINK("http://www.ajc.com/news/news/officer-involved-shooting-in-se-atlanta/ngYcr/#__federated=1","http://www.ajc.com/news/news/officer-involved-shooting-in-se-atlanta/ngYcr/#__federated=1")</f>
        <v>http://www.ajc.com/news/news/officer-involved-shooting-in-se-atlanta/ngYcr/#__federated=1</v>
      </c>
      <c r="R1792" s="8" t="s">
        <v>555</v>
      </c>
      <c r="S1792" s="7" t="s">
        <v>28</v>
      </c>
      <c r="T1792" s="6"/>
      <c r="U1792" s="8"/>
      <c r="Y1792" s="8"/>
      <c r="Z1792" s="8"/>
      <c r="AA1792" s="8"/>
      <c r="AB1792" s="8"/>
      <c r="AC1792" s="8"/>
      <c r="AD1792" s="8"/>
      <c r="AE1792" s="8"/>
      <c r="AF1792" s="8"/>
      <c r="AG1792" s="8"/>
      <c r="AH1792" s="8"/>
    </row>
    <row r="1793" spans="1:24" ht="13" customHeight="1">
      <c r="A1793" s="8" t="s">
        <v>8868</v>
      </c>
      <c r="B1793" s="16">
        <v>32</v>
      </c>
      <c r="C1793" s="8" t="s">
        <v>20</v>
      </c>
      <c r="D1793" s="8" t="s">
        <v>48</v>
      </c>
      <c r="E1793" s="8" t="s">
        <v>8869</v>
      </c>
      <c r="F1793" s="17">
        <v>41822</v>
      </c>
      <c r="G1793" s="8" t="s">
        <v>8870</v>
      </c>
      <c r="H1793" s="8" t="s">
        <v>1301</v>
      </c>
      <c r="I1793" s="8" t="s">
        <v>209</v>
      </c>
      <c r="J1793" s="16" t="s">
        <v>8871</v>
      </c>
      <c r="K1793" s="2" t="s">
        <v>1301</v>
      </c>
      <c r="L1793" s="8" t="s">
        <v>1302</v>
      </c>
      <c r="M1793" s="8" t="s">
        <v>27</v>
      </c>
      <c r="N1793" s="2" t="s">
        <v>8872</v>
      </c>
      <c r="O1793" s="8" t="s">
        <v>550</v>
      </c>
      <c r="P1793" s="8" t="s">
        <v>401</v>
      </c>
      <c r="Q1793" s="12" t="s">
        <v>8873</v>
      </c>
      <c r="R1793" s="8" t="s">
        <v>100</v>
      </c>
      <c r="S1793" s="7" t="s">
        <v>28</v>
      </c>
      <c r="T1793" s="6"/>
      <c r="U1793" s="8"/>
    </row>
    <row r="1794" spans="1:24" ht="13" customHeight="1">
      <c r="A1794" s="8" t="s">
        <v>8874</v>
      </c>
      <c r="B1794" s="16">
        <v>27</v>
      </c>
      <c r="C1794" s="8" t="s">
        <v>20</v>
      </c>
      <c r="D1794" s="8" t="s">
        <v>37</v>
      </c>
      <c r="E1794" s="8" t="s">
        <v>8875</v>
      </c>
      <c r="F1794" s="17">
        <v>41822</v>
      </c>
      <c r="G1794" s="8" t="s">
        <v>8876</v>
      </c>
      <c r="H1794" s="8" t="s">
        <v>925</v>
      </c>
      <c r="I1794" s="8" t="s">
        <v>195</v>
      </c>
      <c r="J1794" s="16" t="s">
        <v>5459</v>
      </c>
      <c r="K1794" s="2" t="s">
        <v>467</v>
      </c>
      <c r="L1794" s="8" t="s">
        <v>5671</v>
      </c>
      <c r="M1794" s="8" t="s">
        <v>27</v>
      </c>
      <c r="N1794" s="2" t="s">
        <v>8877</v>
      </c>
      <c r="O1794" s="8" t="s">
        <v>1013</v>
      </c>
      <c r="P1794" s="8" t="s">
        <v>401</v>
      </c>
      <c r="Q1794" s="12" t="s">
        <v>8878</v>
      </c>
      <c r="R1794" s="8" t="s">
        <v>967</v>
      </c>
      <c r="S1794" s="7" t="s">
        <v>18</v>
      </c>
      <c r="T1794" s="6"/>
      <c r="U1794" s="8"/>
    </row>
    <row r="1795" spans="1:24" ht="13" customHeight="1">
      <c r="A1795" s="8" t="s">
        <v>8879</v>
      </c>
      <c r="B1795" s="16">
        <v>41</v>
      </c>
      <c r="C1795" s="8" t="s">
        <v>20</v>
      </c>
      <c r="D1795" s="8" t="s">
        <v>85</v>
      </c>
      <c r="E1795" s="8" t="s">
        <v>8880</v>
      </c>
      <c r="F1795" s="17">
        <v>41821</v>
      </c>
      <c r="G1795" s="8" t="s">
        <v>8881</v>
      </c>
      <c r="H1795" s="8" t="s">
        <v>8882</v>
      </c>
      <c r="I1795" s="8" t="s">
        <v>62</v>
      </c>
      <c r="J1795" s="16" t="s">
        <v>8883</v>
      </c>
      <c r="K1795" s="2" t="s">
        <v>4381</v>
      </c>
      <c r="L1795" s="8" t="s">
        <v>5436</v>
      </c>
      <c r="M1795" s="8" t="s">
        <v>27</v>
      </c>
      <c r="N1795" s="2" t="s">
        <v>8884</v>
      </c>
      <c r="O1795" s="8" t="s">
        <v>550</v>
      </c>
      <c r="P1795" s="8" t="s">
        <v>401</v>
      </c>
      <c r="Q1795" s="12" t="s">
        <v>8885</v>
      </c>
      <c r="R1795" s="8" t="s">
        <v>100</v>
      </c>
      <c r="S1795" s="7" t="s">
        <v>18</v>
      </c>
      <c r="T1795" s="6"/>
      <c r="U1795" s="8"/>
      <c r="V1795" s="8"/>
      <c r="W1795" s="8"/>
      <c r="X1795" s="8"/>
    </row>
    <row r="1796" spans="1:24" ht="13" customHeight="1">
      <c r="A1796" s="8" t="s">
        <v>8886</v>
      </c>
      <c r="B1796" s="16">
        <v>59</v>
      </c>
      <c r="C1796" s="8" t="s">
        <v>20</v>
      </c>
      <c r="D1796" s="8" t="s">
        <v>30</v>
      </c>
      <c r="F1796" s="17">
        <v>41821</v>
      </c>
      <c r="G1796" s="8" t="s">
        <v>8887</v>
      </c>
      <c r="H1796" s="8" t="s">
        <v>653</v>
      </c>
      <c r="I1796" s="8" t="s">
        <v>62</v>
      </c>
      <c r="J1796" s="16" t="s">
        <v>5847</v>
      </c>
      <c r="K1796" s="2" t="s">
        <v>654</v>
      </c>
      <c r="L1796" s="8" t="s">
        <v>655</v>
      </c>
      <c r="M1796" s="8" t="s">
        <v>27</v>
      </c>
      <c r="N1796" s="2" t="s">
        <v>8888</v>
      </c>
      <c r="O1796" s="8" t="s">
        <v>1013</v>
      </c>
      <c r="P1796" s="8" t="s">
        <v>401</v>
      </c>
      <c r="Q1796" s="12" t="s">
        <v>8889</v>
      </c>
      <c r="R1796" s="8" t="s">
        <v>29</v>
      </c>
      <c r="S1796" s="7" t="s">
        <v>28</v>
      </c>
      <c r="T1796" s="6"/>
      <c r="U1796" s="8"/>
    </row>
    <row r="1797" spans="1:24" ht="13" customHeight="1">
      <c r="A1797" s="8" t="s">
        <v>8890</v>
      </c>
      <c r="B1797" s="16">
        <v>36</v>
      </c>
      <c r="C1797" s="8" t="s">
        <v>20</v>
      </c>
      <c r="D1797" s="8" t="s">
        <v>37</v>
      </c>
      <c r="E1797" s="8" t="s">
        <v>8891</v>
      </c>
      <c r="F1797" s="17">
        <v>41821</v>
      </c>
      <c r="G1797" s="8" t="s">
        <v>8892</v>
      </c>
      <c r="H1797" s="8" t="s">
        <v>1211</v>
      </c>
      <c r="I1797" s="8" t="s">
        <v>303</v>
      </c>
      <c r="J1797" s="16" t="s">
        <v>8893</v>
      </c>
      <c r="K1797" s="2" t="s">
        <v>1212</v>
      </c>
      <c r="L1797" s="8" t="s">
        <v>1213</v>
      </c>
      <c r="M1797" s="8" t="s">
        <v>27</v>
      </c>
      <c r="N1797" s="2" t="s">
        <v>8894</v>
      </c>
      <c r="O1797" s="8" t="s">
        <v>1013</v>
      </c>
      <c r="P1797" s="8" t="s">
        <v>401</v>
      </c>
      <c r="Q1797" s="12" t="s">
        <v>8895</v>
      </c>
      <c r="R1797" s="8" t="s">
        <v>100</v>
      </c>
      <c r="S1797" s="7" t="s">
        <v>28</v>
      </c>
      <c r="T1797" s="6"/>
      <c r="U1797" s="8"/>
    </row>
    <row r="1798" spans="1:24" ht="13" customHeight="1">
      <c r="A1798" s="8" t="s">
        <v>8896</v>
      </c>
      <c r="B1798" s="16">
        <v>29</v>
      </c>
      <c r="C1798" s="8" t="s">
        <v>20</v>
      </c>
      <c r="D1798" s="8" t="s">
        <v>37</v>
      </c>
      <c r="E1798" s="8" t="s">
        <v>8897</v>
      </c>
      <c r="F1798" s="17">
        <v>41821</v>
      </c>
      <c r="G1798" s="8" t="s">
        <v>8898</v>
      </c>
      <c r="H1798" s="8" t="s">
        <v>8899</v>
      </c>
      <c r="I1798" s="8" t="s">
        <v>1720</v>
      </c>
      <c r="J1798" s="16" t="s">
        <v>8900</v>
      </c>
      <c r="K1798" s="2" t="s">
        <v>2599</v>
      </c>
      <c r="L1798" s="8" t="s">
        <v>8901</v>
      </c>
      <c r="M1798" s="8" t="s">
        <v>379</v>
      </c>
      <c r="N1798" s="2" t="s">
        <v>8902</v>
      </c>
      <c r="O1798" s="8" t="s">
        <v>1013</v>
      </c>
      <c r="P1798" s="8" t="s">
        <v>401</v>
      </c>
      <c r="Q1798" s="12" t="s">
        <v>8903</v>
      </c>
      <c r="R1798" s="8" t="s">
        <v>100</v>
      </c>
      <c r="S1798" s="7" t="s">
        <v>379</v>
      </c>
      <c r="T1798" s="6"/>
      <c r="U1798" s="8"/>
    </row>
    <row r="1799" spans="1:24" ht="13" customHeight="1">
      <c r="A1799" s="8" t="s">
        <v>8904</v>
      </c>
      <c r="B1799" s="16">
        <v>23</v>
      </c>
      <c r="C1799" s="8" t="s">
        <v>20</v>
      </c>
      <c r="D1799" s="8" t="s">
        <v>48</v>
      </c>
      <c r="E1799" s="8" t="s">
        <v>8905</v>
      </c>
      <c r="F1799" s="17">
        <v>41820</v>
      </c>
      <c r="G1799" s="8" t="s">
        <v>8906</v>
      </c>
      <c r="H1799" s="8" t="s">
        <v>1211</v>
      </c>
      <c r="I1799" s="8" t="s">
        <v>303</v>
      </c>
      <c r="J1799" s="16" t="s">
        <v>8907</v>
      </c>
      <c r="K1799" s="2" t="s">
        <v>1212</v>
      </c>
      <c r="L1799" s="8" t="s">
        <v>1213</v>
      </c>
      <c r="M1799" s="8" t="s">
        <v>27</v>
      </c>
      <c r="N1799" s="2" t="s">
        <v>8908</v>
      </c>
      <c r="O1799" s="8" t="s">
        <v>550</v>
      </c>
      <c r="P1799" s="8" t="s">
        <v>401</v>
      </c>
      <c r="Q1799" s="12" t="s">
        <v>8909</v>
      </c>
      <c r="R1799" s="8" t="s">
        <v>100</v>
      </c>
      <c r="S1799" s="7" t="s">
        <v>28</v>
      </c>
      <c r="T1799" s="6"/>
      <c r="U1799" s="8"/>
    </row>
    <row r="1800" spans="1:24" ht="13" customHeight="1">
      <c r="A1800" s="8" t="s">
        <v>8910</v>
      </c>
      <c r="B1800" s="16">
        <v>24</v>
      </c>
      <c r="C1800" s="8" t="s">
        <v>20</v>
      </c>
      <c r="D1800" s="8" t="s">
        <v>85</v>
      </c>
      <c r="E1800" s="8" t="s">
        <v>8911</v>
      </c>
      <c r="F1800" s="17">
        <v>41819</v>
      </c>
      <c r="G1800" s="8" t="s">
        <v>8912</v>
      </c>
      <c r="H1800" s="8" t="s">
        <v>4046</v>
      </c>
      <c r="I1800" s="8" t="s">
        <v>62</v>
      </c>
      <c r="J1800" s="16" t="s">
        <v>8913</v>
      </c>
      <c r="K1800" s="2" t="s">
        <v>1867</v>
      </c>
      <c r="L1800" s="8" t="s">
        <v>4048</v>
      </c>
      <c r="M1800" s="8" t="s">
        <v>379</v>
      </c>
      <c r="N1800" s="2" t="s">
        <v>8914</v>
      </c>
      <c r="O1800" s="8" t="s">
        <v>1013</v>
      </c>
      <c r="P1800" s="8" t="s">
        <v>401</v>
      </c>
      <c r="Q1800" s="12" t="s">
        <v>8915</v>
      </c>
      <c r="R1800" s="8" t="s">
        <v>100</v>
      </c>
      <c r="S1800" s="7" t="s">
        <v>18</v>
      </c>
      <c r="T1800" s="6"/>
      <c r="U1800" s="8"/>
    </row>
    <row r="1801" spans="1:24" ht="13" customHeight="1">
      <c r="A1801" s="8" t="s">
        <v>8923</v>
      </c>
      <c r="B1801" s="16">
        <v>43</v>
      </c>
      <c r="C1801" s="8" t="s">
        <v>20</v>
      </c>
      <c r="D1801" s="8" t="s">
        <v>30</v>
      </c>
      <c r="F1801" s="17">
        <v>41819</v>
      </c>
      <c r="G1801" s="8" t="s">
        <v>8924</v>
      </c>
      <c r="H1801" s="8" t="s">
        <v>8925</v>
      </c>
      <c r="I1801" s="8" t="s">
        <v>303</v>
      </c>
      <c r="J1801" s="16" t="s">
        <v>8926</v>
      </c>
      <c r="K1801" s="2" t="s">
        <v>1547</v>
      </c>
      <c r="L1801" s="8" t="s">
        <v>8927</v>
      </c>
      <c r="M1801" s="8" t="s">
        <v>27</v>
      </c>
      <c r="N1801" s="2" t="s">
        <v>8928</v>
      </c>
      <c r="O1801" s="8" t="s">
        <v>1013</v>
      </c>
      <c r="P1801" s="8" t="s">
        <v>401</v>
      </c>
      <c r="Q1801" s="12" t="s">
        <v>8929</v>
      </c>
      <c r="R1801" s="8" t="s">
        <v>100</v>
      </c>
      <c r="S1801" s="7" t="s">
        <v>28</v>
      </c>
      <c r="T1801" s="6"/>
      <c r="U1801" s="8"/>
    </row>
    <row r="1802" spans="1:24" ht="13" customHeight="1">
      <c r="A1802" s="8" t="s">
        <v>8916</v>
      </c>
      <c r="B1802" s="16">
        <v>44</v>
      </c>
      <c r="C1802" s="8" t="s">
        <v>20</v>
      </c>
      <c r="D1802" s="8" t="s">
        <v>30</v>
      </c>
      <c r="F1802" s="17">
        <v>41819</v>
      </c>
      <c r="G1802" s="8" t="s">
        <v>8917</v>
      </c>
      <c r="H1802" s="8" t="s">
        <v>8918</v>
      </c>
      <c r="I1802" s="8" t="s">
        <v>81</v>
      </c>
      <c r="J1802" s="16" t="s">
        <v>8919</v>
      </c>
      <c r="K1802" s="2" t="s">
        <v>672</v>
      </c>
      <c r="L1802" s="8" t="s">
        <v>8920</v>
      </c>
      <c r="M1802" s="8" t="s">
        <v>27</v>
      </c>
      <c r="N1802" s="2" t="s">
        <v>8921</v>
      </c>
      <c r="O1802" s="8" t="s">
        <v>1013</v>
      </c>
      <c r="P1802" s="8" t="s">
        <v>401</v>
      </c>
      <c r="Q1802" s="12" t="s">
        <v>8922</v>
      </c>
      <c r="R1802" s="8" t="s">
        <v>29</v>
      </c>
      <c r="S1802" s="7" t="s">
        <v>28</v>
      </c>
      <c r="T1802" s="6"/>
      <c r="U1802" s="8"/>
    </row>
    <row r="1803" spans="1:24" ht="13" customHeight="1">
      <c r="A1803" s="8" t="s">
        <v>8930</v>
      </c>
      <c r="B1803" s="16">
        <v>37</v>
      </c>
      <c r="C1803" s="8" t="s">
        <v>20</v>
      </c>
      <c r="D1803" s="8" t="s">
        <v>37</v>
      </c>
      <c r="E1803" s="8" t="s">
        <v>8931</v>
      </c>
      <c r="F1803" s="17">
        <v>41818</v>
      </c>
      <c r="G1803" s="8" t="s">
        <v>8932</v>
      </c>
      <c r="H1803" s="8" t="s">
        <v>1496</v>
      </c>
      <c r="I1803" s="8" t="s">
        <v>45</v>
      </c>
      <c r="J1803" s="16" t="s">
        <v>8933</v>
      </c>
      <c r="K1803" s="2" t="s">
        <v>98</v>
      </c>
      <c r="L1803" s="8" t="s">
        <v>5014</v>
      </c>
      <c r="M1803" s="8" t="s">
        <v>14474</v>
      </c>
      <c r="N1803" s="2" t="s">
        <v>8934</v>
      </c>
      <c r="O1803" s="8" t="s">
        <v>1013</v>
      </c>
      <c r="P1803" s="8" t="s">
        <v>401</v>
      </c>
      <c r="Q1803" s="12" t="s">
        <v>8935</v>
      </c>
      <c r="R1803" s="8" t="s">
        <v>29</v>
      </c>
      <c r="S1803" s="7" t="s">
        <v>18</v>
      </c>
      <c r="T1803" s="6"/>
      <c r="U1803" s="8"/>
    </row>
    <row r="1804" spans="1:24" ht="13" customHeight="1">
      <c r="A1804" s="8" t="s">
        <v>8950</v>
      </c>
      <c r="B1804" s="16">
        <v>27</v>
      </c>
      <c r="C1804" s="8" t="s">
        <v>20</v>
      </c>
      <c r="D1804" s="8" t="s">
        <v>85</v>
      </c>
      <c r="E1804" s="8" t="s">
        <v>8951</v>
      </c>
      <c r="F1804" s="17">
        <v>41817</v>
      </c>
      <c r="G1804" s="8" t="s">
        <v>8952</v>
      </c>
      <c r="H1804" s="8" t="s">
        <v>8953</v>
      </c>
      <c r="I1804" s="8" t="s">
        <v>423</v>
      </c>
      <c r="J1804" s="16" t="s">
        <v>3369</v>
      </c>
      <c r="K1804" s="2" t="s">
        <v>1703</v>
      </c>
      <c r="L1804" s="8" t="s">
        <v>3370</v>
      </c>
      <c r="M1804" s="8" t="s">
        <v>27</v>
      </c>
      <c r="N1804" s="2" t="s">
        <v>8954</v>
      </c>
      <c r="O1804" s="8" t="s">
        <v>4714</v>
      </c>
      <c r="P1804" s="8" t="s">
        <v>401</v>
      </c>
      <c r="Q1804" s="12" t="str">
        <f>HYPERLINK("http://www.nbcnewyork.com/news/local/Long-Island-Suffolk-County-Bay-Shore-Police-Involved-Shooting-Fatal-264868841.html","http://www.nbcnewyork.com/news/local/Long-Island-Suffolk-County-Bay-Shore-Police-Involved-Shooting-Fatal-264868841.html")</f>
        <v>http://www.nbcnewyork.com/news/local/Long-Island-Suffolk-County-Bay-Shore-Police-Involved-Shooting-Fatal-264868841.html</v>
      </c>
      <c r="R1804" s="8" t="s">
        <v>100</v>
      </c>
      <c r="S1804" s="7" t="s">
        <v>28</v>
      </c>
      <c r="T1804" s="6"/>
      <c r="U1804" s="8"/>
    </row>
    <row r="1805" spans="1:24" ht="13" customHeight="1">
      <c r="A1805" s="8" t="s">
        <v>8944</v>
      </c>
      <c r="B1805" s="16">
        <v>35</v>
      </c>
      <c r="C1805" s="8" t="s">
        <v>20</v>
      </c>
      <c r="D1805" s="8" t="s">
        <v>85</v>
      </c>
      <c r="E1805" s="8" t="s">
        <v>8945</v>
      </c>
      <c r="F1805" s="17">
        <v>41817</v>
      </c>
      <c r="G1805" s="8" t="s">
        <v>8946</v>
      </c>
      <c r="H1805" s="8" t="s">
        <v>1944</v>
      </c>
      <c r="I1805" s="8" t="s">
        <v>73</v>
      </c>
      <c r="J1805" s="16" t="s">
        <v>8947</v>
      </c>
      <c r="K1805" s="2" t="s">
        <v>1944</v>
      </c>
      <c r="L1805" s="8" t="s">
        <v>1946</v>
      </c>
      <c r="M1805" s="8" t="s">
        <v>27</v>
      </c>
      <c r="N1805" s="2" t="s">
        <v>8948</v>
      </c>
      <c r="O1805" s="8" t="s">
        <v>1013</v>
      </c>
      <c r="P1805" s="8" t="s">
        <v>401</v>
      </c>
      <c r="Q1805" s="12" t="s">
        <v>8949</v>
      </c>
      <c r="R1805" s="8" t="s">
        <v>100</v>
      </c>
      <c r="S1805" s="7" t="s">
        <v>28</v>
      </c>
      <c r="T1805" s="6"/>
      <c r="U1805" s="8"/>
    </row>
    <row r="1806" spans="1:24" ht="13" customHeight="1">
      <c r="A1806" s="8" t="s">
        <v>8936</v>
      </c>
      <c r="B1806" s="16">
        <v>40</v>
      </c>
      <c r="C1806" s="8" t="s">
        <v>20</v>
      </c>
      <c r="D1806" s="8" t="s">
        <v>85</v>
      </c>
      <c r="E1806" s="8" t="s">
        <v>8937</v>
      </c>
      <c r="F1806" s="17">
        <v>41817</v>
      </c>
      <c r="G1806" s="8" t="s">
        <v>8938</v>
      </c>
      <c r="H1806" s="8" t="s">
        <v>8939</v>
      </c>
      <c r="I1806" s="8" t="s">
        <v>45</v>
      </c>
      <c r="J1806" s="16" t="s">
        <v>8940</v>
      </c>
      <c r="K1806" s="2" t="s">
        <v>98</v>
      </c>
      <c r="L1806" s="8" t="s">
        <v>8941</v>
      </c>
      <c r="M1806" s="8" t="s">
        <v>27</v>
      </c>
      <c r="N1806" s="2" t="s">
        <v>8942</v>
      </c>
      <c r="O1806" s="8" t="s">
        <v>4714</v>
      </c>
      <c r="P1806" s="8" t="s">
        <v>401</v>
      </c>
      <c r="Q1806" s="12" t="s">
        <v>8943</v>
      </c>
      <c r="R1806" s="8" t="s">
        <v>100</v>
      </c>
      <c r="S1806" s="7" t="s">
        <v>35</v>
      </c>
      <c r="T1806" s="6"/>
      <c r="U1806" s="8"/>
    </row>
    <row r="1807" spans="1:24" ht="13" customHeight="1">
      <c r="A1807" s="8" t="s">
        <v>8955</v>
      </c>
      <c r="B1807" s="16">
        <v>32</v>
      </c>
      <c r="C1807" s="8" t="s">
        <v>20</v>
      </c>
      <c r="D1807" s="8" t="s">
        <v>37</v>
      </c>
      <c r="E1807" s="8" t="s">
        <v>8956</v>
      </c>
      <c r="F1807" s="17">
        <v>41817</v>
      </c>
      <c r="G1807" s="8" t="s">
        <v>8957</v>
      </c>
      <c r="H1807" s="8" t="s">
        <v>2517</v>
      </c>
      <c r="I1807" s="8" t="s">
        <v>303</v>
      </c>
      <c r="J1807" s="16" t="s">
        <v>8958</v>
      </c>
      <c r="K1807" s="2" t="s">
        <v>2518</v>
      </c>
      <c r="L1807" s="8" t="s">
        <v>8959</v>
      </c>
      <c r="M1807" s="8" t="s">
        <v>27</v>
      </c>
      <c r="N1807" s="2" t="s">
        <v>8960</v>
      </c>
      <c r="O1807" s="8" t="s">
        <v>550</v>
      </c>
      <c r="P1807" s="8" t="s">
        <v>401</v>
      </c>
      <c r="Q1807" s="12" t="s">
        <v>8961</v>
      </c>
      <c r="R1807" s="8" t="s">
        <v>29</v>
      </c>
      <c r="S1807" s="7" t="s">
        <v>28</v>
      </c>
      <c r="T1807" s="6"/>
      <c r="U1807" s="8"/>
    </row>
    <row r="1808" spans="1:24" ht="13" customHeight="1">
      <c r="A1808" s="8" t="s">
        <v>8962</v>
      </c>
      <c r="B1808" s="16">
        <v>56</v>
      </c>
      <c r="C1808" s="8" t="s">
        <v>20</v>
      </c>
      <c r="D1808" s="8" t="s">
        <v>37</v>
      </c>
      <c r="E1808" s="8" t="s">
        <v>8963</v>
      </c>
      <c r="F1808" s="17">
        <v>41817</v>
      </c>
      <c r="G1808" s="8" t="s">
        <v>8964</v>
      </c>
      <c r="H1808" s="8" t="s">
        <v>8965</v>
      </c>
      <c r="I1808" s="8" t="s">
        <v>244</v>
      </c>
      <c r="J1808" s="16" t="s">
        <v>8966</v>
      </c>
      <c r="K1808" s="2" t="s">
        <v>118</v>
      </c>
      <c r="L1808" s="8" t="s">
        <v>3333</v>
      </c>
      <c r="M1808" s="8" t="s">
        <v>27</v>
      </c>
      <c r="N1808" s="2" t="s">
        <v>8967</v>
      </c>
      <c r="O1808" s="8" t="s">
        <v>1013</v>
      </c>
      <c r="P1808" s="8" t="s">
        <v>401</v>
      </c>
      <c r="Q1808" s="12" t="str">
        <f>HYPERLINK("http://www.wcyb.com/news/shooting-investigated-in-damascus/26694690","http://www.wcyb.com/news/shooting-investigated-in-damascus/26694690")</f>
        <v>http://www.wcyb.com/news/shooting-investigated-in-damascus/26694690</v>
      </c>
      <c r="R1808" s="8" t="s">
        <v>100</v>
      </c>
      <c r="S1808" s="7" t="s">
        <v>28</v>
      </c>
      <c r="T1808" s="6"/>
      <c r="U1808" s="8"/>
    </row>
    <row r="1809" spans="1:34" ht="13" customHeight="1">
      <c r="A1809" s="8" t="s">
        <v>8968</v>
      </c>
      <c r="B1809" s="16">
        <v>33</v>
      </c>
      <c r="C1809" s="8" t="s">
        <v>20</v>
      </c>
      <c r="D1809" s="8" t="s">
        <v>85</v>
      </c>
      <c r="F1809" s="17">
        <v>41816</v>
      </c>
      <c r="G1809" s="8" t="s">
        <v>8969</v>
      </c>
      <c r="H1809" s="8" t="s">
        <v>285</v>
      </c>
      <c r="I1809" s="8" t="s">
        <v>73</v>
      </c>
      <c r="J1809" s="16" t="s">
        <v>8970</v>
      </c>
      <c r="K1809" s="2" t="s">
        <v>285</v>
      </c>
      <c r="L1809" s="8" t="s">
        <v>286</v>
      </c>
      <c r="M1809" s="8" t="s">
        <v>27</v>
      </c>
      <c r="N1809" s="2" t="s">
        <v>8971</v>
      </c>
      <c r="O1809" s="8" t="s">
        <v>1013</v>
      </c>
      <c r="P1809" s="8" t="s">
        <v>401</v>
      </c>
      <c r="Q1809" s="12" t="s">
        <v>8972</v>
      </c>
      <c r="R1809" s="8" t="s">
        <v>100</v>
      </c>
      <c r="S1809" s="7" t="s">
        <v>28</v>
      </c>
      <c r="T1809" s="6"/>
      <c r="U1809" s="8"/>
    </row>
    <row r="1810" spans="1:34" ht="13" customHeight="1">
      <c r="A1810" s="8" t="s">
        <v>8979</v>
      </c>
      <c r="B1810" s="16">
        <v>34</v>
      </c>
      <c r="C1810" s="8" t="s">
        <v>20</v>
      </c>
      <c r="D1810" s="8" t="s">
        <v>37</v>
      </c>
      <c r="F1810" s="17">
        <v>41816</v>
      </c>
      <c r="G1810" s="8" t="s">
        <v>8980</v>
      </c>
      <c r="H1810" s="8" t="s">
        <v>4209</v>
      </c>
      <c r="I1810" s="8" t="s">
        <v>46</v>
      </c>
      <c r="J1810" s="16" t="s">
        <v>8981</v>
      </c>
      <c r="K1810" s="2" t="s">
        <v>8982</v>
      </c>
      <c r="L1810" s="8" t="s">
        <v>4212</v>
      </c>
      <c r="M1810" s="8" t="s">
        <v>27</v>
      </c>
      <c r="N1810" s="2" t="s">
        <v>8983</v>
      </c>
      <c r="O1810" s="8" t="s">
        <v>1013</v>
      </c>
      <c r="P1810" s="8" t="s">
        <v>401</v>
      </c>
      <c r="Q1810" s="12" t="s">
        <v>8984</v>
      </c>
      <c r="R1810" s="8" t="s">
        <v>29</v>
      </c>
      <c r="S1810" s="7" t="s">
        <v>28</v>
      </c>
      <c r="T1810" s="6"/>
      <c r="U1810" s="8"/>
    </row>
    <row r="1811" spans="1:34" ht="13" customHeight="1">
      <c r="A1811" s="8" t="s">
        <v>8985</v>
      </c>
      <c r="B1811" s="16">
        <v>50</v>
      </c>
      <c r="C1811" s="8" t="s">
        <v>20</v>
      </c>
      <c r="D1811" s="8" t="s">
        <v>37</v>
      </c>
      <c r="E1811" s="8" t="s">
        <v>8986</v>
      </c>
      <c r="F1811" s="17">
        <v>41816</v>
      </c>
      <c r="G1811" s="8" t="s">
        <v>8987</v>
      </c>
      <c r="H1811" s="8" t="s">
        <v>8988</v>
      </c>
      <c r="I1811" s="8" t="s">
        <v>73</v>
      </c>
      <c r="J1811" s="16" t="s">
        <v>8989</v>
      </c>
      <c r="K1811" s="2" t="s">
        <v>8990</v>
      </c>
      <c r="L1811" s="8" t="s">
        <v>7338</v>
      </c>
      <c r="M1811" s="8" t="s">
        <v>27</v>
      </c>
      <c r="N1811" s="2" t="s">
        <v>8991</v>
      </c>
      <c r="O1811" s="8" t="s">
        <v>4714</v>
      </c>
      <c r="P1811" s="8" t="s">
        <v>401</v>
      </c>
      <c r="Q1811" s="12" t="s">
        <v>8992</v>
      </c>
      <c r="R1811" s="8" t="s">
        <v>29</v>
      </c>
      <c r="S1811" s="7" t="s">
        <v>28</v>
      </c>
      <c r="T1811" s="6"/>
      <c r="U1811" s="8"/>
      <c r="Y1811" s="8"/>
      <c r="Z1811" s="8"/>
      <c r="AA1811" s="8"/>
      <c r="AB1811" s="8"/>
      <c r="AC1811" s="8"/>
      <c r="AD1811" s="8"/>
      <c r="AE1811" s="8"/>
      <c r="AF1811" s="8"/>
      <c r="AG1811" s="8"/>
      <c r="AH1811" s="8"/>
    </row>
    <row r="1812" spans="1:34" ht="13" customHeight="1">
      <c r="A1812" s="8" t="s">
        <v>8973</v>
      </c>
      <c r="B1812" s="16">
        <v>56</v>
      </c>
      <c r="C1812" s="8" t="s">
        <v>20</v>
      </c>
      <c r="D1812" s="8" t="s">
        <v>37</v>
      </c>
      <c r="F1812" s="17">
        <v>41816</v>
      </c>
      <c r="G1812" s="8" t="s">
        <v>8974</v>
      </c>
      <c r="H1812" s="8" t="s">
        <v>8975</v>
      </c>
      <c r="I1812" s="8" t="s">
        <v>46</v>
      </c>
      <c r="J1812" s="16" t="s">
        <v>8976</v>
      </c>
      <c r="K1812" s="2" t="s">
        <v>1703</v>
      </c>
      <c r="L1812" s="8" t="s">
        <v>8977</v>
      </c>
      <c r="M1812" s="8" t="s">
        <v>391</v>
      </c>
      <c r="N1812" s="2" t="s">
        <v>21448</v>
      </c>
      <c r="O1812" s="8" t="s">
        <v>400</v>
      </c>
      <c r="P1812" s="8" t="s">
        <v>401</v>
      </c>
      <c r="Q1812" s="12" t="s">
        <v>8978</v>
      </c>
      <c r="R1812" s="8" t="s">
        <v>555</v>
      </c>
      <c r="S1812" s="7" t="s">
        <v>35</v>
      </c>
      <c r="T1812" s="6"/>
      <c r="U1812" s="8"/>
    </row>
    <row r="1813" spans="1:34" ht="13" customHeight="1">
      <c r="A1813" s="8" t="s">
        <v>8998</v>
      </c>
      <c r="B1813" s="16">
        <v>29</v>
      </c>
      <c r="C1813" s="8" t="s">
        <v>20</v>
      </c>
      <c r="D1813" s="8" t="s">
        <v>85</v>
      </c>
      <c r="F1813" s="17">
        <v>41815</v>
      </c>
      <c r="G1813" s="8" t="s">
        <v>8999</v>
      </c>
      <c r="H1813" s="8" t="s">
        <v>7104</v>
      </c>
      <c r="I1813" s="8" t="s">
        <v>225</v>
      </c>
      <c r="J1813" s="16" t="s">
        <v>9000</v>
      </c>
      <c r="K1813" s="2" t="s">
        <v>2544</v>
      </c>
      <c r="L1813" s="8" t="s">
        <v>6077</v>
      </c>
      <c r="M1813" s="8" t="s">
        <v>27</v>
      </c>
      <c r="N1813" s="2" t="s">
        <v>9001</v>
      </c>
      <c r="O1813" s="8" t="s">
        <v>1013</v>
      </c>
      <c r="P1813" s="8" t="s">
        <v>401</v>
      </c>
      <c r="Q1813" s="12" t="s">
        <v>9002</v>
      </c>
      <c r="R1813" s="8" t="s">
        <v>100</v>
      </c>
      <c r="S1813" s="7" t="s">
        <v>28</v>
      </c>
      <c r="T1813" s="6"/>
      <c r="U1813" s="8"/>
    </row>
    <row r="1814" spans="1:34" ht="13" customHeight="1">
      <c r="A1814" s="8" t="s">
        <v>8993</v>
      </c>
      <c r="B1814" s="16">
        <v>45</v>
      </c>
      <c r="C1814" s="8" t="s">
        <v>20</v>
      </c>
      <c r="D1814" s="8" t="s">
        <v>85</v>
      </c>
      <c r="F1814" s="17">
        <v>41815</v>
      </c>
      <c r="G1814" s="8" t="s">
        <v>8994</v>
      </c>
      <c r="H1814" s="8" t="s">
        <v>98</v>
      </c>
      <c r="I1814" s="8" t="s">
        <v>45</v>
      </c>
      <c r="J1814" s="16" t="s">
        <v>8995</v>
      </c>
      <c r="K1814" s="2" t="s">
        <v>98</v>
      </c>
      <c r="L1814" s="8" t="s">
        <v>99</v>
      </c>
      <c r="M1814" s="8" t="s">
        <v>27</v>
      </c>
      <c r="N1814" s="2" t="s">
        <v>8996</v>
      </c>
      <c r="O1814" s="8" t="s">
        <v>1013</v>
      </c>
      <c r="P1814" s="8" t="s">
        <v>401</v>
      </c>
      <c r="Q1814" s="12" t="s">
        <v>8997</v>
      </c>
      <c r="R1814" s="8" t="s">
        <v>100</v>
      </c>
      <c r="S1814" s="7" t="s">
        <v>28</v>
      </c>
      <c r="T1814" s="6"/>
      <c r="U1814" s="8"/>
    </row>
    <row r="1815" spans="1:34" ht="13" customHeight="1">
      <c r="A1815" s="8" t="s">
        <v>9009</v>
      </c>
      <c r="B1815" s="16">
        <v>29</v>
      </c>
      <c r="C1815" s="8" t="s">
        <v>20</v>
      </c>
      <c r="D1815" s="8" t="s">
        <v>37</v>
      </c>
      <c r="F1815" s="17">
        <v>41815</v>
      </c>
      <c r="G1815" s="8" t="s">
        <v>9010</v>
      </c>
      <c r="H1815" s="8" t="s">
        <v>4581</v>
      </c>
      <c r="I1815" s="8" t="s">
        <v>45</v>
      </c>
      <c r="J1815" s="16" t="s">
        <v>4582</v>
      </c>
      <c r="K1815" s="2" t="s">
        <v>309</v>
      </c>
      <c r="L1815" s="8" t="s">
        <v>414</v>
      </c>
      <c r="M1815" s="8" t="s">
        <v>27</v>
      </c>
      <c r="N1815" s="2" t="s">
        <v>9011</v>
      </c>
      <c r="O1815" s="8" t="s">
        <v>1013</v>
      </c>
      <c r="P1815" s="8" t="s">
        <v>401</v>
      </c>
      <c r="Q1815" s="12" t="s">
        <v>9012</v>
      </c>
      <c r="R1815" s="8" t="s">
        <v>100</v>
      </c>
      <c r="S1815" s="7" t="s">
        <v>28</v>
      </c>
      <c r="T1815" s="6"/>
      <c r="U1815" s="8"/>
    </row>
    <row r="1816" spans="1:34" ht="13" customHeight="1">
      <c r="A1816" s="8" t="s">
        <v>9003</v>
      </c>
      <c r="B1816" s="16">
        <v>49</v>
      </c>
      <c r="C1816" s="8" t="s">
        <v>114</v>
      </c>
      <c r="D1816" s="8" t="s">
        <v>37</v>
      </c>
      <c r="E1816" s="8" t="s">
        <v>9004</v>
      </c>
      <c r="F1816" s="17">
        <v>41815</v>
      </c>
      <c r="G1816" s="8" t="s">
        <v>9005</v>
      </c>
      <c r="H1816" s="8" t="s">
        <v>657</v>
      </c>
      <c r="I1816" s="8" t="s">
        <v>269</v>
      </c>
      <c r="J1816" s="16" t="s">
        <v>9006</v>
      </c>
      <c r="K1816" s="2" t="s">
        <v>570</v>
      </c>
      <c r="L1816" s="8" t="s">
        <v>571</v>
      </c>
      <c r="M1816" s="8" t="s">
        <v>27</v>
      </c>
      <c r="N1816" s="2" t="s">
        <v>9007</v>
      </c>
      <c r="O1816" s="8" t="s">
        <v>1013</v>
      </c>
      <c r="P1816" s="8" t="s">
        <v>401</v>
      </c>
      <c r="Q1816" s="12" t="s">
        <v>9008</v>
      </c>
      <c r="R1816" s="8" t="s">
        <v>29</v>
      </c>
      <c r="S1816" s="7" t="s">
        <v>28</v>
      </c>
      <c r="T1816" s="6"/>
      <c r="U1816" s="8"/>
    </row>
    <row r="1817" spans="1:34" ht="13" customHeight="1">
      <c r="A1817" s="8" t="s">
        <v>9019</v>
      </c>
      <c r="B1817" s="16">
        <v>20</v>
      </c>
      <c r="C1817" s="8" t="s">
        <v>20</v>
      </c>
      <c r="D1817" s="8" t="s">
        <v>85</v>
      </c>
      <c r="E1817" s="8" t="s">
        <v>9020</v>
      </c>
      <c r="F1817" s="17">
        <v>41814</v>
      </c>
      <c r="G1817" s="8" t="s">
        <v>9021</v>
      </c>
      <c r="H1817" s="8" t="s">
        <v>8611</v>
      </c>
      <c r="I1817" s="8" t="s">
        <v>81</v>
      </c>
      <c r="J1817" s="16" t="s">
        <v>9022</v>
      </c>
      <c r="K1817" s="2" t="s">
        <v>2486</v>
      </c>
      <c r="L1817" s="8" t="s">
        <v>8613</v>
      </c>
      <c r="M1817" s="8" t="s">
        <v>27</v>
      </c>
      <c r="N1817" s="2" t="s">
        <v>9023</v>
      </c>
      <c r="O1817" s="8" t="s">
        <v>1013</v>
      </c>
      <c r="P1817" s="8" t="s">
        <v>401</v>
      </c>
      <c r="Q1817" s="59" t="str">
        <f>HYPERLINK("http://www.nj.com/hudson/index.ssf/2014/06/authorities_release_identity_of_20-year-old_man_shot_by_police.html","http://www.nj.com/hudson/index.ssf/2014/06/authorities_release_identity_of_20-year-old_man_shot_by_police.html")</f>
        <v>http://www.nj.com/hudson/index.ssf/2014/06/authorities_release_identity_of_20-year-old_man_shot_by_police.html</v>
      </c>
      <c r="R1817" s="8" t="s">
        <v>100</v>
      </c>
      <c r="S1817" s="7" t="s">
        <v>18</v>
      </c>
      <c r="T1817" s="6"/>
      <c r="U1817" s="8"/>
    </row>
    <row r="1818" spans="1:34" ht="13" customHeight="1">
      <c r="A1818" s="8" t="s">
        <v>9013</v>
      </c>
      <c r="B1818" s="16">
        <v>24</v>
      </c>
      <c r="C1818" s="8" t="s">
        <v>20</v>
      </c>
      <c r="D1818" s="8" t="s">
        <v>85</v>
      </c>
      <c r="E1818" s="8" t="s">
        <v>9014</v>
      </c>
      <c r="F1818" s="17">
        <v>41814</v>
      </c>
      <c r="G1818" s="8" t="s">
        <v>9015</v>
      </c>
      <c r="H1818" s="8" t="s">
        <v>5227</v>
      </c>
      <c r="I1818" s="8" t="s">
        <v>45</v>
      </c>
      <c r="J1818" s="16" t="s">
        <v>9016</v>
      </c>
      <c r="K1818" s="2" t="s">
        <v>98</v>
      </c>
      <c r="L1818" s="8" t="s">
        <v>414</v>
      </c>
      <c r="M1818" s="8" t="s">
        <v>27</v>
      </c>
      <c r="N1818" s="2" t="s">
        <v>9017</v>
      </c>
      <c r="O1818" s="8" t="s">
        <v>1013</v>
      </c>
      <c r="P1818" s="8" t="s">
        <v>401</v>
      </c>
      <c r="Q1818" s="12" t="s">
        <v>9018</v>
      </c>
      <c r="R1818" s="8" t="s">
        <v>967</v>
      </c>
      <c r="S1818" s="7" t="s">
        <v>18</v>
      </c>
      <c r="T1818" s="6"/>
      <c r="U1818" s="8"/>
    </row>
    <row r="1819" spans="1:34" ht="13" customHeight="1">
      <c r="A1819" s="8" t="s">
        <v>9024</v>
      </c>
      <c r="B1819" s="16">
        <v>80</v>
      </c>
      <c r="C1819" s="8" t="s">
        <v>20</v>
      </c>
      <c r="D1819" s="8" t="s">
        <v>37</v>
      </c>
      <c r="E1819" s="8" t="s">
        <v>9025</v>
      </c>
      <c r="F1819" s="17">
        <v>41814</v>
      </c>
      <c r="G1819" s="8" t="s">
        <v>9026</v>
      </c>
      <c r="H1819" s="8" t="s">
        <v>9027</v>
      </c>
      <c r="I1819" s="8" t="s">
        <v>73</v>
      </c>
      <c r="J1819" s="16" t="s">
        <v>9028</v>
      </c>
      <c r="K1819" s="2" t="s">
        <v>1781</v>
      </c>
      <c r="L1819" s="8" t="s">
        <v>9029</v>
      </c>
      <c r="M1819" s="8" t="s">
        <v>27</v>
      </c>
      <c r="N1819" s="2" t="s">
        <v>9030</v>
      </c>
      <c r="O1819" s="8" t="s">
        <v>550</v>
      </c>
      <c r="P1819" s="8" t="s">
        <v>401</v>
      </c>
      <c r="Q1819" s="12" t="s">
        <v>9031</v>
      </c>
      <c r="R1819" s="8" t="s">
        <v>100</v>
      </c>
      <c r="S1819" s="7" t="s">
        <v>28</v>
      </c>
      <c r="T1819" s="6"/>
      <c r="U1819" s="8"/>
    </row>
    <row r="1820" spans="1:34" ht="13" customHeight="1">
      <c r="A1820" s="8" t="s">
        <v>9032</v>
      </c>
      <c r="B1820" s="16">
        <v>49</v>
      </c>
      <c r="C1820" s="8" t="s">
        <v>20</v>
      </c>
      <c r="D1820" s="8" t="s">
        <v>85</v>
      </c>
      <c r="E1820" s="8" t="s">
        <v>9033</v>
      </c>
      <c r="F1820" s="17">
        <v>41813</v>
      </c>
      <c r="G1820" s="8" t="s">
        <v>9034</v>
      </c>
      <c r="H1820" s="8" t="s">
        <v>9035</v>
      </c>
      <c r="I1820" s="8" t="s">
        <v>52</v>
      </c>
      <c r="J1820" s="16">
        <v>20772</v>
      </c>
      <c r="K1820" s="2" t="s">
        <v>2387</v>
      </c>
      <c r="L1820" s="8" t="s">
        <v>762</v>
      </c>
      <c r="M1820" s="8" t="s">
        <v>2297</v>
      </c>
      <c r="N1820" s="2" t="s">
        <v>9036</v>
      </c>
      <c r="O1820" s="8" t="s">
        <v>1013</v>
      </c>
      <c r="P1820" s="8" t="s">
        <v>401</v>
      </c>
      <c r="Q1820" s="12" t="str">
        <f>HYPERLINK("http://www.wusa9.com/story/news/local/upper-marlboro/2014/06/23/man-dies-in-prince-georges-county-jail/11267077/","http://www.wusa9.com/story/news/local/upper-marlboro/2014/06/23/man-dies-in-prince-georges-county-jail/11267077/")</f>
        <v>http://www.wusa9.com/story/news/local/upper-marlboro/2014/06/23/man-dies-in-prince-georges-county-jail/11267077/</v>
      </c>
      <c r="R1820" s="8" t="s">
        <v>29</v>
      </c>
      <c r="S1820" s="7" t="s">
        <v>18</v>
      </c>
      <c r="T1820" s="6"/>
      <c r="U1820" s="8"/>
    </row>
    <row r="1821" spans="1:34" ht="13" customHeight="1">
      <c r="A1821" s="8" t="s">
        <v>9037</v>
      </c>
      <c r="B1821" s="16">
        <v>45</v>
      </c>
      <c r="C1821" s="8" t="s">
        <v>20</v>
      </c>
      <c r="D1821" s="8" t="s">
        <v>85</v>
      </c>
      <c r="E1821" s="8" t="s">
        <v>9038</v>
      </c>
      <c r="F1821" s="17">
        <v>41812</v>
      </c>
      <c r="G1821" s="8" t="s">
        <v>9039</v>
      </c>
      <c r="H1821" s="8" t="s">
        <v>9040</v>
      </c>
      <c r="I1821" s="8" t="s">
        <v>73</v>
      </c>
      <c r="J1821" s="16" t="s">
        <v>9041</v>
      </c>
      <c r="K1821" s="2" t="s">
        <v>285</v>
      </c>
      <c r="L1821" s="8" t="s">
        <v>847</v>
      </c>
      <c r="M1821" s="8" t="s">
        <v>27</v>
      </c>
      <c r="N1821" s="2" t="s">
        <v>9042</v>
      </c>
      <c r="O1821" s="8" t="s">
        <v>4714</v>
      </c>
      <c r="P1821" s="8" t="s">
        <v>401</v>
      </c>
      <c r="Q1821" s="12" t="s">
        <v>21453</v>
      </c>
      <c r="R1821" s="8" t="s">
        <v>100</v>
      </c>
      <c r="S1821" s="7" t="s">
        <v>18</v>
      </c>
      <c r="T1821" s="6"/>
      <c r="U1821" s="8"/>
      <c r="Y1821" s="8"/>
      <c r="Z1821" s="8"/>
      <c r="AA1821" s="8"/>
      <c r="AB1821" s="8"/>
      <c r="AC1821" s="8"/>
      <c r="AD1821" s="8"/>
      <c r="AE1821" s="8"/>
      <c r="AF1821" s="8"/>
      <c r="AG1821" s="8"/>
      <c r="AH1821" s="8"/>
    </row>
    <row r="1822" spans="1:34" ht="13" customHeight="1">
      <c r="A1822" s="8" t="s">
        <v>9043</v>
      </c>
      <c r="B1822" s="16">
        <v>45</v>
      </c>
      <c r="C1822" s="8" t="s">
        <v>20</v>
      </c>
      <c r="D1822" s="8" t="s">
        <v>37</v>
      </c>
      <c r="E1822" s="8" t="s">
        <v>9044</v>
      </c>
      <c r="F1822" s="17">
        <v>41812</v>
      </c>
      <c r="G1822" s="8" t="s">
        <v>9045</v>
      </c>
      <c r="H1822" s="8" t="s">
        <v>6506</v>
      </c>
      <c r="I1822" s="8" t="s">
        <v>366</v>
      </c>
      <c r="J1822" s="16" t="s">
        <v>9046</v>
      </c>
      <c r="K1822" s="2" t="s">
        <v>649</v>
      </c>
      <c r="L1822" s="8" t="s">
        <v>6162</v>
      </c>
      <c r="M1822" s="8" t="s">
        <v>27</v>
      </c>
      <c r="N1822" s="2" t="s">
        <v>9047</v>
      </c>
      <c r="O1822" s="8" t="s">
        <v>4714</v>
      </c>
      <c r="P1822" s="8" t="s">
        <v>401</v>
      </c>
      <c r="Q1822" s="12" t="s">
        <v>9048</v>
      </c>
      <c r="R1822" s="8" t="s">
        <v>100</v>
      </c>
      <c r="S1822" s="7" t="s">
        <v>28</v>
      </c>
      <c r="T1822" s="6"/>
      <c r="U1822" s="8"/>
    </row>
    <row r="1823" spans="1:34" ht="13" customHeight="1">
      <c r="A1823" s="8" t="s">
        <v>9049</v>
      </c>
      <c r="B1823" s="16">
        <v>22</v>
      </c>
      <c r="C1823" s="8" t="s">
        <v>20</v>
      </c>
      <c r="D1823" s="8" t="s">
        <v>48</v>
      </c>
      <c r="E1823" s="8" t="s">
        <v>9050</v>
      </c>
      <c r="F1823" s="17">
        <v>41811</v>
      </c>
      <c r="G1823" s="8" t="s">
        <v>9051</v>
      </c>
      <c r="H1823" s="8" t="s">
        <v>1646</v>
      </c>
      <c r="I1823" s="8" t="s">
        <v>45</v>
      </c>
      <c r="J1823" s="16" t="s">
        <v>9052</v>
      </c>
      <c r="K1823" s="2" t="s">
        <v>1646</v>
      </c>
      <c r="L1823" s="8" t="s">
        <v>2331</v>
      </c>
      <c r="M1823" s="8" t="s">
        <v>27</v>
      </c>
      <c r="N1823" s="2" t="s">
        <v>9053</v>
      </c>
      <c r="O1823" s="8" t="s">
        <v>29</v>
      </c>
      <c r="P1823" s="8" t="s">
        <v>401</v>
      </c>
      <c r="Q1823" s="12" t="s">
        <v>9054</v>
      </c>
      <c r="R1823" s="8" t="s">
        <v>967</v>
      </c>
      <c r="S1823" s="7" t="s">
        <v>28</v>
      </c>
      <c r="T1823" s="6"/>
      <c r="U1823" s="8"/>
    </row>
    <row r="1824" spans="1:34" ht="13" customHeight="1">
      <c r="A1824" s="8" t="s">
        <v>9055</v>
      </c>
      <c r="B1824" s="16">
        <v>22</v>
      </c>
      <c r="C1824" s="8" t="s">
        <v>20</v>
      </c>
      <c r="D1824" s="8" t="s">
        <v>945</v>
      </c>
      <c r="E1824" s="8" t="s">
        <v>9056</v>
      </c>
      <c r="F1824" s="17">
        <v>41811</v>
      </c>
      <c r="G1824" s="8" t="s">
        <v>9057</v>
      </c>
      <c r="H1824" s="8" t="s">
        <v>415</v>
      </c>
      <c r="I1824" s="8" t="s">
        <v>45</v>
      </c>
      <c r="J1824" s="16" t="s">
        <v>7761</v>
      </c>
      <c r="K1824" s="2" t="s">
        <v>309</v>
      </c>
      <c r="L1824" s="8" t="s">
        <v>416</v>
      </c>
      <c r="M1824" s="8" t="s">
        <v>27</v>
      </c>
      <c r="N1824" s="2" t="s">
        <v>9058</v>
      </c>
      <c r="O1824" s="8" t="s">
        <v>29</v>
      </c>
      <c r="P1824" s="8" t="s">
        <v>401</v>
      </c>
      <c r="Q1824" s="12" t="s">
        <v>9059</v>
      </c>
      <c r="R1824" s="8" t="s">
        <v>100</v>
      </c>
      <c r="S1824" s="7" t="s">
        <v>28</v>
      </c>
      <c r="T1824" s="6"/>
      <c r="U1824" s="8"/>
    </row>
    <row r="1825" spans="1:21" ht="13" customHeight="1">
      <c r="A1825" s="8" t="s">
        <v>9060</v>
      </c>
      <c r="B1825" s="16">
        <v>31</v>
      </c>
      <c r="C1825" s="8" t="s">
        <v>20</v>
      </c>
      <c r="D1825" s="8" t="s">
        <v>37</v>
      </c>
      <c r="E1825" s="8" t="s">
        <v>9061</v>
      </c>
      <c r="F1825" s="17">
        <v>41811</v>
      </c>
      <c r="G1825" s="8" t="s">
        <v>9062</v>
      </c>
      <c r="H1825" s="8" t="s">
        <v>9063</v>
      </c>
      <c r="I1825" s="8" t="s">
        <v>1720</v>
      </c>
      <c r="J1825" s="16" t="s">
        <v>9064</v>
      </c>
      <c r="K1825" s="2" t="s">
        <v>2272</v>
      </c>
      <c r="L1825" s="8" t="s">
        <v>8037</v>
      </c>
      <c r="M1825" s="8" t="s">
        <v>27</v>
      </c>
      <c r="N1825" s="2" t="s">
        <v>9065</v>
      </c>
      <c r="O1825" s="8" t="s">
        <v>550</v>
      </c>
      <c r="P1825" s="8" t="s">
        <v>401</v>
      </c>
      <c r="Q1825" s="12" t="s">
        <v>9066</v>
      </c>
      <c r="R1825" s="8" t="s">
        <v>100</v>
      </c>
      <c r="S1825" s="7" t="s">
        <v>28</v>
      </c>
      <c r="T1825" s="6"/>
      <c r="U1825" s="8"/>
    </row>
    <row r="1826" spans="1:21" ht="13" customHeight="1">
      <c r="A1826" s="8" t="s">
        <v>9067</v>
      </c>
      <c r="B1826" s="16">
        <v>35</v>
      </c>
      <c r="C1826" s="8" t="s">
        <v>20</v>
      </c>
      <c r="D1826" s="8" t="s">
        <v>37</v>
      </c>
      <c r="E1826" s="8" t="s">
        <v>9068</v>
      </c>
      <c r="F1826" s="17">
        <v>41811</v>
      </c>
      <c r="G1826" s="8" t="s">
        <v>9069</v>
      </c>
      <c r="H1826" s="8" t="s">
        <v>9070</v>
      </c>
      <c r="I1826" s="8" t="s">
        <v>315</v>
      </c>
      <c r="J1826" s="16" t="s">
        <v>9071</v>
      </c>
      <c r="K1826" s="2" t="s">
        <v>3882</v>
      </c>
      <c r="L1826" s="8" t="s">
        <v>3385</v>
      </c>
      <c r="M1826" s="8" t="s">
        <v>27</v>
      </c>
      <c r="N1826" s="2" t="s">
        <v>9072</v>
      </c>
      <c r="O1826" s="8" t="s">
        <v>1013</v>
      </c>
      <c r="P1826" s="8" t="s">
        <v>401</v>
      </c>
      <c r="Q1826" s="12" t="s">
        <v>9073</v>
      </c>
      <c r="R1826" s="8" t="s">
        <v>100</v>
      </c>
      <c r="S1826" s="7" t="s">
        <v>28</v>
      </c>
      <c r="T1826" s="6"/>
      <c r="U1826" s="8"/>
    </row>
    <row r="1827" spans="1:21" ht="13" customHeight="1">
      <c r="A1827" s="8" t="s">
        <v>9074</v>
      </c>
      <c r="B1827" s="16">
        <v>54</v>
      </c>
      <c r="C1827" s="8" t="s">
        <v>20</v>
      </c>
      <c r="D1827" s="8" t="s">
        <v>37</v>
      </c>
      <c r="F1827" s="17">
        <v>41811</v>
      </c>
      <c r="G1827" s="8" t="s">
        <v>9075</v>
      </c>
      <c r="H1827" s="8" t="s">
        <v>9076</v>
      </c>
      <c r="I1827" s="8" t="s">
        <v>57</v>
      </c>
      <c r="J1827" s="16" t="s">
        <v>9077</v>
      </c>
      <c r="K1827" s="2" t="s">
        <v>1115</v>
      </c>
      <c r="L1827" s="8" t="s">
        <v>9078</v>
      </c>
      <c r="M1827" s="8" t="s">
        <v>27</v>
      </c>
      <c r="N1827" s="2" t="s">
        <v>9079</v>
      </c>
      <c r="O1827" s="8" t="s">
        <v>400</v>
      </c>
      <c r="P1827" s="8" t="s">
        <v>401</v>
      </c>
      <c r="Q1827" s="12" t="s">
        <v>9080</v>
      </c>
      <c r="R1827" s="8" t="s">
        <v>100</v>
      </c>
      <c r="S1827" s="7" t="s">
        <v>28</v>
      </c>
      <c r="T1827" s="6"/>
      <c r="U1827" s="8"/>
    </row>
    <row r="1828" spans="1:21" ht="13" customHeight="1">
      <c r="A1828" s="8" t="s">
        <v>9086</v>
      </c>
      <c r="B1828" s="16">
        <v>19</v>
      </c>
      <c r="C1828" s="8" t="s">
        <v>20</v>
      </c>
      <c r="D1828" s="8" t="s">
        <v>85</v>
      </c>
      <c r="E1828" s="8" t="s">
        <v>9087</v>
      </c>
      <c r="F1828" s="17">
        <v>41810</v>
      </c>
      <c r="G1828" s="8" t="s">
        <v>9088</v>
      </c>
      <c r="H1828" s="8" t="s">
        <v>2221</v>
      </c>
      <c r="I1828" s="8" t="s">
        <v>32</v>
      </c>
      <c r="J1828" s="16" t="s">
        <v>9089</v>
      </c>
      <c r="K1828" s="2" t="s">
        <v>2221</v>
      </c>
      <c r="L1828" s="8" t="s">
        <v>9090</v>
      </c>
      <c r="M1828" s="8" t="s">
        <v>27</v>
      </c>
      <c r="N1828" s="2" t="s">
        <v>9091</v>
      </c>
      <c r="O1828" s="8" t="s">
        <v>1013</v>
      </c>
      <c r="P1828" s="8" t="s">
        <v>401</v>
      </c>
      <c r="Q1828" s="12" t="s">
        <v>9092</v>
      </c>
      <c r="R1828" s="8" t="s">
        <v>100</v>
      </c>
      <c r="S1828" s="7" t="s">
        <v>28</v>
      </c>
      <c r="T1828" s="6"/>
      <c r="U1828" s="8"/>
    </row>
    <row r="1829" spans="1:21" ht="13" customHeight="1">
      <c r="A1829" s="8" t="s">
        <v>9081</v>
      </c>
      <c r="B1829" s="16">
        <v>30</v>
      </c>
      <c r="C1829" s="8" t="s">
        <v>20</v>
      </c>
      <c r="D1829" s="8" t="s">
        <v>85</v>
      </c>
      <c r="E1829" s="8" t="s">
        <v>9082</v>
      </c>
      <c r="F1829" s="17">
        <v>41810</v>
      </c>
      <c r="G1829" s="8" t="s">
        <v>9083</v>
      </c>
      <c r="H1829" s="8" t="s">
        <v>2524</v>
      </c>
      <c r="I1829" s="8" t="s">
        <v>73</v>
      </c>
      <c r="J1829" s="16" t="s">
        <v>9084</v>
      </c>
      <c r="K1829" s="2" t="s">
        <v>285</v>
      </c>
      <c r="L1829" s="8" t="s">
        <v>2525</v>
      </c>
      <c r="M1829" s="8" t="s">
        <v>27</v>
      </c>
      <c r="N1829" s="2" t="s">
        <v>9085</v>
      </c>
      <c r="O1829" s="8" t="s">
        <v>29</v>
      </c>
      <c r="P1829" s="8" t="s">
        <v>401</v>
      </c>
      <c r="Q1829" s="12" t="str">
        <f>HYPERLINK("http://www.myfoxdfw.com/story/25833600/suspect-killed-in-garland-officer-involved-shooting","http://www.myfoxdfw.com/story/25833600/suspect-killed-in-garland-officer-involved-shooting")</f>
        <v>http://www.myfoxdfw.com/story/25833600/suspect-killed-in-garland-officer-involved-shooting</v>
      </c>
      <c r="R1829" s="8" t="s">
        <v>29</v>
      </c>
      <c r="S1829" s="7" t="s">
        <v>28</v>
      </c>
      <c r="T1829" s="6"/>
      <c r="U1829" s="8"/>
    </row>
    <row r="1830" spans="1:21" ht="13" customHeight="1">
      <c r="A1830" s="8" t="s">
        <v>9093</v>
      </c>
      <c r="B1830" s="16">
        <v>23</v>
      </c>
      <c r="C1830" s="8" t="s">
        <v>20</v>
      </c>
      <c r="D1830" s="8" t="s">
        <v>139</v>
      </c>
      <c r="E1830" s="8" t="s">
        <v>9094</v>
      </c>
      <c r="F1830" s="17">
        <v>41810</v>
      </c>
      <c r="G1830" s="8" t="s">
        <v>9095</v>
      </c>
      <c r="H1830" s="8" t="s">
        <v>7585</v>
      </c>
      <c r="I1830" s="8" t="s">
        <v>45</v>
      </c>
      <c r="J1830" s="16" t="s">
        <v>8382</v>
      </c>
      <c r="K1830" s="2" t="s">
        <v>7587</v>
      </c>
      <c r="L1830" s="8" t="s">
        <v>7588</v>
      </c>
      <c r="M1830" s="8" t="s">
        <v>27</v>
      </c>
      <c r="N1830" s="2" t="s">
        <v>9096</v>
      </c>
      <c r="O1830" s="8" t="s">
        <v>1013</v>
      </c>
      <c r="P1830" s="8" t="s">
        <v>401</v>
      </c>
      <c r="Q1830" s="12" t="s">
        <v>9097</v>
      </c>
      <c r="R1830" s="8" t="s">
        <v>555</v>
      </c>
      <c r="S1830" s="7" t="s">
        <v>28</v>
      </c>
      <c r="T1830" s="6"/>
      <c r="U1830" s="8"/>
    </row>
    <row r="1831" spans="1:21" ht="13" customHeight="1">
      <c r="A1831" s="8" t="s">
        <v>3267</v>
      </c>
      <c r="B1831" s="16" t="s">
        <v>29</v>
      </c>
      <c r="C1831" s="8" t="s">
        <v>29</v>
      </c>
      <c r="D1831" s="8" t="s">
        <v>30</v>
      </c>
      <c r="F1831" s="17">
        <v>41810</v>
      </c>
      <c r="G1831" s="8" t="s">
        <v>9098</v>
      </c>
      <c r="H1831" s="8" t="s">
        <v>1793</v>
      </c>
      <c r="I1831" s="8" t="s">
        <v>173</v>
      </c>
      <c r="J1831" s="16" t="s">
        <v>9099</v>
      </c>
      <c r="K1831" s="2" t="s">
        <v>864</v>
      </c>
      <c r="L1831" s="8" t="s">
        <v>865</v>
      </c>
      <c r="M1831" s="8" t="s">
        <v>27</v>
      </c>
      <c r="N1831" s="2" t="s">
        <v>9100</v>
      </c>
      <c r="O1831" s="8" t="s">
        <v>1013</v>
      </c>
      <c r="P1831" s="8" t="s">
        <v>401</v>
      </c>
      <c r="Q1831" s="12" t="s">
        <v>9101</v>
      </c>
      <c r="R1831" s="8" t="s">
        <v>100</v>
      </c>
      <c r="S1831" s="7" t="s">
        <v>28</v>
      </c>
      <c r="T1831" s="6"/>
      <c r="U1831" s="8"/>
    </row>
    <row r="1832" spans="1:21" ht="13" customHeight="1">
      <c r="A1832" s="8" t="s">
        <v>9108</v>
      </c>
      <c r="B1832" s="16">
        <v>32</v>
      </c>
      <c r="C1832" s="8" t="s">
        <v>20</v>
      </c>
      <c r="D1832" s="8" t="s">
        <v>37</v>
      </c>
      <c r="E1832" s="8" t="s">
        <v>9109</v>
      </c>
      <c r="F1832" s="17">
        <v>41810</v>
      </c>
      <c r="G1832" s="8" t="s">
        <v>9110</v>
      </c>
      <c r="H1832" s="8" t="s">
        <v>9111</v>
      </c>
      <c r="I1832" s="8" t="s">
        <v>463</v>
      </c>
      <c r="J1832" s="16" t="s">
        <v>9112</v>
      </c>
      <c r="K1832" s="2" t="s">
        <v>9113</v>
      </c>
      <c r="L1832" s="8" t="s">
        <v>9114</v>
      </c>
      <c r="M1832" s="8" t="s">
        <v>27</v>
      </c>
      <c r="N1832" s="2" t="s">
        <v>9115</v>
      </c>
      <c r="O1832" s="8" t="s">
        <v>550</v>
      </c>
      <c r="P1832" s="8" t="s">
        <v>401</v>
      </c>
      <c r="Q1832" s="12" t="s">
        <v>9116</v>
      </c>
      <c r="R1832" s="8" t="s">
        <v>100</v>
      </c>
      <c r="S1832" s="7" t="s">
        <v>28</v>
      </c>
      <c r="T1832" s="6"/>
      <c r="U1832" s="8"/>
    </row>
    <row r="1833" spans="1:21" ht="13" customHeight="1">
      <c r="A1833" s="8" t="s">
        <v>9102</v>
      </c>
      <c r="B1833" s="16">
        <v>70</v>
      </c>
      <c r="C1833" s="8" t="s">
        <v>20</v>
      </c>
      <c r="D1833" s="8" t="s">
        <v>37</v>
      </c>
      <c r="E1833" s="8" t="s">
        <v>9103</v>
      </c>
      <c r="F1833" s="17">
        <v>41810</v>
      </c>
      <c r="G1833" s="8" t="s">
        <v>9104</v>
      </c>
      <c r="H1833" s="8" t="s">
        <v>548</v>
      </c>
      <c r="I1833" s="8" t="s">
        <v>73</v>
      </c>
      <c r="J1833" s="16" t="s">
        <v>9105</v>
      </c>
      <c r="K1833" s="2" t="s">
        <v>548</v>
      </c>
      <c r="L1833" s="8" t="s">
        <v>618</v>
      </c>
      <c r="M1833" s="8" t="s">
        <v>27</v>
      </c>
      <c r="N1833" s="2" t="s">
        <v>9106</v>
      </c>
      <c r="O1833" s="8" t="s">
        <v>1013</v>
      </c>
      <c r="P1833" s="8" t="s">
        <v>401</v>
      </c>
      <c r="Q1833" s="12" t="s">
        <v>9107</v>
      </c>
      <c r="R1833" s="8" t="s">
        <v>100</v>
      </c>
      <c r="S1833" s="7" t="s">
        <v>28</v>
      </c>
      <c r="T1833" s="6"/>
      <c r="U1833" s="8"/>
    </row>
    <row r="1834" spans="1:21" ht="13" customHeight="1">
      <c r="A1834" s="8" t="s">
        <v>9117</v>
      </c>
      <c r="B1834" s="16">
        <v>53</v>
      </c>
      <c r="C1834" s="8" t="s">
        <v>20</v>
      </c>
      <c r="D1834" s="8" t="s">
        <v>85</v>
      </c>
      <c r="F1834" s="17">
        <v>41809</v>
      </c>
      <c r="G1834" s="8" t="s">
        <v>9118</v>
      </c>
      <c r="H1834" s="8" t="s">
        <v>9119</v>
      </c>
      <c r="I1834" s="8" t="s">
        <v>366</v>
      </c>
      <c r="J1834" s="16" t="s">
        <v>9120</v>
      </c>
      <c r="K1834" s="2" t="s">
        <v>3167</v>
      </c>
      <c r="L1834" s="8" t="s">
        <v>9121</v>
      </c>
      <c r="M1834" s="8" t="s">
        <v>27</v>
      </c>
      <c r="N1834" s="2" t="s">
        <v>9122</v>
      </c>
      <c r="O1834" s="8" t="s">
        <v>1013</v>
      </c>
      <c r="P1834" s="8" t="s">
        <v>401</v>
      </c>
      <c r="Q1834" s="12" t="s">
        <v>9123</v>
      </c>
      <c r="R1834" s="8" t="s">
        <v>29</v>
      </c>
      <c r="S1834" s="7" t="s">
        <v>28</v>
      </c>
      <c r="T1834" s="6"/>
      <c r="U1834" s="8"/>
    </row>
    <row r="1835" spans="1:21" ht="13" customHeight="1">
      <c r="A1835" s="8" t="s">
        <v>9131</v>
      </c>
      <c r="B1835" s="16">
        <v>45</v>
      </c>
      <c r="C1835" s="8" t="s">
        <v>20</v>
      </c>
      <c r="D1835" s="8" t="s">
        <v>48</v>
      </c>
      <c r="F1835" s="17">
        <v>41809</v>
      </c>
      <c r="G1835" s="8" t="s">
        <v>9132</v>
      </c>
      <c r="H1835" s="8" t="s">
        <v>575</v>
      </c>
      <c r="I1835" s="8" t="s">
        <v>73</v>
      </c>
      <c r="J1835" s="16" t="s">
        <v>9133</v>
      </c>
      <c r="K1835" s="2" t="s">
        <v>576</v>
      </c>
      <c r="L1835" s="8" t="s">
        <v>577</v>
      </c>
      <c r="M1835" s="8" t="s">
        <v>27</v>
      </c>
      <c r="N1835" s="2" t="s">
        <v>9134</v>
      </c>
      <c r="O1835" s="8" t="s">
        <v>4714</v>
      </c>
      <c r="P1835" s="8" t="s">
        <v>401</v>
      </c>
      <c r="Q1835" s="12" t="s">
        <v>9135</v>
      </c>
      <c r="R1835" s="8" t="s">
        <v>100</v>
      </c>
      <c r="S1835" s="7" t="s">
        <v>28</v>
      </c>
      <c r="T1835" s="6"/>
      <c r="U1835" s="8"/>
    </row>
    <row r="1836" spans="1:21" ht="13" customHeight="1">
      <c r="A1836" s="8" t="s">
        <v>9124</v>
      </c>
      <c r="B1836" s="16">
        <v>17</v>
      </c>
      <c r="C1836" s="8" t="s">
        <v>20</v>
      </c>
      <c r="D1836" s="8" t="s">
        <v>48</v>
      </c>
      <c r="E1836" s="8" t="s">
        <v>9125</v>
      </c>
      <c r="F1836" s="17">
        <v>41809</v>
      </c>
      <c r="G1836" s="8" t="s">
        <v>9126</v>
      </c>
      <c r="H1836" s="8" t="s">
        <v>213</v>
      </c>
      <c r="I1836" s="8" t="s">
        <v>62</v>
      </c>
      <c r="J1836" s="16" t="s">
        <v>9127</v>
      </c>
      <c r="K1836" s="2" t="s">
        <v>161</v>
      </c>
      <c r="L1836" s="8" t="s">
        <v>9128</v>
      </c>
      <c r="M1836" s="8" t="s">
        <v>27</v>
      </c>
      <c r="N1836" s="2" t="s">
        <v>9129</v>
      </c>
      <c r="O1836" s="8" t="s">
        <v>4714</v>
      </c>
      <c r="P1836" s="8" t="s">
        <v>401</v>
      </c>
      <c r="Q1836" s="12" t="s">
        <v>9130</v>
      </c>
      <c r="R1836" s="8" t="s">
        <v>100</v>
      </c>
      <c r="S1836" s="7" t="s">
        <v>379</v>
      </c>
      <c r="T1836" s="6"/>
      <c r="U1836" s="8"/>
    </row>
    <row r="1837" spans="1:21" ht="13" customHeight="1">
      <c r="A1837" s="8" t="s">
        <v>9136</v>
      </c>
      <c r="B1837" s="16">
        <v>37</v>
      </c>
      <c r="C1837" s="8" t="s">
        <v>20</v>
      </c>
      <c r="D1837" s="8" t="s">
        <v>30</v>
      </c>
      <c r="F1837" s="17">
        <v>41809</v>
      </c>
      <c r="G1837" s="8" t="s">
        <v>9137</v>
      </c>
      <c r="H1837" s="8" t="s">
        <v>1646</v>
      </c>
      <c r="I1837" s="8" t="s">
        <v>45</v>
      </c>
      <c r="J1837" s="16" t="s">
        <v>9052</v>
      </c>
      <c r="K1837" s="2" t="s">
        <v>1646</v>
      </c>
      <c r="L1837" s="8" t="s">
        <v>2331</v>
      </c>
      <c r="M1837" s="8" t="s">
        <v>27</v>
      </c>
      <c r="N1837" s="2" t="s">
        <v>9138</v>
      </c>
      <c r="O1837" s="8" t="s">
        <v>1013</v>
      </c>
      <c r="P1837" s="8" t="s">
        <v>401</v>
      </c>
      <c r="Q1837" s="12" t="s">
        <v>9139</v>
      </c>
      <c r="R1837" s="8" t="s">
        <v>100</v>
      </c>
      <c r="S1837" s="7" t="s">
        <v>28</v>
      </c>
      <c r="T1837" s="6"/>
      <c r="U1837" s="8"/>
    </row>
    <row r="1838" spans="1:21" ht="13" customHeight="1">
      <c r="A1838" s="8" t="s">
        <v>9147</v>
      </c>
      <c r="B1838" s="16">
        <v>36</v>
      </c>
      <c r="C1838" s="8" t="s">
        <v>20</v>
      </c>
      <c r="D1838" s="8" t="s">
        <v>37</v>
      </c>
      <c r="E1838" s="8" t="s">
        <v>9148</v>
      </c>
      <c r="F1838" s="17">
        <v>41809</v>
      </c>
      <c r="G1838" s="8" t="s">
        <v>9149</v>
      </c>
      <c r="H1838" s="8" t="s">
        <v>9150</v>
      </c>
      <c r="I1838" s="8" t="s">
        <v>303</v>
      </c>
      <c r="J1838" s="16" t="s">
        <v>9151</v>
      </c>
      <c r="K1838" s="2" t="s">
        <v>9152</v>
      </c>
      <c r="L1838" s="8" t="s">
        <v>9153</v>
      </c>
      <c r="M1838" s="8" t="s">
        <v>27</v>
      </c>
      <c r="N1838" s="2" t="s">
        <v>9154</v>
      </c>
      <c r="O1838" s="8" t="s">
        <v>550</v>
      </c>
      <c r="P1838" s="8" t="s">
        <v>401</v>
      </c>
      <c r="Q1838" s="12" t="str">
        <f>HYPERLINK("http://blogs.seattletimes.com/today/2014/06/man-killed-by-port-orchard-police-identified/","http://blogs.seattletimes.com/today/2014/06/man-killed-by-port-orchard-police-identified/")</f>
        <v>http://blogs.seattletimes.com/today/2014/06/man-killed-by-port-orchard-police-identified/</v>
      </c>
      <c r="R1838" s="8" t="s">
        <v>100</v>
      </c>
      <c r="S1838" s="7" t="s">
        <v>28</v>
      </c>
      <c r="T1838" s="6"/>
      <c r="U1838" s="8"/>
    </row>
    <row r="1839" spans="1:21" ht="13" customHeight="1">
      <c r="A1839" s="8" t="s">
        <v>9140</v>
      </c>
      <c r="B1839" s="16">
        <v>32</v>
      </c>
      <c r="C1839" s="8" t="s">
        <v>20</v>
      </c>
      <c r="D1839" s="8" t="s">
        <v>37</v>
      </c>
      <c r="E1839" s="8" t="s">
        <v>9141</v>
      </c>
      <c r="F1839" s="17">
        <v>41809</v>
      </c>
      <c r="G1839" s="8" t="s">
        <v>9142</v>
      </c>
      <c r="H1839" s="8" t="s">
        <v>9143</v>
      </c>
      <c r="I1839" s="8" t="s">
        <v>32</v>
      </c>
      <c r="J1839" s="16" t="s">
        <v>9144</v>
      </c>
      <c r="K1839" s="2" t="s">
        <v>1081</v>
      </c>
      <c r="L1839" s="8" t="s">
        <v>1082</v>
      </c>
      <c r="M1839" s="8" t="s">
        <v>27</v>
      </c>
      <c r="N1839" s="2" t="s">
        <v>9145</v>
      </c>
      <c r="O1839" s="8" t="s">
        <v>4714</v>
      </c>
      <c r="P1839" s="8" t="s">
        <v>401</v>
      </c>
      <c r="Q1839" s="12" t="s">
        <v>9146</v>
      </c>
      <c r="R1839" s="8" t="s">
        <v>100</v>
      </c>
      <c r="S1839" s="7" t="s">
        <v>35</v>
      </c>
      <c r="T1839" s="6"/>
      <c r="U1839" s="8"/>
    </row>
    <row r="1840" spans="1:21" ht="13" customHeight="1">
      <c r="A1840" s="8" t="s">
        <v>9155</v>
      </c>
      <c r="B1840" s="16">
        <v>21</v>
      </c>
      <c r="C1840" s="8" t="s">
        <v>20</v>
      </c>
      <c r="D1840" s="8" t="s">
        <v>85</v>
      </c>
      <c r="E1840" s="8" t="s">
        <v>9156</v>
      </c>
      <c r="F1840" s="17">
        <v>41808</v>
      </c>
      <c r="G1840" s="8" t="s">
        <v>9157</v>
      </c>
      <c r="H1840" s="8" t="s">
        <v>4218</v>
      </c>
      <c r="I1840" s="8" t="s">
        <v>366</v>
      </c>
      <c r="J1840" s="16" t="s">
        <v>9158</v>
      </c>
      <c r="K1840" s="2" t="s">
        <v>4220</v>
      </c>
      <c r="L1840" s="8" t="s">
        <v>4221</v>
      </c>
      <c r="M1840" s="8" t="s">
        <v>27</v>
      </c>
      <c r="N1840" s="2" t="s">
        <v>9159</v>
      </c>
      <c r="O1840" s="8" t="s">
        <v>1013</v>
      </c>
      <c r="P1840" s="8" t="s">
        <v>401</v>
      </c>
      <c r="Q1840" s="12" t="s">
        <v>9160</v>
      </c>
      <c r="R1840" s="8" t="s">
        <v>100</v>
      </c>
      <c r="S1840" s="7" t="s">
        <v>28</v>
      </c>
      <c r="T1840" s="6"/>
      <c r="U1840" s="8"/>
    </row>
    <row r="1841" spans="1:34" ht="13" customHeight="1">
      <c r="A1841" s="8" t="s">
        <v>9161</v>
      </c>
      <c r="B1841" s="16">
        <v>25</v>
      </c>
      <c r="C1841" s="8" t="s">
        <v>20</v>
      </c>
      <c r="D1841" s="8" t="s">
        <v>37</v>
      </c>
      <c r="E1841" s="8" t="s">
        <v>9162</v>
      </c>
      <c r="F1841" s="17">
        <v>41808</v>
      </c>
      <c r="G1841" s="8" t="s">
        <v>9163</v>
      </c>
      <c r="H1841" s="8" t="s">
        <v>8918</v>
      </c>
      <c r="I1841" s="8" t="s">
        <v>81</v>
      </c>
      <c r="J1841" s="16">
        <v>7202</v>
      </c>
      <c r="K1841" s="2" t="s">
        <v>672</v>
      </c>
      <c r="L1841" s="8" t="s">
        <v>5046</v>
      </c>
      <c r="M1841" s="8" t="s">
        <v>2297</v>
      </c>
      <c r="N1841" s="2" t="s">
        <v>9164</v>
      </c>
      <c r="P1841" s="8" t="s">
        <v>401</v>
      </c>
      <c r="Q1841" s="12" t="s">
        <v>9165</v>
      </c>
      <c r="S1841" s="7" t="s">
        <v>18</v>
      </c>
      <c r="T1841" s="6"/>
      <c r="U1841" s="8"/>
    </row>
    <row r="1842" spans="1:34" ht="13" customHeight="1">
      <c r="A1842" s="8" t="s">
        <v>9166</v>
      </c>
      <c r="B1842" s="16">
        <v>24</v>
      </c>
      <c r="C1842" s="8" t="s">
        <v>20</v>
      </c>
      <c r="D1842" s="8" t="s">
        <v>85</v>
      </c>
      <c r="E1842" s="8" t="s">
        <v>9167</v>
      </c>
      <c r="F1842" s="17">
        <v>41806</v>
      </c>
      <c r="G1842" s="8" t="s">
        <v>9168</v>
      </c>
      <c r="H1842" s="8" t="s">
        <v>2460</v>
      </c>
      <c r="I1842" s="8" t="s">
        <v>173</v>
      </c>
      <c r="J1842" s="16" t="s">
        <v>2461</v>
      </c>
      <c r="K1842" s="2" t="s">
        <v>1328</v>
      </c>
      <c r="L1842" s="8" t="s">
        <v>9169</v>
      </c>
      <c r="M1842" s="8" t="s">
        <v>27</v>
      </c>
      <c r="N1842" s="2" t="s">
        <v>9170</v>
      </c>
      <c r="O1842" s="8" t="s">
        <v>1013</v>
      </c>
      <c r="P1842" s="8" t="s">
        <v>401</v>
      </c>
      <c r="Q1842" s="12" t="s">
        <v>9171</v>
      </c>
      <c r="R1842" s="8" t="s">
        <v>100</v>
      </c>
      <c r="S1842" s="7" t="s">
        <v>28</v>
      </c>
      <c r="T1842" s="6"/>
      <c r="U1842" s="8"/>
    </row>
    <row r="1843" spans="1:34" ht="13" customHeight="1">
      <c r="A1843" s="8" t="s">
        <v>9172</v>
      </c>
      <c r="B1843" s="16">
        <v>35</v>
      </c>
      <c r="C1843" s="8" t="s">
        <v>20</v>
      </c>
      <c r="D1843" s="8" t="s">
        <v>37</v>
      </c>
      <c r="E1843" s="8" t="s">
        <v>9173</v>
      </c>
      <c r="F1843" s="17">
        <v>41806</v>
      </c>
      <c r="G1843" s="8" t="s">
        <v>9174</v>
      </c>
      <c r="H1843" s="8" t="s">
        <v>909</v>
      </c>
      <c r="I1843" s="8" t="s">
        <v>395</v>
      </c>
      <c r="J1843" s="16" t="s">
        <v>9175</v>
      </c>
      <c r="K1843" s="2" t="s">
        <v>9176</v>
      </c>
      <c r="L1843" s="8" t="s">
        <v>2048</v>
      </c>
      <c r="M1843" s="8" t="s">
        <v>27</v>
      </c>
      <c r="N1843" s="2" t="s">
        <v>9177</v>
      </c>
      <c r="O1843" s="8" t="s">
        <v>550</v>
      </c>
      <c r="P1843" s="8" t="s">
        <v>401</v>
      </c>
      <c r="Q1843" s="12" t="s">
        <v>9178</v>
      </c>
      <c r="R1843" s="8" t="s">
        <v>967</v>
      </c>
      <c r="S1843" s="7" t="s">
        <v>28</v>
      </c>
      <c r="T1843" s="6"/>
      <c r="U1843" s="8"/>
    </row>
    <row r="1844" spans="1:34" ht="13" customHeight="1">
      <c r="A1844" s="8" t="s">
        <v>9179</v>
      </c>
      <c r="B1844" s="16">
        <v>30</v>
      </c>
      <c r="C1844" s="8" t="s">
        <v>20</v>
      </c>
      <c r="D1844" s="8" t="s">
        <v>85</v>
      </c>
      <c r="E1844" s="8" t="s">
        <v>9180</v>
      </c>
      <c r="F1844" s="17">
        <v>41805</v>
      </c>
      <c r="G1844" s="8" t="s">
        <v>9181</v>
      </c>
      <c r="H1844" s="8" t="s">
        <v>1596</v>
      </c>
      <c r="I1844" s="8" t="s">
        <v>52</v>
      </c>
      <c r="J1844" s="16" t="s">
        <v>9182</v>
      </c>
      <c r="K1844" s="2" t="s">
        <v>4727</v>
      </c>
      <c r="L1844" s="8" t="s">
        <v>2782</v>
      </c>
      <c r="M1844" s="8" t="s">
        <v>27</v>
      </c>
      <c r="N1844" s="2" t="s">
        <v>9183</v>
      </c>
      <c r="O1844" s="8" t="s">
        <v>1161</v>
      </c>
      <c r="P1844" s="8" t="s">
        <v>401</v>
      </c>
      <c r="Q1844" s="12" t="s">
        <v>9184</v>
      </c>
      <c r="R1844" s="8" t="s">
        <v>100</v>
      </c>
      <c r="S1844" s="7" t="s">
        <v>28</v>
      </c>
      <c r="T1844" s="6"/>
      <c r="U1844" s="8"/>
    </row>
    <row r="1845" spans="1:34" ht="13" customHeight="1">
      <c r="A1845" s="8" t="s">
        <v>9185</v>
      </c>
      <c r="B1845" s="16">
        <v>67</v>
      </c>
      <c r="C1845" s="8" t="s">
        <v>20</v>
      </c>
      <c r="D1845" s="8" t="s">
        <v>30</v>
      </c>
      <c r="F1845" s="17">
        <v>41805</v>
      </c>
      <c r="G1845" s="8" t="s">
        <v>9186</v>
      </c>
      <c r="H1845" s="8" t="s">
        <v>681</v>
      </c>
      <c r="I1845" s="8" t="s">
        <v>45</v>
      </c>
      <c r="J1845" s="16" t="s">
        <v>6104</v>
      </c>
      <c r="K1845" s="2" t="s">
        <v>682</v>
      </c>
      <c r="L1845" s="8" t="s">
        <v>750</v>
      </c>
      <c r="M1845" s="8" t="s">
        <v>27</v>
      </c>
      <c r="N1845" s="2" t="s">
        <v>9187</v>
      </c>
      <c r="O1845" s="8" t="s">
        <v>400</v>
      </c>
      <c r="P1845" s="8" t="s">
        <v>401</v>
      </c>
      <c r="Q1845" s="12" t="s">
        <v>9188</v>
      </c>
      <c r="R1845" s="8" t="s">
        <v>555</v>
      </c>
      <c r="S1845" s="7" t="s">
        <v>28</v>
      </c>
      <c r="T1845" s="6"/>
      <c r="U1845" s="8"/>
    </row>
    <row r="1846" spans="1:34" ht="13" customHeight="1">
      <c r="A1846" s="8" t="s">
        <v>9198</v>
      </c>
      <c r="B1846" s="16">
        <v>33</v>
      </c>
      <c r="C1846" s="8" t="s">
        <v>20</v>
      </c>
      <c r="D1846" s="8" t="s">
        <v>37</v>
      </c>
      <c r="E1846" s="8" t="s">
        <v>9199</v>
      </c>
      <c r="F1846" s="17">
        <v>41805</v>
      </c>
      <c r="G1846" s="8" t="s">
        <v>9200</v>
      </c>
      <c r="H1846" s="8" t="s">
        <v>1211</v>
      </c>
      <c r="I1846" s="8" t="s">
        <v>303</v>
      </c>
      <c r="J1846" s="16" t="s">
        <v>9201</v>
      </c>
      <c r="K1846" s="2" t="s">
        <v>1212</v>
      </c>
      <c r="L1846" s="8" t="s">
        <v>9202</v>
      </c>
      <c r="M1846" s="8" t="s">
        <v>27</v>
      </c>
      <c r="N1846" s="2" t="s">
        <v>9203</v>
      </c>
      <c r="O1846" s="8" t="s">
        <v>1013</v>
      </c>
      <c r="P1846" s="8" t="s">
        <v>401</v>
      </c>
      <c r="Q1846" s="12" t="str">
        <f>HYPERLINK("http://www.wsp.wa.gov/information/releases/2014_archive/mr061714.htm","http://www.wsp.wa.gov/information/releases/2014_archive/mr061714.htm")</f>
        <v>http://www.wsp.wa.gov/information/releases/2014_archive/mr061714.htm</v>
      </c>
      <c r="R1846" s="8" t="s">
        <v>555</v>
      </c>
      <c r="S1846" s="7" t="s">
        <v>28</v>
      </c>
      <c r="T1846" s="6"/>
      <c r="U1846" s="8"/>
    </row>
    <row r="1847" spans="1:34" ht="13" customHeight="1">
      <c r="A1847" s="8" t="s">
        <v>9189</v>
      </c>
      <c r="B1847" s="16">
        <v>34</v>
      </c>
      <c r="C1847" s="8" t="s">
        <v>20</v>
      </c>
      <c r="D1847" s="8" t="s">
        <v>37</v>
      </c>
      <c r="E1847" s="8" t="s">
        <v>9190</v>
      </c>
      <c r="F1847" s="17">
        <v>41805</v>
      </c>
      <c r="G1847" s="8" t="s">
        <v>9191</v>
      </c>
      <c r="H1847" s="8" t="s">
        <v>9192</v>
      </c>
      <c r="I1847" s="8" t="s">
        <v>62</v>
      </c>
      <c r="J1847" s="16" t="s">
        <v>9193</v>
      </c>
      <c r="K1847" s="2" t="s">
        <v>9194</v>
      </c>
      <c r="L1847" s="8" t="s">
        <v>9195</v>
      </c>
      <c r="M1847" s="8" t="s">
        <v>27</v>
      </c>
      <c r="N1847" s="2" t="s">
        <v>9196</v>
      </c>
      <c r="O1847" s="8" t="s">
        <v>1013</v>
      </c>
      <c r="P1847" s="8" t="s">
        <v>401</v>
      </c>
      <c r="Q1847" s="12" t="s">
        <v>9197</v>
      </c>
      <c r="R1847" s="8" t="s">
        <v>555</v>
      </c>
      <c r="S1847" s="7" t="s">
        <v>28</v>
      </c>
      <c r="T1847" s="6"/>
      <c r="U1847" s="8"/>
      <c r="Y1847" s="8"/>
      <c r="Z1847" s="8"/>
      <c r="AA1847" s="8"/>
      <c r="AB1847" s="8"/>
      <c r="AC1847" s="8"/>
      <c r="AD1847" s="8"/>
      <c r="AE1847" s="8"/>
      <c r="AF1847" s="8"/>
      <c r="AG1847" s="8"/>
      <c r="AH1847" s="8"/>
    </row>
    <row r="1848" spans="1:34" ht="13" customHeight="1">
      <c r="A1848" s="8" t="s">
        <v>9204</v>
      </c>
      <c r="B1848" s="16">
        <v>38</v>
      </c>
      <c r="C1848" s="8" t="s">
        <v>20</v>
      </c>
      <c r="D1848" s="8" t="s">
        <v>85</v>
      </c>
      <c r="E1848" s="8" t="s">
        <v>9205</v>
      </c>
      <c r="F1848" s="17">
        <v>41804</v>
      </c>
      <c r="G1848" s="8" t="s">
        <v>9206</v>
      </c>
      <c r="H1848" s="8" t="s">
        <v>285</v>
      </c>
      <c r="I1848" s="8" t="s">
        <v>73</v>
      </c>
      <c r="J1848" s="16" t="s">
        <v>9207</v>
      </c>
      <c r="K1848" s="2" t="s">
        <v>285</v>
      </c>
      <c r="L1848" s="8" t="s">
        <v>286</v>
      </c>
      <c r="M1848" s="8" t="s">
        <v>27</v>
      </c>
      <c r="N1848" s="2" t="s">
        <v>9208</v>
      </c>
      <c r="O1848" s="8" t="s">
        <v>550</v>
      </c>
      <c r="P1848" s="8" t="s">
        <v>401</v>
      </c>
      <c r="Q1848" s="12" t="s">
        <v>9209</v>
      </c>
      <c r="R1848" s="8" t="s">
        <v>555</v>
      </c>
      <c r="S1848" s="7" t="s">
        <v>18</v>
      </c>
      <c r="T1848" s="6"/>
      <c r="U1848" s="8"/>
    </row>
    <row r="1849" spans="1:34" ht="13" customHeight="1">
      <c r="A1849" s="8" t="s">
        <v>9210</v>
      </c>
      <c r="B1849" s="16">
        <v>21</v>
      </c>
      <c r="C1849" s="8" t="s">
        <v>20</v>
      </c>
      <c r="D1849" s="8" t="s">
        <v>48</v>
      </c>
      <c r="F1849" s="17">
        <v>41804</v>
      </c>
      <c r="G1849" s="8" t="s">
        <v>9211</v>
      </c>
      <c r="H1849" s="8" t="s">
        <v>1707</v>
      </c>
      <c r="I1849" s="8" t="s">
        <v>209</v>
      </c>
      <c r="J1849" s="16" t="s">
        <v>1708</v>
      </c>
      <c r="K1849" s="2" t="s">
        <v>1709</v>
      </c>
      <c r="L1849" s="8" t="s">
        <v>1710</v>
      </c>
      <c r="M1849" s="8" t="s">
        <v>27</v>
      </c>
      <c r="N1849" s="2" t="s">
        <v>9212</v>
      </c>
      <c r="O1849" s="8" t="s">
        <v>550</v>
      </c>
      <c r="P1849" s="8" t="s">
        <v>401</v>
      </c>
      <c r="Q1849" s="12" t="s">
        <v>9213</v>
      </c>
      <c r="R1849" s="8" t="s">
        <v>100</v>
      </c>
      <c r="S1849" s="7" t="s">
        <v>28</v>
      </c>
      <c r="T1849" s="6"/>
      <c r="U1849" s="8"/>
    </row>
    <row r="1850" spans="1:34" ht="13" customHeight="1">
      <c r="A1850" s="8" t="s">
        <v>9214</v>
      </c>
      <c r="B1850" s="16">
        <v>40</v>
      </c>
      <c r="C1850" s="8" t="s">
        <v>20</v>
      </c>
      <c r="D1850" s="8" t="s">
        <v>37</v>
      </c>
      <c r="F1850" s="17">
        <v>41804</v>
      </c>
      <c r="G1850" s="8" t="s">
        <v>9215</v>
      </c>
      <c r="H1850" s="8" t="s">
        <v>9216</v>
      </c>
      <c r="I1850" s="8" t="s">
        <v>44</v>
      </c>
      <c r="J1850" s="16" t="s">
        <v>9217</v>
      </c>
      <c r="K1850" s="2" t="s">
        <v>9218</v>
      </c>
      <c r="L1850" s="8" t="s">
        <v>405</v>
      </c>
      <c r="M1850" s="8" t="s">
        <v>27</v>
      </c>
      <c r="N1850" s="2" t="s">
        <v>9219</v>
      </c>
      <c r="O1850" s="8" t="s">
        <v>1013</v>
      </c>
      <c r="P1850" s="8" t="s">
        <v>401</v>
      </c>
      <c r="Q1850" s="12" t="s">
        <v>9220</v>
      </c>
      <c r="R1850" s="8" t="s">
        <v>29</v>
      </c>
      <c r="S1850" s="7" t="s">
        <v>28</v>
      </c>
      <c r="T1850" s="6"/>
      <c r="U1850" s="8"/>
    </row>
    <row r="1851" spans="1:34" ht="13" customHeight="1">
      <c r="A1851" s="8" t="s">
        <v>9221</v>
      </c>
      <c r="B1851" s="16">
        <v>61</v>
      </c>
      <c r="C1851" s="8" t="s">
        <v>20</v>
      </c>
      <c r="D1851" s="8" t="s">
        <v>85</v>
      </c>
      <c r="F1851" s="17">
        <v>41803</v>
      </c>
      <c r="G1851" s="8" t="s">
        <v>9222</v>
      </c>
      <c r="H1851" s="8" t="s">
        <v>4038</v>
      </c>
      <c r="I1851" s="8" t="s">
        <v>671</v>
      </c>
      <c r="J1851" s="16" t="s">
        <v>4039</v>
      </c>
      <c r="K1851" s="2" t="s">
        <v>4040</v>
      </c>
      <c r="L1851" s="8" t="s">
        <v>4041</v>
      </c>
      <c r="M1851" s="8" t="s">
        <v>27</v>
      </c>
      <c r="N1851" s="2" t="s">
        <v>9223</v>
      </c>
      <c r="O1851" s="8" t="s">
        <v>1013</v>
      </c>
      <c r="P1851" s="8" t="s">
        <v>401</v>
      </c>
      <c r="Q1851" s="12" t="s">
        <v>9224</v>
      </c>
      <c r="R1851" s="8" t="s">
        <v>100</v>
      </c>
      <c r="S1851" s="7" t="s">
        <v>28</v>
      </c>
      <c r="T1851" s="6"/>
      <c r="U1851" s="8"/>
    </row>
    <row r="1852" spans="1:34" ht="13" customHeight="1">
      <c r="A1852" s="8" t="s">
        <v>9225</v>
      </c>
      <c r="B1852" s="16">
        <v>17</v>
      </c>
      <c r="C1852" s="8" t="s">
        <v>20</v>
      </c>
      <c r="D1852" s="8" t="s">
        <v>48</v>
      </c>
      <c r="F1852" s="17">
        <v>41803</v>
      </c>
      <c r="G1852" s="8" t="s">
        <v>9226</v>
      </c>
      <c r="H1852" s="8" t="s">
        <v>929</v>
      </c>
      <c r="I1852" s="8" t="s">
        <v>73</v>
      </c>
      <c r="J1852" s="16" t="s">
        <v>9227</v>
      </c>
      <c r="K1852" s="2" t="s">
        <v>74</v>
      </c>
      <c r="L1852" s="8" t="s">
        <v>930</v>
      </c>
      <c r="M1852" s="8" t="s">
        <v>27</v>
      </c>
      <c r="N1852" s="2" t="s">
        <v>9228</v>
      </c>
      <c r="O1852" s="8" t="s">
        <v>1013</v>
      </c>
      <c r="P1852" s="8" t="s">
        <v>401</v>
      </c>
      <c r="Q1852" s="12" t="s">
        <v>9229</v>
      </c>
      <c r="R1852" s="8" t="s">
        <v>100</v>
      </c>
      <c r="S1852" s="7" t="s">
        <v>28</v>
      </c>
      <c r="T1852" s="6"/>
      <c r="U1852" s="8"/>
    </row>
    <row r="1853" spans="1:34" ht="13" customHeight="1">
      <c r="A1853" s="8" t="s">
        <v>9230</v>
      </c>
      <c r="B1853" s="16" t="s">
        <v>9231</v>
      </c>
      <c r="C1853" s="8" t="s">
        <v>20</v>
      </c>
      <c r="D1853" s="8" t="s">
        <v>37</v>
      </c>
      <c r="E1853" s="8" t="s">
        <v>9232</v>
      </c>
      <c r="F1853" s="17">
        <v>41803</v>
      </c>
      <c r="G1853" s="8" t="s">
        <v>9233</v>
      </c>
      <c r="H1853" s="8" t="s">
        <v>9234</v>
      </c>
      <c r="I1853" s="8" t="s">
        <v>269</v>
      </c>
      <c r="J1853" s="16" t="s">
        <v>9235</v>
      </c>
      <c r="K1853" s="2" t="s">
        <v>9236</v>
      </c>
      <c r="L1853" s="8" t="s">
        <v>9237</v>
      </c>
      <c r="M1853" s="8" t="s">
        <v>27</v>
      </c>
      <c r="N1853" s="2" t="s">
        <v>9238</v>
      </c>
      <c r="O1853" s="8" t="s">
        <v>29</v>
      </c>
      <c r="P1853" s="8" t="s">
        <v>401</v>
      </c>
      <c r="Q1853" s="12" t="s">
        <v>9239</v>
      </c>
      <c r="R1853" s="8" t="s">
        <v>100</v>
      </c>
      <c r="S1853" s="7" t="s">
        <v>28</v>
      </c>
      <c r="T1853" s="6"/>
      <c r="U1853" s="8"/>
    </row>
    <row r="1854" spans="1:34" ht="13" customHeight="1">
      <c r="A1854" s="8" t="s">
        <v>9240</v>
      </c>
      <c r="B1854" s="16">
        <v>28</v>
      </c>
      <c r="C1854" s="8" t="s">
        <v>20</v>
      </c>
      <c r="D1854" s="8" t="s">
        <v>85</v>
      </c>
      <c r="E1854" s="8" t="s">
        <v>9241</v>
      </c>
      <c r="F1854" s="17">
        <v>41802</v>
      </c>
      <c r="G1854" s="8" t="s">
        <v>9242</v>
      </c>
      <c r="H1854" s="8" t="s">
        <v>9192</v>
      </c>
      <c r="I1854" s="8" t="s">
        <v>62</v>
      </c>
      <c r="J1854" s="16" t="s">
        <v>9193</v>
      </c>
      <c r="K1854" s="2" t="s">
        <v>9194</v>
      </c>
      <c r="L1854" s="8" t="s">
        <v>9243</v>
      </c>
      <c r="M1854" s="8" t="s">
        <v>379</v>
      </c>
      <c r="N1854" s="2" t="s">
        <v>9244</v>
      </c>
      <c r="O1854" s="8" t="s">
        <v>1013</v>
      </c>
      <c r="P1854" s="8" t="s">
        <v>401</v>
      </c>
      <c r="Q1854" s="12" t="s">
        <v>9245</v>
      </c>
      <c r="R1854" s="8" t="s">
        <v>100</v>
      </c>
      <c r="S1854" s="7" t="s">
        <v>28</v>
      </c>
      <c r="T1854" s="6"/>
      <c r="U1854" s="8"/>
    </row>
    <row r="1855" spans="1:34" ht="13" customHeight="1">
      <c r="A1855" s="8" t="s">
        <v>9246</v>
      </c>
      <c r="B1855" s="16">
        <v>23</v>
      </c>
      <c r="C1855" s="8" t="s">
        <v>20</v>
      </c>
      <c r="D1855" s="8" t="s">
        <v>37</v>
      </c>
      <c r="E1855" s="8" t="s">
        <v>9247</v>
      </c>
      <c r="F1855" s="17">
        <v>41802</v>
      </c>
      <c r="G1855" s="8" t="s">
        <v>9248</v>
      </c>
      <c r="H1855" s="8" t="s">
        <v>1565</v>
      </c>
      <c r="I1855" s="8" t="s">
        <v>117</v>
      </c>
      <c r="J1855" s="16" t="s">
        <v>9249</v>
      </c>
      <c r="K1855" s="2" t="s">
        <v>1567</v>
      </c>
      <c r="L1855" s="8" t="s">
        <v>18022</v>
      </c>
      <c r="M1855" s="8" t="s">
        <v>27</v>
      </c>
      <c r="N1855" s="2" t="s">
        <v>9250</v>
      </c>
      <c r="O1855" s="8" t="s">
        <v>550</v>
      </c>
      <c r="P1855" s="8" t="s">
        <v>401</v>
      </c>
      <c r="Q1855" s="12" t="s">
        <v>9251</v>
      </c>
      <c r="R1855" s="8" t="s">
        <v>555</v>
      </c>
      <c r="S1855" s="7" t="s">
        <v>28</v>
      </c>
      <c r="T1855" s="6"/>
      <c r="U1855" s="8"/>
    </row>
    <row r="1856" spans="1:34" ht="13" customHeight="1">
      <c r="A1856" s="8" t="s">
        <v>9252</v>
      </c>
      <c r="B1856" s="16">
        <v>38</v>
      </c>
      <c r="C1856" s="8" t="s">
        <v>20</v>
      </c>
      <c r="D1856" s="8" t="s">
        <v>37</v>
      </c>
      <c r="E1856" s="8" t="s">
        <v>9253</v>
      </c>
      <c r="F1856" s="17">
        <v>41802</v>
      </c>
      <c r="G1856" s="8" t="s">
        <v>9254</v>
      </c>
      <c r="H1856" s="8" t="s">
        <v>9255</v>
      </c>
      <c r="I1856" s="8" t="s">
        <v>117</v>
      </c>
      <c r="J1856" s="16" t="s">
        <v>9256</v>
      </c>
      <c r="K1856" s="2" t="s">
        <v>4284</v>
      </c>
      <c r="L1856" s="8" t="s">
        <v>9257</v>
      </c>
      <c r="M1856" s="8" t="s">
        <v>27</v>
      </c>
      <c r="N1856" s="2" t="s">
        <v>9258</v>
      </c>
      <c r="O1856" s="8" t="s">
        <v>1013</v>
      </c>
      <c r="P1856" s="8" t="s">
        <v>401</v>
      </c>
      <c r="Q1856" s="12" t="s">
        <v>9259</v>
      </c>
      <c r="R1856" s="8" t="s">
        <v>100</v>
      </c>
      <c r="S1856" s="7" t="s">
        <v>28</v>
      </c>
      <c r="T1856" s="6"/>
      <c r="U1856" s="8"/>
    </row>
    <row r="1857" spans="1:24" ht="13" customHeight="1">
      <c r="A1857" s="8" t="s">
        <v>9267</v>
      </c>
      <c r="B1857" s="16">
        <v>58</v>
      </c>
      <c r="C1857" s="8" t="s">
        <v>20</v>
      </c>
      <c r="D1857" s="8" t="s">
        <v>37</v>
      </c>
      <c r="E1857" s="8" t="s">
        <v>9268</v>
      </c>
      <c r="F1857" s="17">
        <v>41802</v>
      </c>
      <c r="G1857" s="8" t="s">
        <v>9269</v>
      </c>
      <c r="H1857" s="8" t="s">
        <v>2149</v>
      </c>
      <c r="I1857" s="8" t="s">
        <v>25</v>
      </c>
      <c r="J1857" s="16" t="s">
        <v>2150</v>
      </c>
      <c r="K1857" s="2" t="s">
        <v>2151</v>
      </c>
      <c r="L1857" s="8" t="s">
        <v>9270</v>
      </c>
      <c r="M1857" s="8" t="s">
        <v>27</v>
      </c>
      <c r="N1857" s="2" t="s">
        <v>9271</v>
      </c>
      <c r="O1857" s="8" t="s">
        <v>550</v>
      </c>
      <c r="P1857" s="8" t="s">
        <v>401</v>
      </c>
      <c r="Q1857" s="12" t="s">
        <v>9272</v>
      </c>
      <c r="R1857" s="8" t="s">
        <v>29</v>
      </c>
      <c r="S1857" s="7" t="s">
        <v>28</v>
      </c>
      <c r="T1857" s="6"/>
      <c r="U1857" s="8"/>
    </row>
    <row r="1858" spans="1:24" ht="13" customHeight="1">
      <c r="A1858" s="8" t="s">
        <v>9260</v>
      </c>
      <c r="B1858" s="16">
        <v>18</v>
      </c>
      <c r="C1858" s="8" t="s">
        <v>20</v>
      </c>
      <c r="D1858" s="8" t="s">
        <v>37</v>
      </c>
      <c r="E1858" s="8" t="s">
        <v>9261</v>
      </c>
      <c r="F1858" s="17">
        <v>41802</v>
      </c>
      <c r="G1858" s="8" t="s">
        <v>9262</v>
      </c>
      <c r="H1858" s="8" t="s">
        <v>9263</v>
      </c>
      <c r="I1858" s="8" t="s">
        <v>150</v>
      </c>
      <c r="J1858" s="16" t="s">
        <v>9264</v>
      </c>
      <c r="K1858" s="2" t="s">
        <v>2914</v>
      </c>
      <c r="L1858" s="8" t="s">
        <v>17515</v>
      </c>
      <c r="M1858" s="8" t="s">
        <v>27</v>
      </c>
      <c r="N1858" s="2" t="s">
        <v>9265</v>
      </c>
      <c r="O1858" s="8" t="s">
        <v>550</v>
      </c>
      <c r="P1858" s="8" t="s">
        <v>401</v>
      </c>
      <c r="Q1858" s="12" t="s">
        <v>9266</v>
      </c>
      <c r="R1858" s="8" t="s">
        <v>555</v>
      </c>
      <c r="S1858" s="7" t="s">
        <v>18</v>
      </c>
      <c r="T1858" s="6"/>
      <c r="U1858" s="8"/>
    </row>
    <row r="1859" spans="1:24" ht="13" customHeight="1">
      <c r="A1859" s="8" t="s">
        <v>9273</v>
      </c>
      <c r="B1859" s="16">
        <v>22</v>
      </c>
      <c r="C1859" s="8" t="s">
        <v>20</v>
      </c>
      <c r="D1859" s="8" t="s">
        <v>48</v>
      </c>
      <c r="F1859" s="17">
        <v>41801</v>
      </c>
      <c r="G1859" s="8" t="s">
        <v>9274</v>
      </c>
      <c r="H1859" s="8" t="s">
        <v>200</v>
      </c>
      <c r="I1859" s="8" t="s">
        <v>45</v>
      </c>
      <c r="J1859" s="16" t="s">
        <v>9275</v>
      </c>
      <c r="K1859" s="2" t="s">
        <v>200</v>
      </c>
      <c r="L1859" s="8" t="s">
        <v>201</v>
      </c>
      <c r="M1859" s="8" t="s">
        <v>27</v>
      </c>
      <c r="N1859" s="2" t="s">
        <v>9276</v>
      </c>
      <c r="O1859" s="8" t="s">
        <v>1013</v>
      </c>
      <c r="P1859" s="8" t="s">
        <v>401</v>
      </c>
      <c r="Q1859" s="12" t="s">
        <v>9277</v>
      </c>
      <c r="R1859" s="8" t="s">
        <v>967</v>
      </c>
      <c r="S1859" s="7" t="s">
        <v>28</v>
      </c>
      <c r="T1859" s="6"/>
      <c r="U1859" s="8"/>
    </row>
    <row r="1860" spans="1:24" ht="13" customHeight="1">
      <c r="A1860" s="8" t="s">
        <v>9278</v>
      </c>
      <c r="B1860" s="16">
        <v>55</v>
      </c>
      <c r="C1860" s="8" t="s">
        <v>20</v>
      </c>
      <c r="D1860" s="8" t="s">
        <v>30</v>
      </c>
      <c r="F1860" s="17">
        <v>41801</v>
      </c>
      <c r="G1860" s="8" t="s">
        <v>9279</v>
      </c>
      <c r="H1860" s="8" t="s">
        <v>9280</v>
      </c>
      <c r="I1860" s="8" t="s">
        <v>45</v>
      </c>
      <c r="J1860" s="16">
        <v>95490</v>
      </c>
      <c r="K1860" s="2" t="s">
        <v>5801</v>
      </c>
      <c r="L1860" s="8" t="s">
        <v>9281</v>
      </c>
      <c r="M1860" s="8" t="s">
        <v>2297</v>
      </c>
      <c r="N1860" s="2" t="s">
        <v>9282</v>
      </c>
      <c r="P1860" s="8" t="s">
        <v>401</v>
      </c>
      <c r="Q1860" s="12" t="s">
        <v>9283</v>
      </c>
      <c r="S1860" s="7" t="s">
        <v>18</v>
      </c>
      <c r="T1860" s="6"/>
      <c r="U1860" s="8"/>
      <c r="V1860" s="8"/>
      <c r="W1860" s="8"/>
      <c r="X1860" s="8"/>
    </row>
    <row r="1861" spans="1:24" ht="13" customHeight="1">
      <c r="A1861" s="8" t="s">
        <v>9284</v>
      </c>
      <c r="B1861" s="16">
        <v>37</v>
      </c>
      <c r="C1861" s="8" t="s">
        <v>20</v>
      </c>
      <c r="D1861" s="8" t="s">
        <v>37</v>
      </c>
      <c r="E1861" s="8" t="s">
        <v>9285</v>
      </c>
      <c r="F1861" s="17">
        <v>41801</v>
      </c>
      <c r="G1861" s="8" t="s">
        <v>9286</v>
      </c>
      <c r="H1861" s="8" t="s">
        <v>1280</v>
      </c>
      <c r="I1861" s="8" t="s">
        <v>269</v>
      </c>
      <c r="J1861" s="16" t="s">
        <v>9287</v>
      </c>
      <c r="K1861" s="2" t="s">
        <v>570</v>
      </c>
      <c r="L1861" s="8" t="s">
        <v>1486</v>
      </c>
      <c r="M1861" s="8" t="s">
        <v>27</v>
      </c>
      <c r="N1861" s="2" t="s">
        <v>9288</v>
      </c>
      <c r="O1861" s="8" t="s">
        <v>1013</v>
      </c>
      <c r="P1861" s="8" t="s">
        <v>401</v>
      </c>
      <c r="Q1861" s="12" t="s">
        <v>9289</v>
      </c>
      <c r="R1861" s="8" t="s">
        <v>29</v>
      </c>
      <c r="S1861" s="7" t="s">
        <v>28</v>
      </c>
      <c r="T1861" s="6"/>
      <c r="U1861" s="8"/>
    </row>
    <row r="1862" spans="1:24" ht="13" customHeight="1">
      <c r="A1862" s="8" t="s">
        <v>9290</v>
      </c>
      <c r="B1862" s="16">
        <v>30</v>
      </c>
      <c r="C1862" s="8" t="s">
        <v>20</v>
      </c>
      <c r="D1862" s="8" t="s">
        <v>37</v>
      </c>
      <c r="E1862" s="8" t="s">
        <v>9291</v>
      </c>
      <c r="F1862" s="17">
        <v>41801</v>
      </c>
      <c r="G1862" s="8" t="s">
        <v>9292</v>
      </c>
      <c r="H1862" s="8" t="s">
        <v>9293</v>
      </c>
      <c r="I1862" s="8" t="s">
        <v>423</v>
      </c>
      <c r="J1862" s="16" t="s">
        <v>9294</v>
      </c>
      <c r="K1862" s="2" t="s">
        <v>581</v>
      </c>
      <c r="L1862" s="8" t="s">
        <v>9295</v>
      </c>
      <c r="M1862" s="8" t="s">
        <v>14474</v>
      </c>
      <c r="N1862" s="2" t="s">
        <v>9296</v>
      </c>
      <c r="O1862" s="8" t="s">
        <v>1013</v>
      </c>
      <c r="P1862" s="8" t="s">
        <v>401</v>
      </c>
      <c r="Q1862" s="12" t="s">
        <v>9297</v>
      </c>
      <c r="R1862" s="8" t="s">
        <v>100</v>
      </c>
      <c r="S1862" s="7" t="s">
        <v>35</v>
      </c>
      <c r="T1862" s="6"/>
      <c r="U1862" s="8"/>
      <c r="V1862" s="13"/>
      <c r="W1862" s="13"/>
      <c r="X1862" s="13"/>
    </row>
    <row r="1863" spans="1:24" ht="13" customHeight="1">
      <c r="A1863" s="8" t="s">
        <v>9298</v>
      </c>
      <c r="B1863" s="16">
        <v>21</v>
      </c>
      <c r="C1863" s="8" t="s">
        <v>20</v>
      </c>
      <c r="D1863" s="8" t="s">
        <v>85</v>
      </c>
      <c r="E1863" s="8" t="s">
        <v>9299</v>
      </c>
      <c r="F1863" s="17">
        <v>41800</v>
      </c>
      <c r="G1863" s="8" t="s">
        <v>9300</v>
      </c>
      <c r="H1863" s="8" t="s">
        <v>3795</v>
      </c>
      <c r="I1863" s="8" t="s">
        <v>173</v>
      </c>
      <c r="J1863" s="16" t="s">
        <v>3796</v>
      </c>
      <c r="K1863" s="2" t="s">
        <v>1307</v>
      </c>
      <c r="L1863" s="8" t="s">
        <v>9301</v>
      </c>
      <c r="M1863" s="8" t="s">
        <v>27</v>
      </c>
      <c r="N1863" s="2" t="s">
        <v>9302</v>
      </c>
      <c r="O1863" s="8" t="s">
        <v>1013</v>
      </c>
      <c r="P1863" s="8" t="s">
        <v>401</v>
      </c>
      <c r="Q1863" s="12" t="s">
        <v>9303</v>
      </c>
      <c r="R1863" s="8" t="s">
        <v>100</v>
      </c>
      <c r="S1863" s="7" t="s">
        <v>28</v>
      </c>
      <c r="T1863" s="6"/>
      <c r="U1863" s="8"/>
    </row>
    <row r="1864" spans="1:24" ht="13" customHeight="1">
      <c r="A1864" s="8" t="s">
        <v>9304</v>
      </c>
      <c r="B1864" s="16">
        <v>31</v>
      </c>
      <c r="C1864" s="8" t="s">
        <v>20</v>
      </c>
      <c r="D1864" s="8" t="s">
        <v>48</v>
      </c>
      <c r="F1864" s="17">
        <v>41800</v>
      </c>
      <c r="G1864" s="8" t="s">
        <v>9305</v>
      </c>
      <c r="H1864" s="8" t="s">
        <v>4282</v>
      </c>
      <c r="I1864" s="8" t="s">
        <v>45</v>
      </c>
      <c r="J1864" s="16" t="s">
        <v>6109</v>
      </c>
      <c r="K1864" s="2" t="s">
        <v>309</v>
      </c>
      <c r="L1864" s="8" t="s">
        <v>9306</v>
      </c>
      <c r="M1864" s="8" t="s">
        <v>27</v>
      </c>
      <c r="N1864" s="2" t="s">
        <v>9307</v>
      </c>
      <c r="O1864" s="8" t="s">
        <v>1013</v>
      </c>
      <c r="P1864" s="8" t="s">
        <v>401</v>
      </c>
      <c r="Q1864" s="12" t="s">
        <v>9308</v>
      </c>
      <c r="R1864" s="8" t="s">
        <v>100</v>
      </c>
      <c r="S1864" s="7" t="s">
        <v>28</v>
      </c>
      <c r="T1864" s="6"/>
      <c r="U1864" s="8"/>
    </row>
    <row r="1865" spans="1:24" ht="13" customHeight="1">
      <c r="A1865" s="8" t="s">
        <v>9309</v>
      </c>
      <c r="B1865" s="16">
        <v>25</v>
      </c>
      <c r="C1865" s="8" t="s">
        <v>20</v>
      </c>
      <c r="D1865" s="8" t="s">
        <v>37</v>
      </c>
      <c r="E1865" s="8" t="s">
        <v>9310</v>
      </c>
      <c r="F1865" s="17">
        <v>41800</v>
      </c>
      <c r="G1865" s="8" t="s">
        <v>9311</v>
      </c>
      <c r="H1865" s="8" t="s">
        <v>9312</v>
      </c>
      <c r="I1865" s="8" t="s">
        <v>431</v>
      </c>
      <c r="J1865" s="16" t="s">
        <v>9313</v>
      </c>
      <c r="K1865" s="2" t="s">
        <v>9314</v>
      </c>
      <c r="L1865" s="8" t="s">
        <v>9315</v>
      </c>
      <c r="M1865" s="8" t="s">
        <v>27</v>
      </c>
      <c r="N1865" s="2" t="s">
        <v>9316</v>
      </c>
      <c r="O1865" s="8" t="s">
        <v>550</v>
      </c>
      <c r="P1865" s="8" t="s">
        <v>401</v>
      </c>
      <c r="Q1865" s="12" t="str">
        <f>HYPERLINK("http://www.ky3.com/news/local/deadly-offiverinvolved-shooting-kills-cassville-man-officer-injured/21048998_26424836","http://www.ky3.com/news/local/deadly-offiverinvolved-shooting-kills-cassville-man-officer-injured/21048998_26424836")</f>
        <v>http://www.ky3.com/news/local/deadly-offiverinvolved-shooting-kills-cassville-man-officer-injured/21048998_26424836</v>
      </c>
      <c r="R1865" s="8" t="s">
        <v>555</v>
      </c>
      <c r="S1865" s="7" t="s">
        <v>28</v>
      </c>
      <c r="T1865" s="6"/>
      <c r="U1865" s="8"/>
    </row>
    <row r="1866" spans="1:24" ht="13" customHeight="1">
      <c r="A1866" s="8" t="s">
        <v>9317</v>
      </c>
      <c r="B1866" s="16">
        <v>73</v>
      </c>
      <c r="C1866" s="8" t="s">
        <v>20</v>
      </c>
      <c r="D1866" s="8" t="s">
        <v>37</v>
      </c>
      <c r="F1866" s="17">
        <v>41800</v>
      </c>
      <c r="G1866" s="8" t="s">
        <v>9318</v>
      </c>
      <c r="H1866" s="8" t="s">
        <v>9319</v>
      </c>
      <c r="I1866" s="8" t="s">
        <v>117</v>
      </c>
      <c r="J1866" s="16" t="s">
        <v>9320</v>
      </c>
      <c r="K1866" s="2" t="s">
        <v>433</v>
      </c>
      <c r="L1866" s="8" t="s">
        <v>9321</v>
      </c>
      <c r="M1866" s="8" t="s">
        <v>27</v>
      </c>
      <c r="N1866" s="2" t="s">
        <v>9322</v>
      </c>
      <c r="O1866" s="8" t="s">
        <v>1013</v>
      </c>
      <c r="P1866" s="8" t="s">
        <v>401</v>
      </c>
      <c r="Q1866" s="12" t="s">
        <v>9323</v>
      </c>
      <c r="R1866" s="8" t="s">
        <v>100</v>
      </c>
      <c r="S1866" s="7" t="s">
        <v>28</v>
      </c>
      <c r="T1866" s="6"/>
      <c r="U1866" s="8"/>
    </row>
    <row r="1867" spans="1:24" ht="13" customHeight="1">
      <c r="A1867" s="8" t="s">
        <v>9324</v>
      </c>
      <c r="B1867" s="16">
        <v>48</v>
      </c>
      <c r="C1867" s="8" t="s">
        <v>20</v>
      </c>
      <c r="D1867" s="8" t="s">
        <v>85</v>
      </c>
      <c r="E1867" s="8" t="s">
        <v>9325</v>
      </c>
      <c r="F1867" s="17">
        <v>41799</v>
      </c>
      <c r="G1867" s="8" t="s">
        <v>9326</v>
      </c>
      <c r="H1867" s="8" t="s">
        <v>708</v>
      </c>
      <c r="I1867" s="8" t="s">
        <v>94</v>
      </c>
      <c r="J1867" s="16" t="s">
        <v>9327</v>
      </c>
      <c r="K1867" s="2" t="s">
        <v>708</v>
      </c>
      <c r="L1867" s="8" t="s">
        <v>9328</v>
      </c>
      <c r="M1867" s="8" t="s">
        <v>27</v>
      </c>
      <c r="N1867" s="2" t="s">
        <v>9329</v>
      </c>
      <c r="O1867" s="8" t="s">
        <v>1013</v>
      </c>
      <c r="P1867" s="8" t="s">
        <v>401</v>
      </c>
      <c r="Q1867" s="12" t="s">
        <v>9330</v>
      </c>
      <c r="R1867" s="8" t="s">
        <v>100</v>
      </c>
      <c r="S1867" s="7" t="s">
        <v>28</v>
      </c>
      <c r="T1867" s="6"/>
      <c r="U1867" s="8"/>
    </row>
    <row r="1868" spans="1:24" ht="13" customHeight="1">
      <c r="A1868" s="8" t="s">
        <v>9331</v>
      </c>
      <c r="B1868" s="16">
        <v>43</v>
      </c>
      <c r="C1868" s="8" t="s">
        <v>20</v>
      </c>
      <c r="D1868" s="8" t="s">
        <v>37</v>
      </c>
      <c r="E1868" s="8" t="s">
        <v>9332</v>
      </c>
      <c r="F1868" s="17">
        <v>41799</v>
      </c>
      <c r="G1868" s="8" t="s">
        <v>9333</v>
      </c>
      <c r="H1868" s="8" t="s">
        <v>1097</v>
      </c>
      <c r="I1868" s="8" t="s">
        <v>395</v>
      </c>
      <c r="J1868" s="16" t="s">
        <v>6244</v>
      </c>
      <c r="K1868" s="2" t="s">
        <v>1098</v>
      </c>
      <c r="L1868" s="8" t="s">
        <v>1099</v>
      </c>
      <c r="M1868" s="8" t="s">
        <v>27</v>
      </c>
      <c r="N1868" s="2" t="s">
        <v>9334</v>
      </c>
      <c r="O1868" s="8" t="s">
        <v>1013</v>
      </c>
      <c r="P1868" s="8" t="s">
        <v>401</v>
      </c>
      <c r="Q1868" s="12" t="s">
        <v>9335</v>
      </c>
      <c r="R1868" s="8" t="s">
        <v>100</v>
      </c>
      <c r="S1868" s="7" t="s">
        <v>28</v>
      </c>
      <c r="T1868" s="6"/>
      <c r="U1868" s="8"/>
    </row>
    <row r="1869" spans="1:24" ht="13" customHeight="1">
      <c r="A1869" s="8" t="s">
        <v>9345</v>
      </c>
      <c r="B1869" s="16">
        <v>24</v>
      </c>
      <c r="C1869" s="8" t="s">
        <v>20</v>
      </c>
      <c r="D1869" s="8" t="s">
        <v>37</v>
      </c>
      <c r="E1869" s="8" t="s">
        <v>9346</v>
      </c>
      <c r="F1869" s="17">
        <v>41799</v>
      </c>
      <c r="G1869" s="8" t="s">
        <v>9347</v>
      </c>
      <c r="H1869" s="8" t="s">
        <v>9348</v>
      </c>
      <c r="I1869" s="8" t="s">
        <v>195</v>
      </c>
      <c r="J1869" s="16" t="s">
        <v>9349</v>
      </c>
      <c r="K1869" s="2" t="s">
        <v>9350</v>
      </c>
      <c r="L1869" s="8" t="s">
        <v>9351</v>
      </c>
      <c r="M1869" s="8" t="s">
        <v>27</v>
      </c>
      <c r="N1869" s="2" t="s">
        <v>9352</v>
      </c>
      <c r="O1869" s="8" t="s">
        <v>4714</v>
      </c>
      <c r="P1869" s="8" t="s">
        <v>401</v>
      </c>
      <c r="Q1869" s="12" t="s">
        <v>9353</v>
      </c>
      <c r="R1869" s="8" t="s">
        <v>100</v>
      </c>
      <c r="S1869" s="7" t="s">
        <v>18</v>
      </c>
      <c r="T1869" s="6"/>
      <c r="U1869" s="8"/>
    </row>
    <row r="1870" spans="1:24" ht="13" customHeight="1">
      <c r="A1870" s="8" t="s">
        <v>9336</v>
      </c>
      <c r="B1870" s="16">
        <v>48</v>
      </c>
      <c r="C1870" s="8" t="s">
        <v>20</v>
      </c>
      <c r="D1870" s="8" t="s">
        <v>37</v>
      </c>
      <c r="E1870" s="8" t="s">
        <v>9337</v>
      </c>
      <c r="F1870" s="17">
        <v>41799</v>
      </c>
      <c r="G1870" s="8" t="s">
        <v>9338</v>
      </c>
      <c r="H1870" s="8" t="s">
        <v>9339</v>
      </c>
      <c r="I1870" s="8" t="s">
        <v>463</v>
      </c>
      <c r="J1870" s="16" t="s">
        <v>9340</v>
      </c>
      <c r="K1870" s="2" t="s">
        <v>9341</v>
      </c>
      <c r="L1870" s="8" t="s">
        <v>9342</v>
      </c>
      <c r="M1870" s="8" t="s">
        <v>27</v>
      </c>
      <c r="N1870" s="2" t="s">
        <v>9343</v>
      </c>
      <c r="O1870" s="8" t="s">
        <v>29</v>
      </c>
      <c r="P1870" s="8" t="s">
        <v>401</v>
      </c>
      <c r="Q1870" s="12" t="s">
        <v>9344</v>
      </c>
      <c r="R1870" s="8" t="s">
        <v>29</v>
      </c>
      <c r="S1870" s="7" t="s">
        <v>379</v>
      </c>
      <c r="T1870" s="6"/>
      <c r="U1870" s="8"/>
    </row>
    <row r="1871" spans="1:24" ht="13" customHeight="1">
      <c r="A1871" s="8" t="s">
        <v>9354</v>
      </c>
      <c r="B1871" s="16">
        <v>29</v>
      </c>
      <c r="C1871" s="8" t="s">
        <v>20</v>
      </c>
      <c r="D1871" s="8" t="s">
        <v>85</v>
      </c>
      <c r="E1871" s="8" t="s">
        <v>9355</v>
      </c>
      <c r="F1871" s="17">
        <v>41798</v>
      </c>
      <c r="G1871" s="8" t="s">
        <v>9356</v>
      </c>
      <c r="H1871" s="8" t="s">
        <v>9357</v>
      </c>
      <c r="I1871" s="8" t="s">
        <v>671</v>
      </c>
      <c r="J1871" s="16" t="s">
        <v>9358</v>
      </c>
      <c r="K1871" s="2" t="s">
        <v>433</v>
      </c>
      <c r="L1871" s="8" t="s">
        <v>9359</v>
      </c>
      <c r="M1871" s="8" t="s">
        <v>27</v>
      </c>
      <c r="N1871" s="2" t="s">
        <v>9360</v>
      </c>
      <c r="O1871" s="8" t="s">
        <v>1013</v>
      </c>
      <c r="P1871" s="8" t="s">
        <v>401</v>
      </c>
      <c r="Q1871" s="12" t="s">
        <v>9361</v>
      </c>
      <c r="R1871" s="8" t="s">
        <v>29</v>
      </c>
      <c r="S1871" s="7" t="s">
        <v>18</v>
      </c>
      <c r="T1871" s="6"/>
      <c r="U1871" s="8"/>
    </row>
    <row r="1872" spans="1:24" ht="13" customHeight="1">
      <c r="A1872" s="8" t="s">
        <v>9362</v>
      </c>
      <c r="B1872" s="16">
        <v>16</v>
      </c>
      <c r="C1872" s="8" t="s">
        <v>20</v>
      </c>
      <c r="D1872" s="8" t="s">
        <v>48</v>
      </c>
      <c r="E1872" s="8" t="s">
        <v>9363</v>
      </c>
      <c r="F1872" s="17">
        <v>41798</v>
      </c>
      <c r="G1872" s="8" t="s">
        <v>9364</v>
      </c>
      <c r="H1872" s="8" t="s">
        <v>6544</v>
      </c>
      <c r="I1872" s="8" t="s">
        <v>195</v>
      </c>
      <c r="J1872" s="16" t="s">
        <v>9365</v>
      </c>
      <c r="K1872" s="2" t="s">
        <v>6546</v>
      </c>
      <c r="L1872" s="8" t="s">
        <v>9366</v>
      </c>
      <c r="M1872" s="8" t="s">
        <v>27</v>
      </c>
      <c r="N1872" s="2" t="s">
        <v>9367</v>
      </c>
      <c r="O1872" s="8" t="s">
        <v>550</v>
      </c>
      <c r="P1872" s="8" t="s">
        <v>401</v>
      </c>
      <c r="Q1872" s="12" t="s">
        <v>9368</v>
      </c>
      <c r="R1872" s="8" t="s">
        <v>555</v>
      </c>
      <c r="S1872" s="7" t="s">
        <v>18</v>
      </c>
      <c r="T1872" s="6"/>
      <c r="U1872" s="8"/>
    </row>
    <row r="1873" spans="1:34" ht="13" customHeight="1">
      <c r="A1873" s="8" t="s">
        <v>9369</v>
      </c>
      <c r="B1873" s="16">
        <v>31</v>
      </c>
      <c r="C1873" s="8" t="s">
        <v>20</v>
      </c>
      <c r="D1873" s="8" t="s">
        <v>37</v>
      </c>
      <c r="E1873" s="8" t="s">
        <v>9370</v>
      </c>
      <c r="F1873" s="17">
        <v>41798</v>
      </c>
      <c r="G1873" s="8" t="s">
        <v>9371</v>
      </c>
      <c r="H1873" s="8" t="s">
        <v>657</v>
      </c>
      <c r="I1873" s="8" t="s">
        <v>269</v>
      </c>
      <c r="J1873" s="16" t="s">
        <v>9372</v>
      </c>
      <c r="K1873" s="2" t="s">
        <v>570</v>
      </c>
      <c r="L1873" s="8" t="s">
        <v>571</v>
      </c>
      <c r="M1873" s="8" t="s">
        <v>27</v>
      </c>
      <c r="N1873" s="2" t="s">
        <v>9373</v>
      </c>
      <c r="O1873" s="8" t="s">
        <v>550</v>
      </c>
      <c r="P1873" s="8" t="s">
        <v>401</v>
      </c>
      <c r="Q1873" s="12" t="str">
        <f>HYPERLINK("http://www.nbcnews.com/storyline/vegas-cop-killers/police-fatally-shot-las-vegas-gunman-jerad-miller-during-gunfight-n128546","http://www.nbcnews.com/storyline/vegas-cop-killers/police-fatally-shot-las-vegas-gunman-jerad-miller-during-gunfight-n128546")</f>
        <v>http://www.nbcnews.com/storyline/vegas-cop-killers/police-fatally-shot-las-vegas-gunman-jerad-miller-during-gunfight-n128546</v>
      </c>
      <c r="R1873" s="8" t="s">
        <v>100</v>
      </c>
      <c r="S1873" s="7" t="s">
        <v>28</v>
      </c>
      <c r="T1873" s="6"/>
      <c r="U1873" s="8"/>
    </row>
    <row r="1874" spans="1:34" ht="13" customHeight="1">
      <c r="A1874" s="8" t="s">
        <v>9374</v>
      </c>
      <c r="B1874" s="16">
        <v>31</v>
      </c>
      <c r="C1874" s="8" t="s">
        <v>20</v>
      </c>
      <c r="D1874" s="8" t="s">
        <v>85</v>
      </c>
      <c r="E1874" s="8" t="s">
        <v>9375</v>
      </c>
      <c r="F1874" s="17">
        <v>41797</v>
      </c>
      <c r="G1874" s="8" t="s">
        <v>9376</v>
      </c>
      <c r="H1874" s="8" t="s">
        <v>9377</v>
      </c>
      <c r="I1874" s="8" t="s">
        <v>319</v>
      </c>
      <c r="J1874" s="16" t="s">
        <v>9378</v>
      </c>
      <c r="K1874" s="2" t="s">
        <v>2692</v>
      </c>
      <c r="L1874" s="8" t="s">
        <v>7879</v>
      </c>
      <c r="M1874" s="8" t="s">
        <v>27</v>
      </c>
      <c r="N1874" s="2" t="s">
        <v>9379</v>
      </c>
      <c r="O1874" s="8" t="s">
        <v>1013</v>
      </c>
      <c r="P1874" s="8" t="s">
        <v>401</v>
      </c>
      <c r="Q1874" s="12" t="str">
        <f>HYPERLINK("http://www.local8now.com/home/headlines/KPD-officer-shot-in-East-KNoxville-262228291.html","http://www.local8now.com/home/headlines/KPD-officer-shot-in-East-KNoxville-262228291.html")</f>
        <v>http://www.local8now.com/home/headlines/KPD-officer-shot-in-East-KNoxville-262228291.html</v>
      </c>
      <c r="R1874" s="8" t="s">
        <v>100</v>
      </c>
      <c r="S1874" s="7" t="s">
        <v>28</v>
      </c>
      <c r="T1874" s="6"/>
      <c r="U1874" s="8"/>
    </row>
    <row r="1875" spans="1:34" ht="13" customHeight="1">
      <c r="A1875" s="8" t="s">
        <v>9380</v>
      </c>
      <c r="B1875" s="16">
        <v>38</v>
      </c>
      <c r="C1875" s="8" t="s">
        <v>114</v>
      </c>
      <c r="D1875" s="8" t="s">
        <v>30</v>
      </c>
      <c r="F1875" s="17">
        <v>41797</v>
      </c>
      <c r="G1875" s="8" t="s">
        <v>9381</v>
      </c>
      <c r="H1875" s="8" t="s">
        <v>9382</v>
      </c>
      <c r="I1875" s="8" t="s">
        <v>52</v>
      </c>
      <c r="J1875" s="16">
        <v>21061</v>
      </c>
      <c r="K1875" s="2" t="s">
        <v>3197</v>
      </c>
      <c r="L1875" s="8" t="s">
        <v>9383</v>
      </c>
      <c r="M1875" s="8" t="s">
        <v>27</v>
      </c>
      <c r="N1875" s="2" t="s">
        <v>9384</v>
      </c>
      <c r="P1875" s="8" t="s">
        <v>401</v>
      </c>
      <c r="Q1875" s="12" t="str">
        <f>HYPERLINK("http://www.wbaltv.com/news/police-investigate-mta-officerinvolved-shooting-at-cromwell-light-rail-station/26384134#!V4xVM","http://www.wbaltv.com/news/police-investigate-mta-officerinvolved-shooting-at-cromwell-light-rail-station/26384134#!V4xVM")</f>
        <v>http://www.wbaltv.com/news/police-investigate-mta-officerinvolved-shooting-at-cromwell-light-rail-station/26384134#!V4xVM</v>
      </c>
      <c r="S1875" s="7" t="s">
        <v>18</v>
      </c>
      <c r="T1875" s="6"/>
      <c r="U1875" s="8"/>
      <c r="Y1875" s="8"/>
      <c r="Z1875" s="8"/>
      <c r="AA1875" s="8"/>
      <c r="AB1875" s="8"/>
      <c r="AC1875" s="8"/>
      <c r="AD1875" s="8"/>
      <c r="AE1875" s="8"/>
      <c r="AF1875" s="8"/>
      <c r="AG1875" s="8"/>
      <c r="AH1875" s="8"/>
    </row>
    <row r="1876" spans="1:34" ht="13" customHeight="1">
      <c r="A1876" s="8" t="s">
        <v>9385</v>
      </c>
      <c r="B1876" s="16">
        <v>34</v>
      </c>
      <c r="C1876" s="8" t="s">
        <v>20</v>
      </c>
      <c r="D1876" s="8" t="s">
        <v>37</v>
      </c>
      <c r="F1876" s="17">
        <v>41797</v>
      </c>
      <c r="G1876" s="8" t="s">
        <v>9386</v>
      </c>
      <c r="H1876" s="8" t="s">
        <v>809</v>
      </c>
      <c r="I1876" s="8" t="s">
        <v>123</v>
      </c>
      <c r="J1876" s="16" t="s">
        <v>9387</v>
      </c>
      <c r="K1876" s="2" t="s">
        <v>635</v>
      </c>
      <c r="L1876" s="8" t="s">
        <v>810</v>
      </c>
      <c r="M1876" s="8" t="s">
        <v>391</v>
      </c>
      <c r="N1876" s="2" t="s">
        <v>9388</v>
      </c>
      <c r="O1876" s="8" t="s">
        <v>1013</v>
      </c>
      <c r="P1876" s="8" t="s">
        <v>401</v>
      </c>
      <c r="Q1876" s="12" t="s">
        <v>9389</v>
      </c>
      <c r="R1876" s="8" t="s">
        <v>967</v>
      </c>
      <c r="S1876" s="7" t="s">
        <v>18</v>
      </c>
      <c r="T1876" s="6"/>
      <c r="U1876" s="8"/>
    </row>
    <row r="1877" spans="1:34" ht="13" customHeight="1">
      <c r="A1877" s="8" t="s">
        <v>9390</v>
      </c>
      <c r="B1877" s="16">
        <v>35</v>
      </c>
      <c r="C1877" s="8" t="s">
        <v>20</v>
      </c>
      <c r="D1877" s="8" t="s">
        <v>85</v>
      </c>
      <c r="E1877" s="8" t="s">
        <v>9391</v>
      </c>
      <c r="F1877" s="17">
        <v>41796</v>
      </c>
      <c r="G1877" s="8" t="s">
        <v>9392</v>
      </c>
      <c r="H1877" s="8" t="s">
        <v>3332</v>
      </c>
      <c r="I1877" s="8" t="s">
        <v>244</v>
      </c>
      <c r="J1877" s="16" t="s">
        <v>9393</v>
      </c>
      <c r="K1877" s="2" t="s">
        <v>3332</v>
      </c>
      <c r="L1877" s="8" t="s">
        <v>5085</v>
      </c>
      <c r="M1877" s="8" t="s">
        <v>27</v>
      </c>
      <c r="N1877" s="2" t="s">
        <v>9394</v>
      </c>
      <c r="O1877" s="8" t="s">
        <v>1790</v>
      </c>
      <c r="P1877" s="8" t="s">
        <v>1162</v>
      </c>
      <c r="Q1877" s="12" t="s">
        <v>9395</v>
      </c>
      <c r="R1877" s="8" t="s">
        <v>555</v>
      </c>
      <c r="S1877" s="7" t="s">
        <v>28</v>
      </c>
      <c r="T1877" s="6"/>
      <c r="U1877" s="8"/>
    </row>
    <row r="1878" spans="1:34" ht="13" customHeight="1">
      <c r="A1878" s="8" t="s">
        <v>9417</v>
      </c>
      <c r="B1878" s="16" t="s">
        <v>9418</v>
      </c>
      <c r="C1878" s="8" t="s">
        <v>20</v>
      </c>
      <c r="D1878" s="8" t="s">
        <v>37</v>
      </c>
      <c r="E1878" s="8" t="s">
        <v>9419</v>
      </c>
      <c r="F1878" s="17">
        <v>41796</v>
      </c>
      <c r="G1878" s="8" t="s">
        <v>9420</v>
      </c>
      <c r="H1878" s="8" t="s">
        <v>9421</v>
      </c>
      <c r="I1878" s="8" t="s">
        <v>793</v>
      </c>
      <c r="J1878" s="16" t="s">
        <v>9422</v>
      </c>
      <c r="K1878" s="2" t="s">
        <v>9423</v>
      </c>
      <c r="L1878" s="8" t="s">
        <v>9424</v>
      </c>
      <c r="M1878" s="8" t="s">
        <v>27</v>
      </c>
      <c r="N1878" s="2" t="s">
        <v>9425</v>
      </c>
      <c r="O1878" s="8" t="s">
        <v>29</v>
      </c>
      <c r="P1878" s="8" t="s">
        <v>401</v>
      </c>
      <c r="Q1878" s="12" t="s">
        <v>9426</v>
      </c>
      <c r="R1878" s="8" t="s">
        <v>100</v>
      </c>
      <c r="S1878" s="7" t="s">
        <v>28</v>
      </c>
      <c r="T1878" s="6"/>
      <c r="U1878" s="8"/>
    </row>
    <row r="1879" spans="1:34" ht="13" customHeight="1">
      <c r="A1879" s="8" t="s">
        <v>9408</v>
      </c>
      <c r="B1879" s="16">
        <v>48</v>
      </c>
      <c r="C1879" s="8" t="s">
        <v>20</v>
      </c>
      <c r="D1879" s="8" t="s">
        <v>37</v>
      </c>
      <c r="E1879" s="8" t="s">
        <v>9409</v>
      </c>
      <c r="F1879" s="17">
        <v>41796</v>
      </c>
      <c r="G1879" s="8" t="s">
        <v>9410</v>
      </c>
      <c r="H1879" s="8" t="s">
        <v>9411</v>
      </c>
      <c r="I1879" s="8" t="s">
        <v>173</v>
      </c>
      <c r="J1879" s="16" t="s">
        <v>9412</v>
      </c>
      <c r="K1879" s="2" t="s">
        <v>9413</v>
      </c>
      <c r="L1879" s="8" t="s">
        <v>9414</v>
      </c>
      <c r="M1879" s="8" t="s">
        <v>27</v>
      </c>
      <c r="N1879" s="2" t="s">
        <v>9415</v>
      </c>
      <c r="O1879" s="8" t="s">
        <v>550</v>
      </c>
      <c r="P1879" s="8" t="s">
        <v>401</v>
      </c>
      <c r="Q1879" s="12" t="s">
        <v>9416</v>
      </c>
      <c r="R1879" s="8" t="s">
        <v>100</v>
      </c>
      <c r="S1879" s="7" t="s">
        <v>28</v>
      </c>
      <c r="T1879" s="6"/>
      <c r="U1879" s="8"/>
    </row>
    <row r="1880" spans="1:34" ht="13" customHeight="1">
      <c r="A1880" s="8" t="s">
        <v>9403</v>
      </c>
      <c r="B1880" s="16">
        <v>50</v>
      </c>
      <c r="C1880" s="8" t="s">
        <v>20</v>
      </c>
      <c r="D1880" s="8" t="s">
        <v>37</v>
      </c>
      <c r="F1880" s="17">
        <v>41796</v>
      </c>
      <c r="G1880" s="8" t="s">
        <v>9404</v>
      </c>
      <c r="H1880" s="8" t="s">
        <v>3847</v>
      </c>
      <c r="I1880" s="8" t="s">
        <v>209</v>
      </c>
      <c r="J1880" s="16" t="s">
        <v>9405</v>
      </c>
      <c r="K1880" s="2" t="s">
        <v>3849</v>
      </c>
      <c r="L1880" s="8" t="s">
        <v>3850</v>
      </c>
      <c r="M1880" s="8" t="s">
        <v>27</v>
      </c>
      <c r="N1880" s="2" t="s">
        <v>9406</v>
      </c>
      <c r="O1880" s="8" t="s">
        <v>400</v>
      </c>
      <c r="P1880" s="8" t="s">
        <v>401</v>
      </c>
      <c r="Q1880" s="12" t="s">
        <v>9407</v>
      </c>
      <c r="R1880" s="8" t="s">
        <v>555</v>
      </c>
      <c r="S1880" s="7" t="s">
        <v>28</v>
      </c>
      <c r="T1880" s="6"/>
      <c r="U1880" s="8"/>
      <c r="Y1880" s="8"/>
      <c r="Z1880" s="8"/>
      <c r="AA1880" s="8"/>
      <c r="AB1880" s="8"/>
      <c r="AC1880" s="8"/>
      <c r="AD1880" s="8"/>
      <c r="AE1880" s="8"/>
      <c r="AF1880" s="8"/>
      <c r="AG1880" s="8"/>
      <c r="AH1880" s="8"/>
    </row>
    <row r="1881" spans="1:34" ht="13" customHeight="1">
      <c r="A1881" s="8" t="s">
        <v>9396</v>
      </c>
      <c r="B1881" s="16">
        <v>25</v>
      </c>
      <c r="C1881" s="8" t="s">
        <v>20</v>
      </c>
      <c r="D1881" s="8" t="s">
        <v>37</v>
      </c>
      <c r="E1881" s="8" t="s">
        <v>9397</v>
      </c>
      <c r="F1881" s="17">
        <v>41796</v>
      </c>
      <c r="G1881" s="8" t="s">
        <v>9398</v>
      </c>
      <c r="H1881" s="8" t="s">
        <v>5552</v>
      </c>
      <c r="I1881" s="8" t="s">
        <v>404</v>
      </c>
      <c r="J1881" s="16" t="s">
        <v>9399</v>
      </c>
      <c r="K1881" s="2" t="s">
        <v>5552</v>
      </c>
      <c r="L1881" s="8" t="s">
        <v>9400</v>
      </c>
      <c r="M1881" s="8" t="s">
        <v>27</v>
      </c>
      <c r="N1881" s="2" t="s">
        <v>9401</v>
      </c>
      <c r="O1881" s="8" t="s">
        <v>550</v>
      </c>
      <c r="P1881" s="8" t="s">
        <v>401</v>
      </c>
      <c r="Q1881" s="12" t="s">
        <v>9402</v>
      </c>
      <c r="R1881" s="8" t="s">
        <v>29</v>
      </c>
      <c r="S1881" s="7" t="s">
        <v>18</v>
      </c>
      <c r="T1881" s="6"/>
      <c r="U1881" s="8"/>
    </row>
    <row r="1882" spans="1:34" ht="13" customHeight="1">
      <c r="A1882" s="8" t="s">
        <v>9427</v>
      </c>
      <c r="B1882" s="16">
        <v>26</v>
      </c>
      <c r="C1882" s="8" t="s">
        <v>20</v>
      </c>
      <c r="D1882" s="8" t="s">
        <v>85</v>
      </c>
      <c r="E1882" s="8" t="s">
        <v>9428</v>
      </c>
      <c r="F1882" s="17">
        <v>41795</v>
      </c>
      <c r="G1882" s="8" t="s">
        <v>9429</v>
      </c>
      <c r="H1882" s="8" t="s">
        <v>4747</v>
      </c>
      <c r="I1882" s="8" t="s">
        <v>62</v>
      </c>
      <c r="J1882" s="16" t="s">
        <v>4748</v>
      </c>
      <c r="K1882" s="2" t="s">
        <v>1127</v>
      </c>
      <c r="L1882" s="8" t="s">
        <v>4412</v>
      </c>
      <c r="M1882" s="8" t="s">
        <v>27</v>
      </c>
      <c r="N1882" s="2" t="s">
        <v>9430</v>
      </c>
      <c r="O1882" s="8" t="s">
        <v>400</v>
      </c>
      <c r="P1882" s="8" t="s">
        <v>401</v>
      </c>
      <c r="Q1882" s="12" t="s">
        <v>9431</v>
      </c>
      <c r="R1882" s="8" t="s">
        <v>100</v>
      </c>
      <c r="S1882" s="7" t="s">
        <v>28</v>
      </c>
      <c r="T1882" s="6"/>
      <c r="U1882" s="8"/>
    </row>
    <row r="1883" spans="1:34" ht="13" customHeight="1">
      <c r="A1883" s="8" t="s">
        <v>9432</v>
      </c>
      <c r="B1883" s="16">
        <v>53</v>
      </c>
      <c r="C1883" s="8" t="s">
        <v>20</v>
      </c>
      <c r="D1883" s="8" t="s">
        <v>37</v>
      </c>
      <c r="E1883" s="8" t="s">
        <v>9433</v>
      </c>
      <c r="F1883" s="17">
        <v>41795</v>
      </c>
      <c r="G1883" s="8" t="s">
        <v>9434</v>
      </c>
      <c r="H1883" s="8" t="s">
        <v>774</v>
      </c>
      <c r="I1883" s="8" t="s">
        <v>45</v>
      </c>
      <c r="J1883" s="16" t="s">
        <v>9435</v>
      </c>
      <c r="K1883" s="2" t="s">
        <v>609</v>
      </c>
      <c r="L1883" s="8" t="s">
        <v>775</v>
      </c>
      <c r="M1883" s="8" t="s">
        <v>27</v>
      </c>
      <c r="N1883" s="2" t="s">
        <v>9436</v>
      </c>
      <c r="O1883" s="8" t="s">
        <v>1013</v>
      </c>
      <c r="P1883" s="8" t="s">
        <v>401</v>
      </c>
      <c r="Q1883" s="12" t="s">
        <v>9437</v>
      </c>
      <c r="R1883" s="8" t="s">
        <v>100</v>
      </c>
      <c r="S1883" s="7" t="s">
        <v>18</v>
      </c>
      <c r="T1883" s="6"/>
      <c r="U1883" s="8"/>
    </row>
    <row r="1884" spans="1:34" ht="13" customHeight="1">
      <c r="A1884" s="8" t="s">
        <v>9438</v>
      </c>
      <c r="B1884" s="16">
        <v>22</v>
      </c>
      <c r="C1884" s="8" t="s">
        <v>20</v>
      </c>
      <c r="D1884" s="8" t="s">
        <v>85</v>
      </c>
      <c r="E1884" s="8" t="s">
        <v>9439</v>
      </c>
      <c r="F1884" s="17">
        <v>41794</v>
      </c>
      <c r="G1884" s="8" t="s">
        <v>9440</v>
      </c>
      <c r="H1884" s="8" t="s">
        <v>8849</v>
      </c>
      <c r="I1884" s="8" t="s">
        <v>57</v>
      </c>
      <c r="J1884" s="16" t="s">
        <v>9441</v>
      </c>
      <c r="K1884" s="2" t="s">
        <v>8556</v>
      </c>
      <c r="L1884" s="8" t="s">
        <v>3978</v>
      </c>
      <c r="M1884" s="8" t="s">
        <v>27</v>
      </c>
      <c r="N1884" s="2" t="s">
        <v>9442</v>
      </c>
      <c r="O1884" s="8" t="s">
        <v>550</v>
      </c>
      <c r="P1884" s="8" t="s">
        <v>401</v>
      </c>
      <c r="Q1884" s="12" t="str">
        <f>HYPERLINK("http://www.mlive.com/news/flint/index.ssf/2013/10/prosecutor_says_michigan_state.html","http://www.mlive.com/news/flint/index.ssf/2013/10/prosecutor_says_michigan_state.html")</f>
        <v>http://www.mlive.com/news/flint/index.ssf/2013/10/prosecutor_says_michigan_state.html</v>
      </c>
      <c r="R1884" s="8" t="s">
        <v>100</v>
      </c>
      <c r="S1884" s="7" t="s">
        <v>28</v>
      </c>
      <c r="T1884" s="6"/>
      <c r="U1884" s="8"/>
    </row>
    <row r="1885" spans="1:34" ht="13" customHeight="1">
      <c r="A1885" s="8" t="s">
        <v>9448</v>
      </c>
      <c r="B1885" s="16" t="s">
        <v>9418</v>
      </c>
      <c r="C1885" s="8" t="s">
        <v>20</v>
      </c>
      <c r="D1885" s="8" t="s">
        <v>85</v>
      </c>
      <c r="E1885" s="8" t="s">
        <v>9449</v>
      </c>
      <c r="F1885" s="17">
        <v>41794</v>
      </c>
      <c r="G1885" s="8" t="s">
        <v>9450</v>
      </c>
      <c r="H1885" s="8" t="s">
        <v>653</v>
      </c>
      <c r="I1885" s="8" t="s">
        <v>62</v>
      </c>
      <c r="J1885" s="16" t="s">
        <v>5847</v>
      </c>
      <c r="K1885" s="2" t="s">
        <v>654</v>
      </c>
      <c r="L1885" s="8" t="s">
        <v>655</v>
      </c>
      <c r="M1885" s="8" t="s">
        <v>27</v>
      </c>
      <c r="N1885" s="2" t="s">
        <v>9451</v>
      </c>
      <c r="O1885" s="8" t="s">
        <v>550</v>
      </c>
      <c r="P1885" s="8" t="s">
        <v>401</v>
      </c>
      <c r="Q1885" s="12" t="str">
        <f>HYPERLINK("http://www.firstcoastnews.com/story/news/local/2014/06/04/westside-jso-officer-involved-shooting/9985499/","http://www.firstcoastnews.com/story/news/local/2014/06/04/westside-jso-officer-involved-shooting/9985499/")</f>
        <v>http://www.firstcoastnews.com/story/news/local/2014/06/04/westside-jso-officer-involved-shooting/9985499/</v>
      </c>
      <c r="R1885" s="8" t="s">
        <v>100</v>
      </c>
      <c r="S1885" s="7" t="s">
        <v>28</v>
      </c>
      <c r="T1885" s="6"/>
      <c r="U1885" s="8"/>
    </row>
    <row r="1886" spans="1:34" ht="13" customHeight="1">
      <c r="A1886" s="8" t="s">
        <v>9443</v>
      </c>
      <c r="B1886" s="16">
        <v>72</v>
      </c>
      <c r="C1886" s="8" t="s">
        <v>20</v>
      </c>
      <c r="D1886" s="8" t="s">
        <v>85</v>
      </c>
      <c r="F1886" s="17">
        <v>41794</v>
      </c>
      <c r="G1886" s="8" t="s">
        <v>9444</v>
      </c>
      <c r="H1886" s="8" t="s">
        <v>3332</v>
      </c>
      <c r="I1886" s="8" t="s">
        <v>244</v>
      </c>
      <c r="J1886" s="16" t="s">
        <v>9445</v>
      </c>
      <c r="K1886" s="2" t="s">
        <v>3332</v>
      </c>
      <c r="L1886" s="8" t="s">
        <v>5085</v>
      </c>
      <c r="M1886" s="8" t="s">
        <v>27</v>
      </c>
      <c r="N1886" s="2" t="s">
        <v>9446</v>
      </c>
      <c r="O1886" s="8" t="s">
        <v>550</v>
      </c>
      <c r="P1886" s="8" t="s">
        <v>401</v>
      </c>
      <c r="Q1886" s="12" t="s">
        <v>9447</v>
      </c>
      <c r="R1886" s="8" t="s">
        <v>555</v>
      </c>
      <c r="S1886" s="7" t="s">
        <v>28</v>
      </c>
      <c r="T1886" s="6"/>
      <c r="U1886" s="8"/>
    </row>
    <row r="1887" spans="1:34" ht="13" customHeight="1">
      <c r="A1887" s="8" t="s">
        <v>9452</v>
      </c>
      <c r="B1887" s="16">
        <v>35</v>
      </c>
      <c r="C1887" s="8" t="s">
        <v>20</v>
      </c>
      <c r="D1887" s="8" t="s">
        <v>37</v>
      </c>
      <c r="E1887" s="8" t="s">
        <v>9453</v>
      </c>
      <c r="F1887" s="17">
        <v>41794</v>
      </c>
      <c r="G1887" s="8" t="s">
        <v>9454</v>
      </c>
      <c r="H1887" s="8" t="s">
        <v>9455</v>
      </c>
      <c r="I1887" s="8" t="s">
        <v>240</v>
      </c>
      <c r="J1887" s="16" t="s">
        <v>7370</v>
      </c>
      <c r="K1887" s="2" t="s">
        <v>1451</v>
      </c>
      <c r="L1887" s="8" t="s">
        <v>9456</v>
      </c>
      <c r="M1887" s="8" t="s">
        <v>27</v>
      </c>
      <c r="N1887" s="2" t="s">
        <v>9457</v>
      </c>
      <c r="O1887" s="8" t="s">
        <v>400</v>
      </c>
      <c r="P1887" s="8" t="s">
        <v>401</v>
      </c>
      <c r="Q1887" s="12" t="s">
        <v>5296</v>
      </c>
      <c r="R1887" s="8" t="s">
        <v>100</v>
      </c>
      <c r="S1887" s="7" t="s">
        <v>28</v>
      </c>
      <c r="T1887" s="6"/>
      <c r="U1887" s="8"/>
    </row>
    <row r="1888" spans="1:34" ht="13" customHeight="1">
      <c r="A1888" s="8" t="s">
        <v>9458</v>
      </c>
      <c r="B1888" s="16">
        <v>35</v>
      </c>
      <c r="C1888" s="8" t="s">
        <v>20</v>
      </c>
      <c r="D1888" s="8" t="s">
        <v>37</v>
      </c>
      <c r="E1888" s="8" t="s">
        <v>9459</v>
      </c>
      <c r="F1888" s="17">
        <v>41794</v>
      </c>
      <c r="G1888" s="8" t="s">
        <v>9460</v>
      </c>
      <c r="H1888" s="8" t="s">
        <v>142</v>
      </c>
      <c r="I1888" s="8" t="s">
        <v>143</v>
      </c>
      <c r="J1888" s="16" t="s">
        <v>9461</v>
      </c>
      <c r="K1888" s="2" t="s">
        <v>144</v>
      </c>
      <c r="L1888" s="8" t="s">
        <v>145</v>
      </c>
      <c r="M1888" s="8" t="s">
        <v>27</v>
      </c>
      <c r="N1888" s="2" t="s">
        <v>9462</v>
      </c>
      <c r="O1888" s="8" t="s">
        <v>1013</v>
      </c>
      <c r="P1888" s="8" t="s">
        <v>401</v>
      </c>
      <c r="Q1888" s="12" t="str">
        <f>HYPERLINK("http://rapidcityjournal.com/news/local/police-rapid-city-man-shot-and-killed-by-officer-had/article_262374b9-bd2f-569a-9635-2170734ac0d0.html","http://rapidcityjournal.com/news/local/police-rapid-city-man-shot-and-killed-by-officer-had/article_262374b9-bd2f-569a-9635-2170734ac0d0.html")</f>
        <v>http://rapidcityjournal.com/news/local/police-rapid-city-man-shot-and-killed-by-officer-had/article_262374b9-bd2f-569a-9635-2170734ac0d0.html</v>
      </c>
      <c r="R1888" s="8" t="s">
        <v>555</v>
      </c>
      <c r="S1888" s="7" t="s">
        <v>28</v>
      </c>
      <c r="T1888" s="6"/>
      <c r="U1888" s="8"/>
    </row>
    <row r="1889" spans="1:34" ht="13" customHeight="1">
      <c r="A1889" s="8" t="s">
        <v>9463</v>
      </c>
      <c r="B1889" s="16">
        <v>56</v>
      </c>
      <c r="C1889" s="8" t="s">
        <v>20</v>
      </c>
      <c r="D1889" s="8" t="s">
        <v>37</v>
      </c>
      <c r="F1889" s="17">
        <v>41794</v>
      </c>
      <c r="G1889" s="8" t="s">
        <v>9464</v>
      </c>
      <c r="H1889" s="8" t="s">
        <v>9465</v>
      </c>
      <c r="I1889" s="8" t="s">
        <v>363</v>
      </c>
      <c r="J1889" s="16" t="s">
        <v>9466</v>
      </c>
      <c r="K1889" s="2" t="s">
        <v>9465</v>
      </c>
      <c r="L1889" s="8" t="s">
        <v>9467</v>
      </c>
      <c r="M1889" s="8" t="s">
        <v>27</v>
      </c>
      <c r="N1889" s="2" t="s">
        <v>21455</v>
      </c>
      <c r="O1889" s="8" t="s">
        <v>1013</v>
      </c>
      <c r="P1889" s="8" t="s">
        <v>401</v>
      </c>
      <c r="Q1889" s="12" t="s">
        <v>21454</v>
      </c>
      <c r="R1889" s="8" t="s">
        <v>29</v>
      </c>
      <c r="S1889" s="7" t="s">
        <v>18</v>
      </c>
      <c r="T1889" s="6"/>
      <c r="U1889" s="8"/>
    </row>
    <row r="1890" spans="1:34" ht="13" customHeight="1">
      <c r="A1890" s="8" t="s">
        <v>9468</v>
      </c>
      <c r="B1890" s="16" t="s">
        <v>9469</v>
      </c>
      <c r="C1890" s="8" t="s">
        <v>114</v>
      </c>
      <c r="D1890" s="8" t="s">
        <v>48</v>
      </c>
      <c r="E1890" s="8" t="s">
        <v>9470</v>
      </c>
      <c r="F1890" s="17">
        <v>41793</v>
      </c>
      <c r="G1890" s="8" t="s">
        <v>9471</v>
      </c>
      <c r="H1890" s="8" t="s">
        <v>9472</v>
      </c>
      <c r="I1890" s="8" t="s">
        <v>45</v>
      </c>
      <c r="J1890" s="16" t="s">
        <v>9473</v>
      </c>
      <c r="K1890" s="2" t="s">
        <v>4661</v>
      </c>
      <c r="L1890" s="8" t="s">
        <v>19288</v>
      </c>
      <c r="M1890" s="8" t="s">
        <v>27</v>
      </c>
      <c r="N1890" s="2" t="s">
        <v>9474</v>
      </c>
      <c r="O1890" s="8" t="s">
        <v>29</v>
      </c>
      <c r="P1890" s="8" t="s">
        <v>401</v>
      </c>
      <c r="Q1890" s="12" t="s">
        <v>9475</v>
      </c>
      <c r="R1890" s="8" t="s">
        <v>555</v>
      </c>
      <c r="S1890" s="7" t="s">
        <v>28</v>
      </c>
      <c r="T1890" s="6"/>
      <c r="U1890" s="8"/>
    </row>
    <row r="1891" spans="1:34" ht="13" customHeight="1">
      <c r="A1891" s="8" t="s">
        <v>9476</v>
      </c>
      <c r="B1891" s="16">
        <v>34</v>
      </c>
      <c r="C1891" s="8" t="s">
        <v>20</v>
      </c>
      <c r="D1891" s="8" t="s">
        <v>85</v>
      </c>
      <c r="E1891" s="8" t="s">
        <v>9477</v>
      </c>
      <c r="F1891" s="17">
        <v>41792</v>
      </c>
      <c r="G1891" s="8" t="s">
        <v>9478</v>
      </c>
      <c r="H1891" s="8" t="s">
        <v>403</v>
      </c>
      <c r="I1891" s="8" t="s">
        <v>404</v>
      </c>
      <c r="J1891" s="16" t="s">
        <v>1963</v>
      </c>
      <c r="K1891" s="2" t="s">
        <v>909</v>
      </c>
      <c r="L1891" s="8" t="s">
        <v>1964</v>
      </c>
      <c r="M1891" s="8" t="s">
        <v>27</v>
      </c>
      <c r="N1891" s="2" t="s">
        <v>9479</v>
      </c>
      <c r="O1891" s="8" t="s">
        <v>1013</v>
      </c>
      <c r="P1891" s="8" t="s">
        <v>401</v>
      </c>
      <c r="Q1891" s="12" t="str">
        <f>HYPERLINK("http://6abc.com/news/officer-released-from-hospital-suspect-dead-in-chester/89060/","http://6abc.com/news/officer-released-from-hospital-suspect-dead-in-chester/89060/")</f>
        <v>http://6abc.com/news/officer-released-from-hospital-suspect-dead-in-chester/89060/</v>
      </c>
      <c r="R1891" s="8" t="s">
        <v>100</v>
      </c>
      <c r="S1891" s="7" t="s">
        <v>28</v>
      </c>
      <c r="T1891" s="6"/>
      <c r="U1891" s="8"/>
    </row>
    <row r="1892" spans="1:34" ht="13" customHeight="1">
      <c r="A1892" s="8" t="s">
        <v>9486</v>
      </c>
      <c r="B1892" s="16">
        <v>21</v>
      </c>
      <c r="C1892" s="8" t="s">
        <v>20</v>
      </c>
      <c r="D1892" s="8" t="s">
        <v>37</v>
      </c>
      <c r="E1892" s="8" t="s">
        <v>9487</v>
      </c>
      <c r="F1892" s="17">
        <v>41792</v>
      </c>
      <c r="G1892" s="8" t="s">
        <v>9488</v>
      </c>
      <c r="H1892" s="8" t="s">
        <v>9489</v>
      </c>
      <c r="I1892" s="8" t="s">
        <v>366</v>
      </c>
      <c r="J1892" s="16" t="s">
        <v>9490</v>
      </c>
      <c r="K1892" s="2" t="s">
        <v>9491</v>
      </c>
      <c r="L1892" s="8" t="s">
        <v>9492</v>
      </c>
      <c r="M1892" s="8" t="s">
        <v>27</v>
      </c>
      <c r="N1892" s="2" t="s">
        <v>9493</v>
      </c>
      <c r="O1892" s="8" t="s">
        <v>1013</v>
      </c>
      <c r="P1892" s="8" t="s">
        <v>401</v>
      </c>
      <c r="Q1892" s="12" t="str">
        <f>HYPERLINK("http://www.hickoryrecord.com/news/hickory-police-man-killed-in-officer-involved-shooting/article_701d15ba-ea50-11e3-ad29-001a4bcf6878.html","http://www.hickoryrecord.com/news/hickory-police-man-killed-in-officer-involved-shooting/article_701d15ba-ea50-11e3-ad29-001a4bcf6878.html")</f>
        <v>http://www.hickoryrecord.com/news/hickory-police-man-killed-in-officer-involved-shooting/article_701d15ba-ea50-11e3-ad29-001a4bcf6878.html</v>
      </c>
      <c r="R1892" s="8" t="s">
        <v>100</v>
      </c>
      <c r="S1892" s="7" t="s">
        <v>28</v>
      </c>
      <c r="T1892" s="6"/>
      <c r="U1892" s="8"/>
    </row>
    <row r="1893" spans="1:34" ht="13" customHeight="1">
      <c r="A1893" s="8" t="s">
        <v>9480</v>
      </c>
      <c r="B1893" s="16">
        <v>52</v>
      </c>
      <c r="C1893" s="8" t="s">
        <v>114</v>
      </c>
      <c r="D1893" s="8" t="s">
        <v>37</v>
      </c>
      <c r="F1893" s="17">
        <v>41792</v>
      </c>
      <c r="G1893" s="8" t="s">
        <v>9481</v>
      </c>
      <c r="H1893" s="8" t="s">
        <v>1787</v>
      </c>
      <c r="I1893" s="8" t="s">
        <v>32</v>
      </c>
      <c r="J1893" s="16" t="s">
        <v>9482</v>
      </c>
      <c r="K1893" s="2" t="s">
        <v>1787</v>
      </c>
      <c r="L1893" s="8" t="s">
        <v>9483</v>
      </c>
      <c r="M1893" s="8" t="s">
        <v>27</v>
      </c>
      <c r="N1893" s="2" t="s">
        <v>9484</v>
      </c>
      <c r="O1893" s="8" t="s">
        <v>1013</v>
      </c>
      <c r="P1893" s="8" t="s">
        <v>401</v>
      </c>
      <c r="Q1893" s="12" t="s">
        <v>9485</v>
      </c>
      <c r="R1893" s="8" t="s">
        <v>555</v>
      </c>
      <c r="S1893" s="7" t="s">
        <v>28</v>
      </c>
      <c r="T1893" s="6"/>
      <c r="U1893" s="8"/>
      <c r="Y1893" s="8"/>
      <c r="Z1893" s="8"/>
      <c r="AA1893" s="8"/>
      <c r="AB1893" s="8"/>
      <c r="AC1893" s="8"/>
      <c r="AD1893" s="8"/>
      <c r="AE1893" s="8"/>
      <c r="AF1893" s="8"/>
      <c r="AG1893" s="8"/>
      <c r="AH1893" s="8"/>
    </row>
    <row r="1894" spans="1:34" ht="13" customHeight="1">
      <c r="A1894" s="8" t="s">
        <v>9494</v>
      </c>
      <c r="B1894" s="16">
        <v>22</v>
      </c>
      <c r="C1894" s="8" t="s">
        <v>20</v>
      </c>
      <c r="D1894" s="8" t="s">
        <v>37</v>
      </c>
      <c r="E1894" s="8" t="s">
        <v>9495</v>
      </c>
      <c r="F1894" s="17">
        <v>41792</v>
      </c>
      <c r="G1894" s="8" t="s">
        <v>9496</v>
      </c>
      <c r="H1894" s="8" t="s">
        <v>9497</v>
      </c>
      <c r="I1894" s="8" t="s">
        <v>32</v>
      </c>
      <c r="J1894" s="16" t="s">
        <v>9498</v>
      </c>
      <c r="K1894" s="2" t="s">
        <v>33</v>
      </c>
      <c r="L1894" s="8" t="s">
        <v>34</v>
      </c>
      <c r="M1894" s="8" t="s">
        <v>27</v>
      </c>
      <c r="N1894" s="2" t="s">
        <v>9499</v>
      </c>
      <c r="O1894" s="8" t="s">
        <v>1013</v>
      </c>
      <c r="P1894" s="8" t="s">
        <v>401</v>
      </c>
      <c r="Q1894" s="12" t="str">
        <f>HYPERLINK("http://www.wyff4.com/news/dispatchers-deputyinvolved-shooting-under-investigation-at-gas-station/26282954#!TFnpq","http://www.wyff4.com/news/dispatchers-deputyinvolved-shooting-under-investigation-at-gas-station/26282954#!TFnpq")</f>
        <v>http://www.wyff4.com/news/dispatchers-deputyinvolved-shooting-under-investigation-at-gas-station/26282954#!TFnpq</v>
      </c>
      <c r="R1894" s="8" t="s">
        <v>29</v>
      </c>
      <c r="S1894" s="7" t="s">
        <v>18</v>
      </c>
      <c r="T1894" s="6"/>
      <c r="U1894" s="8"/>
      <c r="Y1894" s="8"/>
      <c r="Z1894" s="8"/>
      <c r="AA1894" s="8"/>
      <c r="AB1894" s="8"/>
      <c r="AC1894" s="8"/>
      <c r="AD1894" s="8"/>
      <c r="AE1894" s="8"/>
      <c r="AF1894" s="8"/>
      <c r="AG1894" s="8"/>
      <c r="AH1894" s="8"/>
    </row>
    <row r="1895" spans="1:34" ht="13" customHeight="1">
      <c r="A1895" s="8" t="s">
        <v>9500</v>
      </c>
      <c r="B1895" s="16">
        <v>52</v>
      </c>
      <c r="C1895" s="8" t="s">
        <v>20</v>
      </c>
      <c r="D1895" s="8" t="s">
        <v>30</v>
      </c>
      <c r="F1895" s="17">
        <v>41791</v>
      </c>
      <c r="G1895" s="8" t="s">
        <v>9501</v>
      </c>
      <c r="H1895" s="8" t="s">
        <v>5389</v>
      </c>
      <c r="I1895" s="8" t="s">
        <v>363</v>
      </c>
      <c r="J1895" s="16" t="s">
        <v>9502</v>
      </c>
      <c r="K1895" s="2" t="s">
        <v>1059</v>
      </c>
      <c r="L1895" s="8" t="s">
        <v>19726</v>
      </c>
      <c r="M1895" s="8" t="s">
        <v>27</v>
      </c>
      <c r="N1895" s="2" t="s">
        <v>9503</v>
      </c>
      <c r="O1895" s="8" t="s">
        <v>1013</v>
      </c>
      <c r="P1895" s="8" t="s">
        <v>401</v>
      </c>
      <c r="Q1895" s="12" t="s">
        <v>9504</v>
      </c>
      <c r="R1895" s="8" t="s">
        <v>29</v>
      </c>
      <c r="S1895" s="7" t="s">
        <v>28</v>
      </c>
      <c r="T1895" s="6"/>
      <c r="U1895" s="8"/>
    </row>
    <row r="1896" spans="1:34" ht="13" customHeight="1">
      <c r="A1896" s="8" t="s">
        <v>9514</v>
      </c>
      <c r="B1896" s="16">
        <v>22</v>
      </c>
      <c r="C1896" s="8" t="s">
        <v>20</v>
      </c>
      <c r="D1896" s="8" t="s">
        <v>85</v>
      </c>
      <c r="E1896" s="8" t="s">
        <v>9515</v>
      </c>
      <c r="F1896" s="17">
        <v>41790</v>
      </c>
      <c r="G1896" s="8" t="s">
        <v>9516</v>
      </c>
      <c r="H1896" s="8" t="s">
        <v>9517</v>
      </c>
      <c r="I1896" s="8" t="s">
        <v>363</v>
      </c>
      <c r="J1896" s="16" t="s">
        <v>9518</v>
      </c>
      <c r="K1896" s="2" t="s">
        <v>9519</v>
      </c>
      <c r="L1896" s="8" t="s">
        <v>9520</v>
      </c>
      <c r="M1896" s="8" t="s">
        <v>27</v>
      </c>
      <c r="N1896" s="2" t="s">
        <v>9521</v>
      </c>
      <c r="O1896" s="8" t="s">
        <v>29</v>
      </c>
      <c r="P1896" s="8" t="s">
        <v>401</v>
      </c>
      <c r="Q1896" s="12" t="str">
        <f>HYPERLINK("http://www.kake.com/home/headlines/Officer-involved-shooting-reported-south-of-Dexter-in-Cowley-County-261401221.html","http://www.kake.com/home/headlines/Officer-involved-shooting-reported-south-of-Dexter-in-Cowley-County-261401221.html")</f>
        <v>http://www.kake.com/home/headlines/Officer-involved-shooting-reported-south-of-Dexter-in-Cowley-County-261401221.html</v>
      </c>
      <c r="R1896" s="8" t="s">
        <v>100</v>
      </c>
      <c r="S1896" s="7" t="s">
        <v>28</v>
      </c>
      <c r="T1896" s="6"/>
      <c r="U1896" s="8"/>
    </row>
    <row r="1897" spans="1:34" ht="13" customHeight="1">
      <c r="A1897" s="8" t="s">
        <v>9522</v>
      </c>
      <c r="B1897" s="16">
        <v>44</v>
      </c>
      <c r="C1897" s="8" t="s">
        <v>20</v>
      </c>
      <c r="D1897" s="8" t="s">
        <v>85</v>
      </c>
      <c r="E1897" s="8" t="s">
        <v>9523</v>
      </c>
      <c r="F1897" s="17">
        <v>41790</v>
      </c>
      <c r="G1897" s="8" t="s">
        <v>9524</v>
      </c>
      <c r="H1897" s="8" t="s">
        <v>9525</v>
      </c>
      <c r="I1897" s="8" t="s">
        <v>81</v>
      </c>
      <c r="J1897" s="16" t="s">
        <v>9526</v>
      </c>
      <c r="K1897" s="2" t="s">
        <v>9527</v>
      </c>
      <c r="L1897" s="8" t="s">
        <v>9528</v>
      </c>
      <c r="M1897" s="8" t="s">
        <v>27</v>
      </c>
      <c r="N1897" s="2" t="s">
        <v>9529</v>
      </c>
      <c r="O1897" s="8" t="s">
        <v>550</v>
      </c>
      <c r="P1897" s="8" t="s">
        <v>401</v>
      </c>
      <c r="Q1897" s="12" t="str">
        <f>HYPERLINK("http://patersontimes.com/2014/05/31/armed-city-man-killed-by-city-detective-on-montgomery-street/","http://patersontimes.com/2014/05/31/armed-city-man-killed-by-city-detective-on-montgomery-street/")</f>
        <v>http://patersontimes.com/2014/05/31/armed-city-man-killed-by-city-detective-on-montgomery-street/</v>
      </c>
      <c r="R1897" s="8" t="s">
        <v>100</v>
      </c>
      <c r="S1897" s="7" t="s">
        <v>28</v>
      </c>
      <c r="T1897" s="6"/>
      <c r="U1897" s="8"/>
    </row>
    <row r="1898" spans="1:34" ht="13" customHeight="1">
      <c r="A1898" s="8" t="s">
        <v>9505</v>
      </c>
      <c r="B1898" s="16">
        <v>33</v>
      </c>
      <c r="C1898" s="8" t="s">
        <v>20</v>
      </c>
      <c r="D1898" s="8" t="s">
        <v>85</v>
      </c>
      <c r="E1898" s="8" t="s">
        <v>9506</v>
      </c>
      <c r="F1898" s="17">
        <v>41790</v>
      </c>
      <c r="G1898" s="8" t="s">
        <v>9507</v>
      </c>
      <c r="H1898" s="8" t="s">
        <v>9508</v>
      </c>
      <c r="I1898" s="8" t="s">
        <v>366</v>
      </c>
      <c r="J1898" s="16" t="s">
        <v>9509</v>
      </c>
      <c r="K1898" s="2" t="s">
        <v>9510</v>
      </c>
      <c r="L1898" s="8" t="s">
        <v>9511</v>
      </c>
      <c r="M1898" s="8" t="s">
        <v>27</v>
      </c>
      <c r="N1898" s="2" t="s">
        <v>9512</v>
      </c>
      <c r="O1898" s="8" t="s">
        <v>1013</v>
      </c>
      <c r="P1898" s="8" t="s">
        <v>401</v>
      </c>
      <c r="Q1898" s="12" t="s">
        <v>9513</v>
      </c>
      <c r="R1898" s="8" t="s">
        <v>100</v>
      </c>
      <c r="S1898" s="7" t="s">
        <v>35</v>
      </c>
      <c r="T1898" s="6"/>
      <c r="U1898" s="8"/>
    </row>
    <row r="1899" spans="1:34" ht="13" customHeight="1">
      <c r="A1899" s="8" t="s">
        <v>9530</v>
      </c>
      <c r="B1899" s="16">
        <v>20</v>
      </c>
      <c r="C1899" s="8" t="s">
        <v>20</v>
      </c>
      <c r="D1899" s="8" t="s">
        <v>37</v>
      </c>
      <c r="E1899" s="8" t="s">
        <v>9531</v>
      </c>
      <c r="F1899" s="17">
        <v>41790</v>
      </c>
      <c r="G1899" s="8" t="s">
        <v>9532</v>
      </c>
      <c r="H1899" s="8" t="s">
        <v>9533</v>
      </c>
      <c r="I1899" s="8" t="s">
        <v>431</v>
      </c>
      <c r="J1899" s="16" t="s">
        <v>9534</v>
      </c>
      <c r="K1899" s="2" t="s">
        <v>5453</v>
      </c>
      <c r="L1899" s="8" t="s">
        <v>9535</v>
      </c>
      <c r="M1899" s="8" t="s">
        <v>9536</v>
      </c>
      <c r="N1899" s="2" t="s">
        <v>9537</v>
      </c>
      <c r="O1899" s="8" t="s">
        <v>3400</v>
      </c>
      <c r="P1899" s="8" t="s">
        <v>401</v>
      </c>
      <c r="Q1899" s="12" t="s">
        <v>9538</v>
      </c>
      <c r="R1899" s="8" t="s">
        <v>100</v>
      </c>
      <c r="S1899" s="7" t="s">
        <v>18</v>
      </c>
      <c r="T1899" s="6"/>
      <c r="U1899" s="8"/>
    </row>
    <row r="1900" spans="1:34" ht="13" customHeight="1">
      <c r="A1900" s="8" t="s">
        <v>9539</v>
      </c>
      <c r="B1900" s="16">
        <v>64</v>
      </c>
      <c r="C1900" s="8" t="s">
        <v>20</v>
      </c>
      <c r="D1900" s="8" t="s">
        <v>37</v>
      </c>
      <c r="E1900" s="8" t="s">
        <v>9540</v>
      </c>
      <c r="F1900" s="17">
        <v>41790</v>
      </c>
      <c r="G1900" s="8" t="s">
        <v>9541</v>
      </c>
      <c r="H1900" s="8" t="s">
        <v>2324</v>
      </c>
      <c r="I1900" s="8" t="s">
        <v>463</v>
      </c>
      <c r="J1900" s="16" t="s">
        <v>9542</v>
      </c>
      <c r="K1900" s="2" t="s">
        <v>1496</v>
      </c>
      <c r="L1900" s="8" t="s">
        <v>9543</v>
      </c>
      <c r="M1900" s="8" t="s">
        <v>27</v>
      </c>
      <c r="N1900" s="2" t="s">
        <v>9544</v>
      </c>
      <c r="O1900" s="8" t="s">
        <v>550</v>
      </c>
      <c r="P1900" s="8" t="s">
        <v>401</v>
      </c>
      <c r="Q1900" s="12" t="s">
        <v>9545</v>
      </c>
      <c r="R1900" s="8" t="s">
        <v>29</v>
      </c>
      <c r="S1900" s="7" t="s">
        <v>28</v>
      </c>
      <c r="T1900" s="6"/>
      <c r="U1900" s="8"/>
    </row>
    <row r="1901" spans="1:34" ht="13" customHeight="1">
      <c r="A1901" s="8" t="s">
        <v>9550</v>
      </c>
      <c r="B1901" s="16">
        <v>36</v>
      </c>
      <c r="C1901" s="8" t="s">
        <v>20</v>
      </c>
      <c r="D1901" s="8" t="s">
        <v>85</v>
      </c>
      <c r="E1901" s="8" t="s">
        <v>9551</v>
      </c>
      <c r="F1901" s="17">
        <v>41789</v>
      </c>
      <c r="G1901" s="8" t="s">
        <v>9552</v>
      </c>
      <c r="H1901" s="8" t="s">
        <v>216</v>
      </c>
      <c r="I1901" s="8" t="s">
        <v>217</v>
      </c>
      <c r="J1901" s="16" t="s">
        <v>1620</v>
      </c>
      <c r="K1901" s="2" t="s">
        <v>420</v>
      </c>
      <c r="L1901" s="8" t="s">
        <v>218</v>
      </c>
      <c r="M1901" s="8" t="s">
        <v>27</v>
      </c>
      <c r="N1901" s="2" t="s">
        <v>9553</v>
      </c>
      <c r="O1901" s="8" t="s">
        <v>1013</v>
      </c>
      <c r="P1901" s="8" t="s">
        <v>401</v>
      </c>
      <c r="Q1901" s="12" t="s">
        <v>9554</v>
      </c>
      <c r="R1901" s="8" t="s">
        <v>29</v>
      </c>
      <c r="S1901" s="7" t="s">
        <v>28</v>
      </c>
      <c r="T1901" s="6"/>
      <c r="U1901" s="8"/>
    </row>
    <row r="1902" spans="1:34" ht="13" customHeight="1">
      <c r="A1902" s="8" t="s">
        <v>9546</v>
      </c>
      <c r="B1902" s="16">
        <v>20</v>
      </c>
      <c r="C1902" s="8" t="s">
        <v>20</v>
      </c>
      <c r="D1902" s="8" t="s">
        <v>85</v>
      </c>
      <c r="F1902" s="17">
        <v>41789</v>
      </c>
      <c r="G1902" s="8" t="s">
        <v>9547</v>
      </c>
      <c r="H1902" s="8" t="s">
        <v>6584</v>
      </c>
      <c r="I1902" s="8" t="s">
        <v>52</v>
      </c>
      <c r="J1902" s="16" t="s">
        <v>6585</v>
      </c>
      <c r="K1902" s="2" t="s">
        <v>2387</v>
      </c>
      <c r="L1902" s="8" t="s">
        <v>762</v>
      </c>
      <c r="M1902" s="8" t="s">
        <v>27</v>
      </c>
      <c r="N1902" s="2" t="s">
        <v>9548</v>
      </c>
      <c r="O1902" s="8" t="s">
        <v>1013</v>
      </c>
      <c r="P1902" s="8" t="s">
        <v>401</v>
      </c>
      <c r="Q1902" s="12" t="s">
        <v>9549</v>
      </c>
      <c r="R1902" s="8" t="s">
        <v>100</v>
      </c>
      <c r="S1902" s="7" t="s">
        <v>18</v>
      </c>
      <c r="T1902" s="6"/>
      <c r="U1902" s="8"/>
    </row>
    <row r="1903" spans="1:34" ht="13" customHeight="1">
      <c r="A1903" s="8" t="s">
        <v>9562</v>
      </c>
      <c r="B1903" s="16">
        <v>26</v>
      </c>
      <c r="C1903" s="8" t="s">
        <v>20</v>
      </c>
      <c r="D1903" s="8" t="s">
        <v>48</v>
      </c>
      <c r="F1903" s="17">
        <v>41789</v>
      </c>
      <c r="G1903" s="8" t="s">
        <v>9563</v>
      </c>
      <c r="H1903" s="8" t="s">
        <v>1910</v>
      </c>
      <c r="I1903" s="8" t="s">
        <v>45</v>
      </c>
      <c r="J1903" s="16" t="s">
        <v>9564</v>
      </c>
      <c r="K1903" s="2" t="s">
        <v>7853</v>
      </c>
      <c r="L1903" s="8" t="s">
        <v>1912</v>
      </c>
      <c r="M1903" s="8" t="s">
        <v>27</v>
      </c>
      <c r="N1903" s="2" t="s">
        <v>9565</v>
      </c>
      <c r="O1903" s="8" t="s">
        <v>400</v>
      </c>
      <c r="P1903" s="8" t="s">
        <v>401</v>
      </c>
      <c r="Q1903" s="12" t="s">
        <v>9566</v>
      </c>
      <c r="R1903" s="8" t="s">
        <v>100</v>
      </c>
      <c r="S1903" s="7" t="s">
        <v>28</v>
      </c>
      <c r="T1903" s="6"/>
      <c r="U1903" s="8"/>
      <c r="V1903" s="8"/>
      <c r="W1903" s="8"/>
      <c r="X1903" s="8"/>
    </row>
    <row r="1904" spans="1:34" ht="13" customHeight="1">
      <c r="A1904" s="8" t="s">
        <v>9555</v>
      </c>
      <c r="B1904" s="16">
        <v>31</v>
      </c>
      <c r="C1904" s="8" t="s">
        <v>20</v>
      </c>
      <c r="D1904" s="8" t="s">
        <v>48</v>
      </c>
      <c r="E1904" s="8" t="s">
        <v>9556</v>
      </c>
      <c r="F1904" s="17">
        <v>41789</v>
      </c>
      <c r="G1904" s="8" t="s">
        <v>9557</v>
      </c>
      <c r="H1904" s="8" t="s">
        <v>9558</v>
      </c>
      <c r="I1904" s="8" t="s">
        <v>123</v>
      </c>
      <c r="J1904" s="16" t="s">
        <v>9559</v>
      </c>
      <c r="K1904" s="2" t="s">
        <v>562</v>
      </c>
      <c r="L1904" s="8" t="s">
        <v>4762</v>
      </c>
      <c r="M1904" s="8" t="s">
        <v>27</v>
      </c>
      <c r="N1904" s="2" t="s">
        <v>9560</v>
      </c>
      <c r="O1904" s="8" t="s">
        <v>1013</v>
      </c>
      <c r="P1904" s="8" t="s">
        <v>401</v>
      </c>
      <c r="Q1904" s="12" t="s">
        <v>9561</v>
      </c>
      <c r="R1904" s="8" t="s">
        <v>100</v>
      </c>
      <c r="S1904" s="7" t="s">
        <v>18</v>
      </c>
      <c r="T1904" s="6"/>
      <c r="U1904" s="8"/>
    </row>
    <row r="1905" spans="1:24" ht="13" customHeight="1">
      <c r="A1905" s="8" t="s">
        <v>9567</v>
      </c>
      <c r="B1905" s="16">
        <v>61</v>
      </c>
      <c r="C1905" s="8" t="s">
        <v>20</v>
      </c>
      <c r="D1905" s="8" t="s">
        <v>30</v>
      </c>
      <c r="F1905" s="17">
        <v>41789</v>
      </c>
      <c r="G1905" s="8" t="s">
        <v>9568</v>
      </c>
      <c r="H1905" s="8" t="s">
        <v>9569</v>
      </c>
      <c r="I1905" s="8" t="s">
        <v>315</v>
      </c>
      <c r="J1905" s="16" t="s">
        <v>9570</v>
      </c>
      <c r="K1905" s="2" t="s">
        <v>2512</v>
      </c>
      <c r="L1905" s="8" t="s">
        <v>3385</v>
      </c>
      <c r="M1905" s="8" t="s">
        <v>27</v>
      </c>
      <c r="N1905" s="2" t="s">
        <v>9571</v>
      </c>
      <c r="O1905" s="8" t="s">
        <v>1013</v>
      </c>
      <c r="P1905" s="8" t="s">
        <v>401</v>
      </c>
      <c r="Q1905" s="12" t="s">
        <v>9572</v>
      </c>
      <c r="R1905" s="8" t="s">
        <v>29</v>
      </c>
      <c r="S1905" s="7" t="s">
        <v>28</v>
      </c>
      <c r="T1905" s="6"/>
      <c r="U1905" s="8"/>
    </row>
    <row r="1906" spans="1:24" ht="13" customHeight="1">
      <c r="A1906" s="8" t="s">
        <v>9586</v>
      </c>
      <c r="B1906" s="16">
        <v>29</v>
      </c>
      <c r="C1906" s="8" t="s">
        <v>20</v>
      </c>
      <c r="D1906" s="8" t="s">
        <v>37</v>
      </c>
      <c r="E1906" s="8" t="s">
        <v>9587</v>
      </c>
      <c r="F1906" s="17">
        <v>41789</v>
      </c>
      <c r="G1906" s="8" t="s">
        <v>9588</v>
      </c>
      <c r="H1906" s="8" t="s">
        <v>3332</v>
      </c>
      <c r="I1906" s="8" t="s">
        <v>244</v>
      </c>
      <c r="J1906" s="16" t="s">
        <v>9589</v>
      </c>
      <c r="K1906" s="2" t="s">
        <v>3332</v>
      </c>
      <c r="L1906" s="8" t="s">
        <v>5085</v>
      </c>
      <c r="M1906" s="8" t="s">
        <v>27</v>
      </c>
      <c r="N1906" s="2" t="s">
        <v>9590</v>
      </c>
      <c r="O1906" s="8" t="s">
        <v>1013</v>
      </c>
      <c r="P1906" s="8" t="s">
        <v>401</v>
      </c>
      <c r="Q1906" s="12" t="s">
        <v>9591</v>
      </c>
      <c r="R1906" s="8" t="s">
        <v>29</v>
      </c>
      <c r="S1906" s="7" t="s">
        <v>28</v>
      </c>
      <c r="T1906" s="6"/>
      <c r="U1906" s="8"/>
    </row>
    <row r="1907" spans="1:24" ht="13" customHeight="1">
      <c r="A1907" s="8" t="s">
        <v>9573</v>
      </c>
      <c r="B1907" s="16">
        <v>31</v>
      </c>
      <c r="C1907" s="8" t="s">
        <v>20</v>
      </c>
      <c r="D1907" s="8" t="s">
        <v>37</v>
      </c>
      <c r="E1907" s="8" t="s">
        <v>9574</v>
      </c>
      <c r="F1907" s="17">
        <v>41789</v>
      </c>
      <c r="G1907" s="8" t="s">
        <v>6355</v>
      </c>
      <c r="H1907" s="8" t="s">
        <v>657</v>
      </c>
      <c r="I1907" s="8" t="s">
        <v>269</v>
      </c>
      <c r="J1907" s="16" t="s">
        <v>9575</v>
      </c>
      <c r="K1907" s="2" t="s">
        <v>570</v>
      </c>
      <c r="L1907" s="8" t="s">
        <v>571</v>
      </c>
      <c r="M1907" s="8" t="s">
        <v>27</v>
      </c>
      <c r="N1907" s="2" t="s">
        <v>9576</v>
      </c>
      <c r="O1907" s="8" t="s">
        <v>1013</v>
      </c>
      <c r="P1907" s="8" t="s">
        <v>401</v>
      </c>
      <c r="Q1907" s="12" t="s">
        <v>9577</v>
      </c>
      <c r="R1907" s="8" t="s">
        <v>100</v>
      </c>
      <c r="S1907" s="7" t="s">
        <v>28</v>
      </c>
      <c r="T1907" s="6"/>
      <c r="U1907" s="8"/>
    </row>
    <row r="1908" spans="1:24" ht="13" customHeight="1">
      <c r="A1908" s="8" t="s">
        <v>9578</v>
      </c>
      <c r="B1908" s="16">
        <v>49</v>
      </c>
      <c r="C1908" s="8" t="s">
        <v>20</v>
      </c>
      <c r="D1908" s="8" t="s">
        <v>37</v>
      </c>
      <c r="E1908" s="8" t="s">
        <v>9579</v>
      </c>
      <c r="F1908" s="17">
        <v>41789</v>
      </c>
      <c r="G1908" s="8" t="s">
        <v>9580</v>
      </c>
      <c r="H1908" s="8" t="s">
        <v>9581</v>
      </c>
      <c r="I1908" s="8" t="s">
        <v>45</v>
      </c>
      <c r="J1908" s="16" t="s">
        <v>9582</v>
      </c>
      <c r="K1908" s="2" t="s">
        <v>1427</v>
      </c>
      <c r="L1908" s="8" t="s">
        <v>9583</v>
      </c>
      <c r="M1908" s="8" t="s">
        <v>27</v>
      </c>
      <c r="N1908" s="2" t="s">
        <v>9584</v>
      </c>
      <c r="O1908" s="8" t="s">
        <v>1013</v>
      </c>
      <c r="P1908" s="8" t="s">
        <v>401</v>
      </c>
      <c r="Q1908" s="12" t="s">
        <v>9585</v>
      </c>
      <c r="R1908" s="8" t="s">
        <v>29</v>
      </c>
      <c r="S1908" s="7" t="s">
        <v>28</v>
      </c>
      <c r="T1908" s="6"/>
      <c r="U1908" s="8"/>
    </row>
    <row r="1909" spans="1:24" ht="13" customHeight="1">
      <c r="A1909" s="8" t="s">
        <v>9592</v>
      </c>
      <c r="B1909" s="16">
        <v>17</v>
      </c>
      <c r="C1909" s="8" t="s">
        <v>20</v>
      </c>
      <c r="D1909" s="8" t="s">
        <v>85</v>
      </c>
      <c r="E1909" s="8" t="s">
        <v>9593</v>
      </c>
      <c r="F1909" s="17">
        <v>41788</v>
      </c>
      <c r="G1909" s="8" t="s">
        <v>9594</v>
      </c>
      <c r="H1909" s="8" t="s">
        <v>1042</v>
      </c>
      <c r="I1909" s="8" t="s">
        <v>25</v>
      </c>
      <c r="J1909" s="16" t="s">
        <v>9595</v>
      </c>
      <c r="K1909" s="2" t="s">
        <v>2589</v>
      </c>
      <c r="L1909" s="8" t="s">
        <v>9596</v>
      </c>
      <c r="M1909" s="8" t="s">
        <v>27</v>
      </c>
      <c r="N1909" s="2" t="s">
        <v>9597</v>
      </c>
      <c r="O1909" s="8" t="s">
        <v>550</v>
      </c>
      <c r="P1909" s="8" t="s">
        <v>401</v>
      </c>
      <c r="Q1909" s="12" t="s">
        <v>9598</v>
      </c>
      <c r="R1909" s="8" t="s">
        <v>29</v>
      </c>
      <c r="S1909" s="7" t="s">
        <v>28</v>
      </c>
      <c r="T1909" s="6"/>
      <c r="U1909" s="8"/>
    </row>
    <row r="1910" spans="1:24" ht="13" customHeight="1">
      <c r="A1910" s="8" t="s">
        <v>9599</v>
      </c>
      <c r="B1910" s="16">
        <v>18</v>
      </c>
      <c r="C1910" s="8" t="s">
        <v>20</v>
      </c>
      <c r="D1910" s="8" t="s">
        <v>85</v>
      </c>
      <c r="E1910" s="8" t="s">
        <v>9600</v>
      </c>
      <c r="F1910" s="17">
        <v>41788</v>
      </c>
      <c r="G1910" s="8" t="s">
        <v>9601</v>
      </c>
      <c r="H1910" s="8" t="s">
        <v>3518</v>
      </c>
      <c r="I1910" s="8" t="s">
        <v>62</v>
      </c>
      <c r="J1910" s="16" t="s">
        <v>9602</v>
      </c>
      <c r="K1910" s="2" t="s">
        <v>3520</v>
      </c>
      <c r="L1910" s="8" t="s">
        <v>3521</v>
      </c>
      <c r="M1910" s="8" t="s">
        <v>27</v>
      </c>
      <c r="N1910" s="2" t="s">
        <v>9603</v>
      </c>
      <c r="O1910" s="8" t="s">
        <v>550</v>
      </c>
      <c r="P1910" s="8" t="s">
        <v>401</v>
      </c>
      <c r="Q1910" s="12" t="s">
        <v>9604</v>
      </c>
      <c r="R1910" s="8" t="s">
        <v>967</v>
      </c>
      <c r="S1910" s="7" t="s">
        <v>35</v>
      </c>
      <c r="T1910" s="6"/>
      <c r="U1910" s="8"/>
    </row>
    <row r="1911" spans="1:24" ht="13" customHeight="1">
      <c r="A1911" s="8" t="s">
        <v>9605</v>
      </c>
      <c r="B1911" s="16">
        <v>22</v>
      </c>
      <c r="C1911" s="8" t="s">
        <v>20</v>
      </c>
      <c r="D1911" s="8" t="s">
        <v>37</v>
      </c>
      <c r="E1911" s="8" t="s">
        <v>9606</v>
      </c>
      <c r="F1911" s="17">
        <v>41788</v>
      </c>
      <c r="G1911" s="8" t="s">
        <v>9607</v>
      </c>
      <c r="H1911" s="8" t="s">
        <v>9608</v>
      </c>
      <c r="I1911" s="8" t="s">
        <v>45</v>
      </c>
      <c r="J1911" s="16" t="s">
        <v>9609</v>
      </c>
      <c r="K1911" s="2" t="s">
        <v>1064</v>
      </c>
      <c r="L1911" s="8" t="s">
        <v>9610</v>
      </c>
      <c r="M1911" s="8" t="s">
        <v>27</v>
      </c>
      <c r="N1911" s="2" t="s">
        <v>9611</v>
      </c>
      <c r="O1911" s="8" t="s">
        <v>400</v>
      </c>
      <c r="P1911" s="8" t="s">
        <v>401</v>
      </c>
      <c r="Q1911" s="12" t="s">
        <v>9612</v>
      </c>
      <c r="R1911" s="8" t="s">
        <v>555</v>
      </c>
      <c r="S1911" s="7" t="s">
        <v>28</v>
      </c>
      <c r="T1911" s="6"/>
      <c r="U1911" s="8"/>
    </row>
    <row r="1912" spans="1:24" ht="13" customHeight="1">
      <c r="A1912" s="8" t="s">
        <v>9613</v>
      </c>
      <c r="B1912" s="16">
        <v>45</v>
      </c>
      <c r="C1912" s="8" t="s">
        <v>20</v>
      </c>
      <c r="D1912" s="8" t="s">
        <v>37</v>
      </c>
      <c r="E1912" s="8" t="s">
        <v>9614</v>
      </c>
      <c r="F1912" s="17">
        <v>41788</v>
      </c>
      <c r="G1912" s="8" t="s">
        <v>9615</v>
      </c>
      <c r="H1912" s="8" t="s">
        <v>6607</v>
      </c>
      <c r="I1912" s="8" t="s">
        <v>319</v>
      </c>
      <c r="J1912" s="16" t="s">
        <v>9616</v>
      </c>
      <c r="K1912" s="2" t="s">
        <v>2923</v>
      </c>
      <c r="L1912" s="8" t="s">
        <v>119</v>
      </c>
      <c r="M1912" s="8" t="s">
        <v>27</v>
      </c>
      <c r="N1912" s="2" t="s">
        <v>9617</v>
      </c>
      <c r="O1912" s="8" t="s">
        <v>550</v>
      </c>
      <c r="P1912" s="8" t="s">
        <v>401</v>
      </c>
      <c r="Q1912" s="12" t="str">
        <f>HYPERLINK("http://www.tricities.com/news/article_0ec2ddf4-e749-11e3-a6a8-0017a43b2370.html","http://www.tricities.com/news/article_0ec2ddf4-e749-11e3-a6a8-0017a43b2370.html")</f>
        <v>http://www.tricities.com/news/article_0ec2ddf4-e749-11e3-a6a8-0017a43b2370.html</v>
      </c>
      <c r="R1912" s="8" t="s">
        <v>100</v>
      </c>
      <c r="S1912" s="7" t="s">
        <v>379</v>
      </c>
      <c r="T1912" s="6"/>
      <c r="U1912" s="8"/>
    </row>
    <row r="1913" spans="1:24" ht="13" customHeight="1">
      <c r="A1913" s="8" t="s">
        <v>9618</v>
      </c>
      <c r="B1913" s="16">
        <v>20</v>
      </c>
      <c r="C1913" s="8" t="s">
        <v>20</v>
      </c>
      <c r="D1913" s="8" t="s">
        <v>85</v>
      </c>
      <c r="E1913" s="8" t="s">
        <v>9619</v>
      </c>
      <c r="F1913" s="17">
        <v>41787</v>
      </c>
      <c r="G1913" s="8" t="s">
        <v>9620</v>
      </c>
      <c r="H1913" s="8" t="s">
        <v>6683</v>
      </c>
      <c r="I1913" s="8" t="s">
        <v>671</v>
      </c>
      <c r="J1913" s="16" t="s">
        <v>6684</v>
      </c>
      <c r="K1913" s="2" t="s">
        <v>1186</v>
      </c>
      <c r="L1913" s="8" t="s">
        <v>1187</v>
      </c>
      <c r="M1913" s="8" t="s">
        <v>27</v>
      </c>
      <c r="N1913" s="2" t="s">
        <v>9621</v>
      </c>
      <c r="O1913" s="8" t="s">
        <v>1013</v>
      </c>
      <c r="P1913" s="8" t="s">
        <v>401</v>
      </c>
      <c r="Q1913" s="12" t="s">
        <v>9622</v>
      </c>
      <c r="R1913" s="8" t="s">
        <v>100</v>
      </c>
      <c r="S1913" s="7" t="s">
        <v>28</v>
      </c>
      <c r="T1913" s="6"/>
      <c r="U1913" s="8"/>
    </row>
    <row r="1914" spans="1:24" ht="13" customHeight="1">
      <c r="A1914" s="8" t="s">
        <v>9623</v>
      </c>
      <c r="B1914" s="16">
        <v>54</v>
      </c>
      <c r="C1914" s="8" t="s">
        <v>20</v>
      </c>
      <c r="D1914" s="8" t="s">
        <v>37</v>
      </c>
      <c r="F1914" s="17">
        <v>41787</v>
      </c>
      <c r="G1914" s="8" t="s">
        <v>9624</v>
      </c>
      <c r="H1914" s="8" t="s">
        <v>9625</v>
      </c>
      <c r="I1914" s="8" t="s">
        <v>431</v>
      </c>
      <c r="J1914" s="16" t="s">
        <v>9626</v>
      </c>
      <c r="K1914" s="2" t="s">
        <v>3303</v>
      </c>
      <c r="L1914" s="8" t="s">
        <v>9627</v>
      </c>
      <c r="M1914" s="8" t="s">
        <v>27</v>
      </c>
      <c r="N1914" s="2" t="s">
        <v>9628</v>
      </c>
      <c r="O1914" s="8" t="s">
        <v>1013</v>
      </c>
      <c r="P1914" s="8" t="s">
        <v>401</v>
      </c>
      <c r="Q1914" s="12" t="s">
        <v>9629</v>
      </c>
      <c r="R1914" s="8" t="s">
        <v>100</v>
      </c>
      <c r="S1914" s="7" t="s">
        <v>28</v>
      </c>
      <c r="T1914" s="6"/>
      <c r="U1914" s="8"/>
    </row>
    <row r="1915" spans="1:24" ht="13" customHeight="1">
      <c r="A1915" s="8" t="s">
        <v>9638</v>
      </c>
      <c r="B1915" s="16">
        <v>29</v>
      </c>
      <c r="C1915" s="8" t="s">
        <v>20</v>
      </c>
      <c r="D1915" s="8" t="s">
        <v>37</v>
      </c>
      <c r="E1915" s="8" t="s">
        <v>9639</v>
      </c>
      <c r="F1915" s="17">
        <v>41786</v>
      </c>
      <c r="G1915" s="8" t="s">
        <v>9640</v>
      </c>
      <c r="H1915" s="8" t="s">
        <v>1571</v>
      </c>
      <c r="I1915" s="8" t="s">
        <v>62</v>
      </c>
      <c r="J1915" s="16" t="s">
        <v>1572</v>
      </c>
      <c r="K1915" s="2" t="s">
        <v>640</v>
      </c>
      <c r="L1915" s="8" t="s">
        <v>1573</v>
      </c>
      <c r="M1915" s="8" t="s">
        <v>27</v>
      </c>
      <c r="N1915" s="2" t="s">
        <v>9641</v>
      </c>
      <c r="O1915" s="8" t="s">
        <v>550</v>
      </c>
      <c r="P1915" s="8" t="s">
        <v>401</v>
      </c>
      <c r="Q1915" s="12" t="s">
        <v>9642</v>
      </c>
      <c r="R1915" s="8" t="s">
        <v>100</v>
      </c>
      <c r="S1915" s="7" t="s">
        <v>28</v>
      </c>
      <c r="T1915" s="6"/>
      <c r="U1915" s="8"/>
    </row>
    <row r="1916" spans="1:24" ht="13" customHeight="1">
      <c r="A1916" s="8" t="s">
        <v>9630</v>
      </c>
      <c r="B1916" s="16">
        <v>42</v>
      </c>
      <c r="C1916" s="8" t="s">
        <v>20</v>
      </c>
      <c r="D1916" s="8" t="s">
        <v>37</v>
      </c>
      <c r="E1916" s="8" t="s">
        <v>9631</v>
      </c>
      <c r="F1916" s="17">
        <v>41786</v>
      </c>
      <c r="G1916" s="8" t="s">
        <v>9632</v>
      </c>
      <c r="H1916" s="8" t="s">
        <v>9633</v>
      </c>
      <c r="I1916" s="8" t="s">
        <v>69</v>
      </c>
      <c r="J1916" s="16" t="s">
        <v>9634</v>
      </c>
      <c r="K1916" s="2" t="s">
        <v>4089</v>
      </c>
      <c r="L1916" s="8" t="s">
        <v>9635</v>
      </c>
      <c r="M1916" s="8" t="s">
        <v>27</v>
      </c>
      <c r="N1916" s="2" t="s">
        <v>9636</v>
      </c>
      <c r="O1916" s="8" t="s">
        <v>550</v>
      </c>
      <c r="P1916" s="8" t="s">
        <v>401</v>
      </c>
      <c r="Q1916" s="12" t="s">
        <v>9637</v>
      </c>
      <c r="R1916" s="8" t="s">
        <v>100</v>
      </c>
      <c r="S1916" s="7" t="s">
        <v>28</v>
      </c>
      <c r="T1916" s="6"/>
      <c r="U1916" s="8"/>
    </row>
    <row r="1917" spans="1:24" ht="13" customHeight="1">
      <c r="A1917" s="8" t="s">
        <v>9643</v>
      </c>
      <c r="B1917" s="16">
        <v>45</v>
      </c>
      <c r="C1917" s="8" t="s">
        <v>20</v>
      </c>
      <c r="D1917" s="8" t="s">
        <v>85</v>
      </c>
      <c r="E1917" s="8" t="s">
        <v>9644</v>
      </c>
      <c r="F1917" s="17">
        <v>41785</v>
      </c>
      <c r="G1917" s="8" t="s">
        <v>9645</v>
      </c>
      <c r="H1917" s="8" t="s">
        <v>1058</v>
      </c>
      <c r="I1917" s="8" t="s">
        <v>69</v>
      </c>
      <c r="J1917" s="16" t="s">
        <v>9646</v>
      </c>
      <c r="K1917" s="2" t="s">
        <v>1059</v>
      </c>
      <c r="L1917" s="8" t="s">
        <v>6049</v>
      </c>
      <c r="M1917" s="8" t="s">
        <v>27</v>
      </c>
      <c r="N1917" s="2" t="s">
        <v>9647</v>
      </c>
      <c r="O1917" s="8" t="s">
        <v>1013</v>
      </c>
      <c r="P1917" s="8" t="s">
        <v>401</v>
      </c>
      <c r="Q1917" s="12" t="str">
        <f>HYPERLINK("http://www.daytondailynews.com/news/news/crime-law/police-involved-shooting-reported-udf-dayton/nf7f7/?__federated=1","http://www.daytondailynews.com/news/news/crime-law/police-involved-shooting-reported-udf-dayton/nf7f7/?__federated=1")</f>
        <v>http://www.daytondailynews.com/news/news/crime-law/police-involved-shooting-reported-udf-dayton/nf7f7/?__federated=1</v>
      </c>
      <c r="R1917" s="8" t="s">
        <v>29</v>
      </c>
      <c r="S1917" s="7" t="s">
        <v>28</v>
      </c>
      <c r="T1917" s="6"/>
      <c r="U1917" s="8"/>
    </row>
    <row r="1918" spans="1:24" ht="13" customHeight="1">
      <c r="A1918" s="8" t="s">
        <v>9648</v>
      </c>
      <c r="B1918" s="16">
        <v>23</v>
      </c>
      <c r="C1918" s="8" t="s">
        <v>20</v>
      </c>
      <c r="D1918" s="8" t="s">
        <v>48</v>
      </c>
      <c r="E1918" s="8" t="s">
        <v>9649</v>
      </c>
      <c r="F1918" s="17">
        <v>41785</v>
      </c>
      <c r="G1918" s="8" t="s">
        <v>9650</v>
      </c>
      <c r="H1918" s="8" t="s">
        <v>489</v>
      </c>
      <c r="I1918" s="8" t="s">
        <v>45</v>
      </c>
      <c r="J1918" s="16" t="s">
        <v>9651</v>
      </c>
      <c r="K1918" s="2" t="s">
        <v>98</v>
      </c>
      <c r="L1918" s="8" t="s">
        <v>414</v>
      </c>
      <c r="M1918" s="8" t="s">
        <v>27</v>
      </c>
      <c r="N1918" s="2" t="s">
        <v>9652</v>
      </c>
      <c r="O1918" s="8" t="s">
        <v>1013</v>
      </c>
      <c r="P1918" s="8" t="s">
        <v>401</v>
      </c>
      <c r="Q1918" s="12" t="s">
        <v>9653</v>
      </c>
      <c r="R1918" s="8" t="s">
        <v>100</v>
      </c>
      <c r="S1918" s="7" t="s">
        <v>28</v>
      </c>
      <c r="T1918" s="6"/>
      <c r="U1918" s="8"/>
    </row>
    <row r="1919" spans="1:24" ht="13" customHeight="1">
      <c r="A1919" s="8" t="s">
        <v>9654</v>
      </c>
      <c r="B1919" s="16">
        <v>26</v>
      </c>
      <c r="C1919" s="8" t="s">
        <v>20</v>
      </c>
      <c r="D1919" s="8" t="s">
        <v>85</v>
      </c>
      <c r="E1919" s="8" t="s">
        <v>9655</v>
      </c>
      <c r="F1919" s="17">
        <v>41784</v>
      </c>
      <c r="G1919" s="8" t="s">
        <v>9656</v>
      </c>
      <c r="H1919" s="8" t="s">
        <v>9657</v>
      </c>
      <c r="I1919" s="8" t="s">
        <v>366</v>
      </c>
      <c r="J1919" s="16" t="s">
        <v>9658</v>
      </c>
      <c r="K1919" s="2" t="s">
        <v>9413</v>
      </c>
      <c r="L1919" s="8" t="s">
        <v>9659</v>
      </c>
      <c r="M1919" s="8" t="s">
        <v>27</v>
      </c>
      <c r="N1919" s="2" t="s">
        <v>9660</v>
      </c>
      <c r="O1919" s="8" t="s">
        <v>550</v>
      </c>
      <c r="P1919" s="8" t="s">
        <v>401</v>
      </c>
      <c r="Q1919" s="12" t="s">
        <v>9661</v>
      </c>
      <c r="R1919" s="8" t="s">
        <v>100</v>
      </c>
      <c r="S1919" s="7" t="s">
        <v>18</v>
      </c>
      <c r="T1919" s="6"/>
      <c r="U1919" s="8"/>
      <c r="V1919" s="8"/>
      <c r="W1919" s="8"/>
      <c r="X1919" s="8"/>
    </row>
    <row r="1920" spans="1:24" ht="13" customHeight="1">
      <c r="A1920" s="8" t="s">
        <v>9662</v>
      </c>
      <c r="B1920" s="16">
        <v>26</v>
      </c>
      <c r="C1920" s="8" t="s">
        <v>20</v>
      </c>
      <c r="D1920" s="8" t="s">
        <v>37</v>
      </c>
      <c r="E1920" s="8" t="s">
        <v>9663</v>
      </c>
      <c r="F1920" s="17">
        <v>41784</v>
      </c>
      <c r="G1920" s="8" t="s">
        <v>9664</v>
      </c>
      <c r="H1920" s="8" t="s">
        <v>430</v>
      </c>
      <c r="I1920" s="8" t="s">
        <v>431</v>
      </c>
      <c r="J1920" s="16" t="s">
        <v>9665</v>
      </c>
      <c r="K1920" s="2" t="s">
        <v>433</v>
      </c>
      <c r="L1920" s="8" t="s">
        <v>434</v>
      </c>
      <c r="M1920" s="8" t="s">
        <v>27</v>
      </c>
      <c r="N1920" s="2" t="s">
        <v>9666</v>
      </c>
      <c r="O1920" s="8" t="s">
        <v>1013</v>
      </c>
      <c r="P1920" s="8" t="s">
        <v>401</v>
      </c>
      <c r="Q1920" s="12" t="s">
        <v>9667</v>
      </c>
      <c r="R1920" s="8" t="s">
        <v>555</v>
      </c>
      <c r="S1920" s="7" t="s">
        <v>28</v>
      </c>
      <c r="T1920" s="6"/>
      <c r="U1920" s="8"/>
    </row>
    <row r="1921" spans="1:34" ht="13" customHeight="1">
      <c r="A1921" s="8" t="s">
        <v>9673</v>
      </c>
      <c r="B1921" s="16">
        <v>27</v>
      </c>
      <c r="C1921" s="8" t="s">
        <v>20</v>
      </c>
      <c r="D1921" s="8" t="s">
        <v>85</v>
      </c>
      <c r="E1921" s="8" t="s">
        <v>9674</v>
      </c>
      <c r="F1921" s="17">
        <v>41783</v>
      </c>
      <c r="G1921" s="8" t="s">
        <v>9675</v>
      </c>
      <c r="H1921" s="8" t="s">
        <v>9676</v>
      </c>
      <c r="I1921" s="8" t="s">
        <v>423</v>
      </c>
      <c r="J1921" s="16" t="s">
        <v>9677</v>
      </c>
      <c r="K1921" s="2" t="s">
        <v>2473</v>
      </c>
      <c r="L1921" s="8" t="s">
        <v>9678</v>
      </c>
      <c r="M1921" s="8" t="s">
        <v>27</v>
      </c>
      <c r="N1921" s="2" t="s">
        <v>9679</v>
      </c>
      <c r="O1921" s="8" t="s">
        <v>1013</v>
      </c>
      <c r="P1921" s="8" t="s">
        <v>401</v>
      </c>
      <c r="Q1921" s="12" t="s">
        <v>9680</v>
      </c>
      <c r="R1921" s="8" t="s">
        <v>967</v>
      </c>
      <c r="S1921" s="7" t="s">
        <v>28</v>
      </c>
      <c r="T1921" s="6"/>
      <c r="U1921" s="8"/>
    </row>
    <row r="1922" spans="1:34" ht="13" customHeight="1">
      <c r="A1922" s="8" t="s">
        <v>9668</v>
      </c>
      <c r="B1922" s="16">
        <v>62</v>
      </c>
      <c r="C1922" s="8" t="s">
        <v>20</v>
      </c>
      <c r="D1922" s="8" t="s">
        <v>85</v>
      </c>
      <c r="F1922" s="17">
        <v>41783</v>
      </c>
      <c r="G1922" s="8" t="s">
        <v>9669</v>
      </c>
      <c r="H1922" s="8" t="s">
        <v>87</v>
      </c>
      <c r="I1922" s="8" t="s">
        <v>44</v>
      </c>
      <c r="J1922" s="16" t="s">
        <v>9670</v>
      </c>
      <c r="K1922" s="2" t="s">
        <v>88</v>
      </c>
      <c r="L1922" s="8" t="s">
        <v>89</v>
      </c>
      <c r="M1922" s="8" t="s">
        <v>27</v>
      </c>
      <c r="N1922" s="2" t="s">
        <v>9671</v>
      </c>
      <c r="O1922" s="8" t="s">
        <v>1013</v>
      </c>
      <c r="P1922" s="8" t="s">
        <v>401</v>
      </c>
      <c r="Q1922" s="12" t="s">
        <v>9672</v>
      </c>
      <c r="R1922" s="8" t="s">
        <v>29</v>
      </c>
      <c r="S1922" s="7" t="s">
        <v>28</v>
      </c>
      <c r="T1922" s="6"/>
      <c r="U1922" s="8"/>
    </row>
    <row r="1923" spans="1:34" ht="13" customHeight="1">
      <c r="A1923" s="8" t="s">
        <v>9689</v>
      </c>
      <c r="B1923" s="16">
        <v>54</v>
      </c>
      <c r="C1923" s="8" t="s">
        <v>20</v>
      </c>
      <c r="D1923" s="8" t="s">
        <v>48</v>
      </c>
      <c r="E1923" s="8" t="s">
        <v>9690</v>
      </c>
      <c r="F1923" s="17">
        <v>41783</v>
      </c>
      <c r="G1923" s="8" t="s">
        <v>9691</v>
      </c>
      <c r="H1923" s="8" t="s">
        <v>98</v>
      </c>
      <c r="I1923" s="8" t="s">
        <v>45</v>
      </c>
      <c r="J1923" s="16" t="s">
        <v>3947</v>
      </c>
      <c r="K1923" s="2" t="s">
        <v>98</v>
      </c>
      <c r="L1923" s="8" t="s">
        <v>99</v>
      </c>
      <c r="M1923" s="8" t="s">
        <v>9692</v>
      </c>
      <c r="N1923" s="2" t="s">
        <v>9693</v>
      </c>
      <c r="O1923" s="8" t="s">
        <v>1013</v>
      </c>
      <c r="P1923" s="8" t="s">
        <v>401</v>
      </c>
      <c r="Q1923" s="12" t="s">
        <v>9694</v>
      </c>
      <c r="R1923" s="8" t="s">
        <v>555</v>
      </c>
      <c r="S1923" s="7" t="s">
        <v>18</v>
      </c>
      <c r="T1923" s="6"/>
      <c r="U1923" s="8"/>
    </row>
    <row r="1924" spans="1:34" ht="13" customHeight="1">
      <c r="A1924" s="8" t="s">
        <v>9681</v>
      </c>
      <c r="B1924" s="16">
        <v>17</v>
      </c>
      <c r="C1924" s="8" t="s">
        <v>20</v>
      </c>
      <c r="D1924" s="8" t="s">
        <v>48</v>
      </c>
      <c r="F1924" s="17">
        <v>41783</v>
      </c>
      <c r="G1924" s="8" t="s">
        <v>9682</v>
      </c>
      <c r="H1924" s="8" t="s">
        <v>9683</v>
      </c>
      <c r="I1924" s="8" t="s">
        <v>244</v>
      </c>
      <c r="J1924" s="16" t="s">
        <v>9684</v>
      </c>
      <c r="K1924" s="2" t="s">
        <v>9685</v>
      </c>
      <c r="L1924" s="8" t="s">
        <v>9686</v>
      </c>
      <c r="M1924" s="8" t="s">
        <v>27</v>
      </c>
      <c r="N1924" s="2" t="s">
        <v>9687</v>
      </c>
      <c r="O1924" s="8" t="s">
        <v>550</v>
      </c>
      <c r="P1924" s="8" t="s">
        <v>401</v>
      </c>
      <c r="Q1924" s="12" t="s">
        <v>9688</v>
      </c>
      <c r="R1924" s="8" t="s">
        <v>555</v>
      </c>
      <c r="S1924" s="7" t="s">
        <v>28</v>
      </c>
      <c r="T1924" s="6"/>
      <c r="U1924" s="8"/>
    </row>
    <row r="1925" spans="1:34" ht="13" customHeight="1">
      <c r="A1925" s="8" t="s">
        <v>9695</v>
      </c>
      <c r="B1925" s="16">
        <v>49</v>
      </c>
      <c r="C1925" s="8" t="s">
        <v>20</v>
      </c>
      <c r="D1925" s="8" t="s">
        <v>37</v>
      </c>
      <c r="F1925" s="17">
        <v>41783</v>
      </c>
      <c r="G1925" s="8" t="s">
        <v>9696</v>
      </c>
      <c r="H1925" s="8" t="s">
        <v>9697</v>
      </c>
      <c r="I1925" s="8" t="s">
        <v>45</v>
      </c>
      <c r="J1925" s="16" t="s">
        <v>9698</v>
      </c>
      <c r="K1925" s="2" t="s">
        <v>682</v>
      </c>
      <c r="L1925" s="8" t="s">
        <v>750</v>
      </c>
      <c r="M1925" s="8" t="s">
        <v>27</v>
      </c>
      <c r="N1925" s="2" t="s">
        <v>9699</v>
      </c>
      <c r="O1925" s="8" t="s">
        <v>1013</v>
      </c>
      <c r="P1925" s="8" t="s">
        <v>401</v>
      </c>
      <c r="Q1925" s="12" t="str">
        <f>HYPERLINK("http://www.bakersfieldnow.com/news/local/1-shot-killed-by-KC-deputy-in-Lebec-260562651.html","http://www.bakersfieldnow.com/news/local/1-shot-killed-by-KC-deputy-in-Lebec-260562651.html")</f>
        <v>http://www.bakersfieldnow.com/news/local/1-shot-killed-by-KC-deputy-in-Lebec-260562651.html</v>
      </c>
      <c r="R1925" s="8" t="s">
        <v>100</v>
      </c>
      <c r="S1925" s="7" t="s">
        <v>28</v>
      </c>
      <c r="T1925" s="6"/>
      <c r="U1925" s="8"/>
    </row>
    <row r="1926" spans="1:34" ht="13" customHeight="1">
      <c r="A1926" s="8" t="s">
        <v>9700</v>
      </c>
      <c r="B1926" s="16">
        <v>59</v>
      </c>
      <c r="C1926" s="8" t="s">
        <v>20</v>
      </c>
      <c r="D1926" s="8" t="s">
        <v>37</v>
      </c>
      <c r="E1926" s="8" t="s">
        <v>9701</v>
      </c>
      <c r="F1926" s="17">
        <v>41783</v>
      </c>
      <c r="G1926" s="8" t="s">
        <v>9702</v>
      </c>
      <c r="H1926" s="8" t="s">
        <v>9703</v>
      </c>
      <c r="I1926" s="8" t="s">
        <v>431</v>
      </c>
      <c r="J1926" s="16" t="s">
        <v>9704</v>
      </c>
      <c r="K1926" s="2" t="s">
        <v>5552</v>
      </c>
      <c r="L1926" s="8" t="s">
        <v>9705</v>
      </c>
      <c r="M1926" s="8" t="s">
        <v>27</v>
      </c>
      <c r="N1926" s="2" t="s">
        <v>9706</v>
      </c>
      <c r="O1926" s="8" t="s">
        <v>400</v>
      </c>
      <c r="P1926" s="8" t="s">
        <v>401</v>
      </c>
      <c r="Q1926" s="12" t="s">
        <v>9707</v>
      </c>
      <c r="R1926" s="8" t="s">
        <v>100</v>
      </c>
      <c r="S1926" s="7" t="s">
        <v>28</v>
      </c>
      <c r="T1926" s="6"/>
      <c r="U1926" s="8"/>
    </row>
    <row r="1927" spans="1:34" ht="13" customHeight="1">
      <c r="A1927" s="8" t="s">
        <v>9708</v>
      </c>
      <c r="B1927" s="16">
        <v>42</v>
      </c>
      <c r="C1927" s="8" t="s">
        <v>20</v>
      </c>
      <c r="D1927" s="8" t="s">
        <v>30</v>
      </c>
      <c r="F1927" s="17">
        <v>41782</v>
      </c>
      <c r="G1927" s="8" t="s">
        <v>9709</v>
      </c>
      <c r="H1927" s="8" t="s">
        <v>1644</v>
      </c>
      <c r="I1927" s="8" t="s">
        <v>45</v>
      </c>
      <c r="J1927" s="16" t="s">
        <v>1645</v>
      </c>
      <c r="K1927" s="2" t="s">
        <v>1646</v>
      </c>
      <c r="L1927" s="8" t="s">
        <v>1647</v>
      </c>
      <c r="M1927" s="8" t="s">
        <v>27</v>
      </c>
      <c r="N1927" s="2" t="s">
        <v>9710</v>
      </c>
      <c r="O1927" s="8" t="s">
        <v>4714</v>
      </c>
      <c r="P1927" s="8" t="s">
        <v>401</v>
      </c>
      <c r="Q1927" s="12" t="s">
        <v>9711</v>
      </c>
      <c r="R1927" s="8" t="s">
        <v>100</v>
      </c>
      <c r="S1927" s="7" t="s">
        <v>18</v>
      </c>
      <c r="T1927" s="6"/>
      <c r="U1927" s="8"/>
    </row>
    <row r="1928" spans="1:34" ht="13" customHeight="1">
      <c r="A1928" s="8" t="s">
        <v>9712</v>
      </c>
      <c r="B1928" s="16">
        <v>44</v>
      </c>
      <c r="C1928" s="8" t="s">
        <v>20</v>
      </c>
      <c r="D1928" s="8" t="s">
        <v>85</v>
      </c>
      <c r="E1928" s="8" t="s">
        <v>9713</v>
      </c>
      <c r="F1928" s="17">
        <v>41781</v>
      </c>
      <c r="G1928" s="8" t="s">
        <v>9714</v>
      </c>
      <c r="H1928" s="8" t="s">
        <v>430</v>
      </c>
      <c r="I1928" s="8" t="s">
        <v>363</v>
      </c>
      <c r="J1928" s="16" t="s">
        <v>9715</v>
      </c>
      <c r="K1928" s="2" t="s">
        <v>600</v>
      </c>
      <c r="L1928" s="8" t="s">
        <v>2126</v>
      </c>
      <c r="M1928" s="8" t="s">
        <v>3386</v>
      </c>
      <c r="N1928" s="2" t="s">
        <v>21654</v>
      </c>
      <c r="O1928" s="8" t="s">
        <v>4714</v>
      </c>
      <c r="P1928" s="8" t="s">
        <v>401</v>
      </c>
      <c r="Q1928" s="12" t="s">
        <v>9716</v>
      </c>
      <c r="R1928" s="8" t="s">
        <v>100</v>
      </c>
      <c r="S1928" s="7" t="s">
        <v>18</v>
      </c>
      <c r="T1928" s="6"/>
      <c r="U1928" s="8"/>
    </row>
    <row r="1929" spans="1:34" ht="13" customHeight="1">
      <c r="A1929" s="8" t="s">
        <v>9717</v>
      </c>
      <c r="B1929" s="16" t="s">
        <v>8771</v>
      </c>
      <c r="C1929" s="8" t="s">
        <v>20</v>
      </c>
      <c r="D1929" s="8" t="s">
        <v>48</v>
      </c>
      <c r="E1929" s="8" t="s">
        <v>9718</v>
      </c>
      <c r="F1929" s="17">
        <v>41781</v>
      </c>
      <c r="G1929" s="8" t="s">
        <v>9719</v>
      </c>
      <c r="H1929" s="8" t="s">
        <v>925</v>
      </c>
      <c r="I1929" s="8" t="s">
        <v>195</v>
      </c>
      <c r="J1929" s="16" t="s">
        <v>9720</v>
      </c>
      <c r="K1929" s="2" t="s">
        <v>467</v>
      </c>
      <c r="L1929" s="8" t="s">
        <v>4995</v>
      </c>
      <c r="M1929" s="8" t="s">
        <v>27</v>
      </c>
      <c r="N1929" s="2" t="s">
        <v>9721</v>
      </c>
      <c r="O1929" s="8" t="s">
        <v>29</v>
      </c>
      <c r="P1929" s="8" t="s">
        <v>401</v>
      </c>
      <c r="Q1929" s="12" t="s">
        <v>9722</v>
      </c>
      <c r="R1929" s="8" t="s">
        <v>100</v>
      </c>
      <c r="S1929" s="7" t="s">
        <v>28</v>
      </c>
      <c r="T1929" s="6"/>
      <c r="U1929" s="8"/>
      <c r="Y1929" s="8"/>
      <c r="Z1929" s="8"/>
      <c r="AA1929" s="8"/>
      <c r="AB1929" s="8"/>
      <c r="AC1929" s="8"/>
      <c r="AD1929" s="8"/>
      <c r="AE1929" s="8"/>
      <c r="AF1929" s="8"/>
      <c r="AG1929" s="8"/>
      <c r="AH1929" s="8"/>
    </row>
    <row r="1930" spans="1:34" ht="13" customHeight="1">
      <c r="A1930" s="8" t="s">
        <v>9723</v>
      </c>
      <c r="B1930" s="16">
        <v>34</v>
      </c>
      <c r="C1930" s="8" t="s">
        <v>20</v>
      </c>
      <c r="D1930" s="8" t="s">
        <v>37</v>
      </c>
      <c r="F1930" s="17">
        <v>41781</v>
      </c>
      <c r="G1930" s="8" t="s">
        <v>9724</v>
      </c>
      <c r="H1930" s="8" t="s">
        <v>9725</v>
      </c>
      <c r="I1930" s="8" t="s">
        <v>173</v>
      </c>
      <c r="J1930" s="16" t="s">
        <v>9726</v>
      </c>
      <c r="K1930" s="2" t="s">
        <v>9727</v>
      </c>
      <c r="L1930" s="8" t="s">
        <v>9728</v>
      </c>
      <c r="M1930" s="8" t="s">
        <v>27</v>
      </c>
      <c r="N1930" s="2" t="s">
        <v>9729</v>
      </c>
      <c r="O1930" s="8" t="s">
        <v>550</v>
      </c>
      <c r="P1930" s="8" t="s">
        <v>401</v>
      </c>
      <c r="Q1930" s="12" t="s">
        <v>9730</v>
      </c>
      <c r="R1930" s="8" t="s">
        <v>967</v>
      </c>
      <c r="S1930" s="7" t="s">
        <v>35</v>
      </c>
      <c r="T1930" s="6"/>
      <c r="U1930" s="8"/>
    </row>
    <row r="1931" spans="1:34" ht="13" customHeight="1">
      <c r="A1931" s="8" t="s">
        <v>9731</v>
      </c>
      <c r="B1931" s="16">
        <v>20</v>
      </c>
      <c r="C1931" s="8" t="s">
        <v>20</v>
      </c>
      <c r="D1931" s="8" t="s">
        <v>85</v>
      </c>
      <c r="E1931" s="8" t="s">
        <v>9732</v>
      </c>
      <c r="F1931" s="17">
        <v>41780</v>
      </c>
      <c r="G1931" s="8" t="s">
        <v>9733</v>
      </c>
      <c r="H1931" s="8" t="s">
        <v>1063</v>
      </c>
      <c r="I1931" s="8" t="s">
        <v>62</v>
      </c>
      <c r="J1931" s="16" t="s">
        <v>9734</v>
      </c>
      <c r="K1931" s="2" t="s">
        <v>1064</v>
      </c>
      <c r="L1931" s="8" t="s">
        <v>1065</v>
      </c>
      <c r="M1931" s="8" t="s">
        <v>27</v>
      </c>
      <c r="N1931" s="2" t="s">
        <v>9735</v>
      </c>
      <c r="O1931" s="8" t="s">
        <v>4714</v>
      </c>
      <c r="P1931" s="8" t="s">
        <v>401</v>
      </c>
      <c r="Q1931" s="12" t="s">
        <v>9736</v>
      </c>
      <c r="R1931" s="8" t="s">
        <v>100</v>
      </c>
      <c r="S1931" s="7" t="s">
        <v>28</v>
      </c>
      <c r="T1931" s="6"/>
      <c r="U1931" s="8"/>
    </row>
    <row r="1932" spans="1:34" ht="13" customHeight="1">
      <c r="A1932" s="8" t="s">
        <v>9737</v>
      </c>
      <c r="B1932" s="16">
        <v>31</v>
      </c>
      <c r="C1932" s="8" t="s">
        <v>20</v>
      </c>
      <c r="D1932" s="8" t="s">
        <v>48</v>
      </c>
      <c r="E1932" s="8" t="s">
        <v>9738</v>
      </c>
      <c r="F1932" s="17">
        <v>41780</v>
      </c>
      <c r="G1932" s="8" t="s">
        <v>9739</v>
      </c>
      <c r="H1932" s="8" t="s">
        <v>1707</v>
      </c>
      <c r="I1932" s="8" t="s">
        <v>209</v>
      </c>
      <c r="J1932" s="16" t="s">
        <v>1708</v>
      </c>
      <c r="K1932" s="2" t="s">
        <v>1709</v>
      </c>
      <c r="L1932" s="8" t="s">
        <v>1710</v>
      </c>
      <c r="M1932" s="8" t="s">
        <v>27</v>
      </c>
      <c r="N1932" s="2" t="s">
        <v>9740</v>
      </c>
      <c r="O1932" s="8" t="s">
        <v>550</v>
      </c>
      <c r="P1932" s="8" t="s">
        <v>401</v>
      </c>
      <c r="Q1932" s="12" t="s">
        <v>9741</v>
      </c>
      <c r="R1932" s="8" t="s">
        <v>100</v>
      </c>
      <c r="S1932" s="7" t="s">
        <v>28</v>
      </c>
      <c r="T1932" s="6"/>
      <c r="U1932" s="8"/>
    </row>
    <row r="1933" spans="1:34" ht="13" customHeight="1">
      <c r="A1933" s="8" t="s">
        <v>9742</v>
      </c>
      <c r="B1933" s="16">
        <v>28</v>
      </c>
      <c r="C1933" s="8" t="s">
        <v>20</v>
      </c>
      <c r="D1933" s="8" t="s">
        <v>37</v>
      </c>
      <c r="E1933" s="8" t="s">
        <v>9743</v>
      </c>
      <c r="F1933" s="17">
        <v>41780</v>
      </c>
      <c r="G1933" s="8" t="s">
        <v>9744</v>
      </c>
      <c r="H1933" s="8" t="s">
        <v>561</v>
      </c>
      <c r="I1933" s="8" t="s">
        <v>123</v>
      </c>
      <c r="J1933" s="16" t="s">
        <v>7449</v>
      </c>
      <c r="K1933" s="2" t="s">
        <v>562</v>
      </c>
      <c r="L1933" s="8" t="s">
        <v>563</v>
      </c>
      <c r="M1933" s="8" t="s">
        <v>27</v>
      </c>
      <c r="N1933" s="2" t="s">
        <v>9745</v>
      </c>
      <c r="O1933" s="8" t="s">
        <v>4714</v>
      </c>
      <c r="P1933" s="8" t="s">
        <v>401</v>
      </c>
      <c r="Q1933" s="12" t="s">
        <v>9746</v>
      </c>
      <c r="R1933" s="8" t="s">
        <v>100</v>
      </c>
      <c r="S1933" s="7" t="s">
        <v>28</v>
      </c>
      <c r="T1933" s="6"/>
      <c r="U1933" s="8"/>
    </row>
    <row r="1934" spans="1:34" ht="13" customHeight="1">
      <c r="A1934" s="8" t="s">
        <v>9751</v>
      </c>
      <c r="B1934" s="16">
        <v>26</v>
      </c>
      <c r="C1934" s="8" t="s">
        <v>20</v>
      </c>
      <c r="D1934" s="8" t="s">
        <v>48</v>
      </c>
      <c r="E1934" s="8" t="s">
        <v>9752</v>
      </c>
      <c r="F1934" s="17">
        <v>41779</v>
      </c>
      <c r="G1934" s="8" t="s">
        <v>9753</v>
      </c>
      <c r="H1934" s="8" t="s">
        <v>200</v>
      </c>
      <c r="I1934" s="8" t="s">
        <v>45</v>
      </c>
      <c r="J1934" s="16" t="s">
        <v>9754</v>
      </c>
      <c r="K1934" s="2" t="s">
        <v>200</v>
      </c>
      <c r="L1934" s="8" t="s">
        <v>201</v>
      </c>
      <c r="M1934" s="8" t="s">
        <v>27</v>
      </c>
      <c r="N1934" s="2" t="s">
        <v>9755</v>
      </c>
      <c r="O1934" s="8" t="s">
        <v>1013</v>
      </c>
      <c r="P1934" s="8" t="s">
        <v>401</v>
      </c>
      <c r="Q1934" s="12" t="s">
        <v>9756</v>
      </c>
      <c r="R1934" s="8" t="s">
        <v>967</v>
      </c>
      <c r="S1934" s="7" t="s">
        <v>28</v>
      </c>
      <c r="T1934" s="6"/>
      <c r="U1934" s="8"/>
    </row>
    <row r="1935" spans="1:34" ht="13" customHeight="1">
      <c r="A1935" s="8" t="s">
        <v>9747</v>
      </c>
      <c r="B1935" s="16">
        <v>44</v>
      </c>
      <c r="C1935" s="8" t="s">
        <v>20</v>
      </c>
      <c r="D1935" s="8" t="s">
        <v>48</v>
      </c>
      <c r="F1935" s="17">
        <v>41779</v>
      </c>
      <c r="G1935" s="8" t="s">
        <v>9748</v>
      </c>
      <c r="H1935" s="8" t="s">
        <v>6383</v>
      </c>
      <c r="I1935" s="8" t="s">
        <v>45</v>
      </c>
      <c r="J1935" s="16" t="s">
        <v>6384</v>
      </c>
      <c r="K1935" s="2" t="s">
        <v>65</v>
      </c>
      <c r="L1935" s="8" t="s">
        <v>6385</v>
      </c>
      <c r="M1935" s="8" t="s">
        <v>27</v>
      </c>
      <c r="N1935" s="2" t="s">
        <v>9749</v>
      </c>
      <c r="O1935" s="8" t="s">
        <v>4714</v>
      </c>
      <c r="P1935" s="8" t="s">
        <v>401</v>
      </c>
      <c r="Q1935" s="12" t="s">
        <v>9750</v>
      </c>
      <c r="R1935" s="8" t="s">
        <v>100</v>
      </c>
      <c r="S1935" s="7" t="s">
        <v>28</v>
      </c>
      <c r="T1935" s="6"/>
      <c r="U1935" s="8"/>
    </row>
    <row r="1936" spans="1:34" ht="13" customHeight="1">
      <c r="A1936" s="8" t="s">
        <v>9757</v>
      </c>
      <c r="B1936" s="16">
        <v>27</v>
      </c>
      <c r="C1936" s="8" t="s">
        <v>114</v>
      </c>
      <c r="D1936" s="8" t="s">
        <v>30</v>
      </c>
      <c r="F1936" s="17">
        <v>41779</v>
      </c>
      <c r="G1936" s="8" t="s">
        <v>9758</v>
      </c>
      <c r="H1936" s="8" t="s">
        <v>987</v>
      </c>
      <c r="I1936" s="8" t="s">
        <v>73</v>
      </c>
      <c r="J1936" s="16" t="s">
        <v>9759</v>
      </c>
      <c r="K1936" s="2" t="s">
        <v>1059</v>
      </c>
      <c r="L1936" s="8" t="s">
        <v>9760</v>
      </c>
      <c r="M1936" s="8" t="s">
        <v>27</v>
      </c>
      <c r="N1936" s="2" t="s">
        <v>9761</v>
      </c>
      <c r="O1936" s="8" t="s">
        <v>1013</v>
      </c>
      <c r="P1936" s="8" t="s">
        <v>401</v>
      </c>
      <c r="Q1936" s="12" t="s">
        <v>9762</v>
      </c>
      <c r="R1936" s="8" t="s">
        <v>967</v>
      </c>
      <c r="S1936" s="7" t="s">
        <v>28</v>
      </c>
      <c r="T1936" s="6"/>
      <c r="U1936" s="8"/>
    </row>
    <row r="1937" spans="1:21" ht="13" customHeight="1">
      <c r="A1937" s="8" t="s">
        <v>9763</v>
      </c>
      <c r="B1937" s="16">
        <v>39</v>
      </c>
      <c r="C1937" s="8" t="s">
        <v>20</v>
      </c>
      <c r="D1937" s="8" t="s">
        <v>85</v>
      </c>
      <c r="E1937" s="8" t="s">
        <v>9764</v>
      </c>
      <c r="F1937" s="17">
        <v>41778</v>
      </c>
      <c r="G1937" s="8" t="s">
        <v>9765</v>
      </c>
      <c r="H1937" s="8" t="s">
        <v>757</v>
      </c>
      <c r="I1937" s="8" t="s">
        <v>423</v>
      </c>
      <c r="J1937" s="16" t="s">
        <v>9766</v>
      </c>
      <c r="K1937" s="2" t="s">
        <v>757</v>
      </c>
      <c r="L1937" s="8" t="s">
        <v>582</v>
      </c>
      <c r="M1937" s="8" t="s">
        <v>27</v>
      </c>
      <c r="N1937" s="2" t="s">
        <v>9767</v>
      </c>
      <c r="O1937" s="8" t="s">
        <v>1013</v>
      </c>
      <c r="P1937" s="8" t="s">
        <v>401</v>
      </c>
      <c r="Q1937" s="12" t="s">
        <v>9768</v>
      </c>
      <c r="R1937" s="8" t="s">
        <v>967</v>
      </c>
      <c r="S1937" s="7" t="s">
        <v>28</v>
      </c>
      <c r="T1937" s="6"/>
      <c r="U1937" s="8"/>
    </row>
    <row r="1938" spans="1:21" ht="13" customHeight="1">
      <c r="A1938" s="8" t="s">
        <v>9769</v>
      </c>
      <c r="B1938" s="16">
        <v>37</v>
      </c>
      <c r="C1938" s="8" t="s">
        <v>20</v>
      </c>
      <c r="D1938" s="8" t="s">
        <v>48</v>
      </c>
      <c r="E1938" s="8" t="s">
        <v>9770</v>
      </c>
      <c r="F1938" s="17">
        <v>41778</v>
      </c>
      <c r="G1938" s="8" t="s">
        <v>9771</v>
      </c>
      <c r="H1938" s="8" t="s">
        <v>9772</v>
      </c>
      <c r="I1938" s="8" t="s">
        <v>52</v>
      </c>
      <c r="J1938" s="16" t="s">
        <v>9773</v>
      </c>
      <c r="K1938" s="2" t="s">
        <v>9774</v>
      </c>
      <c r="L1938" s="8" t="s">
        <v>9775</v>
      </c>
      <c r="M1938" s="8" t="s">
        <v>27</v>
      </c>
      <c r="N1938" s="2" t="s">
        <v>9776</v>
      </c>
      <c r="O1938" s="8" t="s">
        <v>1013</v>
      </c>
      <c r="P1938" s="8" t="s">
        <v>401</v>
      </c>
      <c r="Q1938" s="12" t="s">
        <v>9777</v>
      </c>
      <c r="R1938" s="8" t="s">
        <v>100</v>
      </c>
      <c r="S1938" s="7" t="s">
        <v>28</v>
      </c>
      <c r="T1938" s="6"/>
      <c r="U1938" s="8"/>
    </row>
    <row r="1939" spans="1:21" ht="13" customHeight="1">
      <c r="A1939" s="8" t="s">
        <v>9786</v>
      </c>
      <c r="B1939" s="16">
        <v>41</v>
      </c>
      <c r="C1939" s="8" t="s">
        <v>20</v>
      </c>
      <c r="D1939" s="8" t="s">
        <v>30</v>
      </c>
      <c r="F1939" s="17">
        <v>41778</v>
      </c>
      <c r="G1939" s="8" t="s">
        <v>9787</v>
      </c>
      <c r="H1939" s="8" t="s">
        <v>9788</v>
      </c>
      <c r="I1939" s="8" t="s">
        <v>366</v>
      </c>
      <c r="J1939" s="16" t="s">
        <v>9789</v>
      </c>
      <c r="K1939" s="2" t="s">
        <v>3992</v>
      </c>
      <c r="L1939" s="8" t="s">
        <v>9790</v>
      </c>
      <c r="M1939" s="8" t="s">
        <v>27</v>
      </c>
      <c r="N1939" s="2" t="s">
        <v>9791</v>
      </c>
      <c r="O1939" s="8" t="s">
        <v>1013</v>
      </c>
      <c r="P1939" s="8" t="s">
        <v>401</v>
      </c>
      <c r="Q1939" s="12" t="s">
        <v>9792</v>
      </c>
      <c r="R1939" s="8" t="s">
        <v>29</v>
      </c>
      <c r="S1939" s="7" t="s">
        <v>28</v>
      </c>
      <c r="T1939" s="6"/>
      <c r="U1939" s="8"/>
    </row>
    <row r="1940" spans="1:21" ht="13" customHeight="1">
      <c r="A1940" s="8" t="s">
        <v>9778</v>
      </c>
      <c r="B1940" s="16">
        <v>56</v>
      </c>
      <c r="C1940" s="8" t="s">
        <v>20</v>
      </c>
      <c r="D1940" s="8" t="s">
        <v>30</v>
      </c>
      <c r="F1940" s="17">
        <v>41778</v>
      </c>
      <c r="G1940" s="8" t="s">
        <v>9779</v>
      </c>
      <c r="H1940" s="8" t="s">
        <v>9780</v>
      </c>
      <c r="I1940" s="8" t="s">
        <v>62</v>
      </c>
      <c r="J1940" s="16" t="s">
        <v>9781</v>
      </c>
      <c r="K1940" s="2" t="s">
        <v>9782</v>
      </c>
      <c r="L1940" s="8" t="s">
        <v>9783</v>
      </c>
      <c r="M1940" s="8" t="s">
        <v>27</v>
      </c>
      <c r="N1940" s="2" t="s">
        <v>9784</v>
      </c>
      <c r="O1940" s="8" t="s">
        <v>1013</v>
      </c>
      <c r="P1940" s="8" t="s">
        <v>401</v>
      </c>
      <c r="Q1940" s="12" t="s">
        <v>9785</v>
      </c>
      <c r="R1940" s="8" t="s">
        <v>100</v>
      </c>
      <c r="S1940" s="7" t="s">
        <v>28</v>
      </c>
      <c r="T1940" s="6"/>
      <c r="U1940" s="8"/>
    </row>
    <row r="1941" spans="1:21" ht="13" customHeight="1">
      <c r="A1941" s="8" t="s">
        <v>9793</v>
      </c>
      <c r="B1941" s="16">
        <v>25</v>
      </c>
      <c r="C1941" s="8" t="s">
        <v>20</v>
      </c>
      <c r="D1941" s="8" t="s">
        <v>37</v>
      </c>
      <c r="E1941" s="8" t="str">
        <f>HYPERLINK("https://www.facebook.com/curtise.welford","https://www.facebook.com/curtise.welford")</f>
        <v>https://www.facebook.com/curtise.welford</v>
      </c>
      <c r="F1941" s="17">
        <v>41778</v>
      </c>
      <c r="G1941" s="8" t="s">
        <v>9794</v>
      </c>
      <c r="H1941" s="8" t="s">
        <v>9795</v>
      </c>
      <c r="I1941" s="8" t="s">
        <v>671</v>
      </c>
      <c r="J1941" s="16" t="s">
        <v>9796</v>
      </c>
      <c r="K1941" s="2" t="s">
        <v>7097</v>
      </c>
      <c r="L1941" s="8" t="s">
        <v>9797</v>
      </c>
      <c r="M1941" s="8" t="s">
        <v>27</v>
      </c>
      <c r="N1941" s="2" t="s">
        <v>9798</v>
      </c>
      <c r="O1941" s="8" t="s">
        <v>4714</v>
      </c>
      <c r="P1941" s="8" t="s">
        <v>401</v>
      </c>
      <c r="Q1941" s="12" t="s">
        <v>9799</v>
      </c>
      <c r="R1941" s="8" t="s">
        <v>100</v>
      </c>
      <c r="S1941" s="7" t="s">
        <v>28</v>
      </c>
      <c r="T1941" s="6"/>
      <c r="U1941" s="8"/>
    </row>
    <row r="1942" spans="1:21" ht="13" customHeight="1">
      <c r="A1942" s="8" t="s">
        <v>9800</v>
      </c>
      <c r="B1942" s="16">
        <v>21</v>
      </c>
      <c r="C1942" s="8" t="s">
        <v>20</v>
      </c>
      <c r="D1942" s="8" t="s">
        <v>85</v>
      </c>
      <c r="F1942" s="17">
        <v>41777</v>
      </c>
      <c r="G1942" s="8" t="s">
        <v>9801</v>
      </c>
      <c r="H1942" s="8" t="s">
        <v>9802</v>
      </c>
      <c r="I1942" s="8" t="s">
        <v>981</v>
      </c>
      <c r="J1942" s="16" t="s">
        <v>9803</v>
      </c>
      <c r="K1942" s="2" t="s">
        <v>2505</v>
      </c>
      <c r="L1942" s="8" t="s">
        <v>9804</v>
      </c>
      <c r="M1942" s="8" t="s">
        <v>27</v>
      </c>
      <c r="N1942" s="2" t="s">
        <v>9805</v>
      </c>
      <c r="O1942" s="8" t="s">
        <v>1013</v>
      </c>
      <c r="P1942" s="8" t="s">
        <v>401</v>
      </c>
      <c r="Q1942" s="12" t="s">
        <v>9806</v>
      </c>
      <c r="R1942" s="8" t="s">
        <v>100</v>
      </c>
      <c r="S1942" s="7" t="s">
        <v>28</v>
      </c>
      <c r="T1942" s="6"/>
      <c r="U1942" s="8"/>
    </row>
    <row r="1943" spans="1:21" ht="13" customHeight="1">
      <c r="A1943" s="8" t="s">
        <v>9807</v>
      </c>
      <c r="B1943" s="16">
        <v>44</v>
      </c>
      <c r="C1943" s="8" t="s">
        <v>114</v>
      </c>
      <c r="D1943" s="8" t="s">
        <v>30</v>
      </c>
      <c r="F1943" s="17">
        <v>41777</v>
      </c>
      <c r="G1943" s="8" t="s">
        <v>9808</v>
      </c>
      <c r="H1943" s="8" t="s">
        <v>575</v>
      </c>
      <c r="I1943" s="8" t="s">
        <v>73</v>
      </c>
      <c r="J1943" s="16" t="s">
        <v>1584</v>
      </c>
      <c r="K1943" s="2" t="s">
        <v>576</v>
      </c>
      <c r="L1943" s="8" t="s">
        <v>577</v>
      </c>
      <c r="M1943" s="8" t="s">
        <v>27</v>
      </c>
      <c r="N1943" s="2" t="s">
        <v>9809</v>
      </c>
      <c r="O1943" s="8" t="s">
        <v>1013</v>
      </c>
      <c r="P1943" s="8" t="s">
        <v>401</v>
      </c>
      <c r="Q1943" s="12" t="str">
        <f>HYPERLINK("http://www.expressnews.com/news/local/article/Officer-shoots-kills-woman-who-police-said-5490353.php","http://www.expressnews.com/news/local/article/Officer-shoots-kills-woman-who-police-said-5490353.php")</f>
        <v>http://www.expressnews.com/news/local/article/Officer-shoots-kills-woman-who-police-said-5490353.php</v>
      </c>
      <c r="R1943" s="8" t="s">
        <v>29</v>
      </c>
      <c r="S1943" s="7" t="s">
        <v>28</v>
      </c>
      <c r="T1943" s="6"/>
      <c r="U1943" s="8"/>
    </row>
    <row r="1944" spans="1:21" ht="13" customHeight="1">
      <c r="A1944" s="8" t="s">
        <v>9810</v>
      </c>
      <c r="B1944" s="16">
        <v>24</v>
      </c>
      <c r="C1944" s="8" t="s">
        <v>20</v>
      </c>
      <c r="D1944" s="8" t="s">
        <v>37</v>
      </c>
      <c r="F1944" s="17">
        <v>41777</v>
      </c>
      <c r="G1944" s="8" t="s">
        <v>9811</v>
      </c>
      <c r="H1944" s="8" t="s">
        <v>9812</v>
      </c>
      <c r="I1944" s="8" t="s">
        <v>45</v>
      </c>
      <c r="J1944" s="16" t="s">
        <v>9813</v>
      </c>
      <c r="K1944" s="2" t="s">
        <v>5271</v>
      </c>
      <c r="L1944" s="8" t="s">
        <v>9814</v>
      </c>
      <c r="M1944" s="8" t="s">
        <v>27</v>
      </c>
      <c r="N1944" s="2" t="s">
        <v>9815</v>
      </c>
      <c r="O1944" s="8" t="s">
        <v>1013</v>
      </c>
      <c r="P1944" s="8" t="s">
        <v>401</v>
      </c>
      <c r="Q1944" s="12" t="s">
        <v>9816</v>
      </c>
      <c r="R1944" s="8" t="s">
        <v>555</v>
      </c>
      <c r="S1944" s="7" t="s">
        <v>28</v>
      </c>
      <c r="T1944" s="6"/>
      <c r="U1944" s="8"/>
    </row>
    <row r="1945" spans="1:21" ht="13" customHeight="1">
      <c r="A1945" s="8" t="s">
        <v>9817</v>
      </c>
      <c r="B1945" s="16">
        <v>26</v>
      </c>
      <c r="C1945" s="8" t="s">
        <v>114</v>
      </c>
      <c r="D1945" s="8" t="s">
        <v>37</v>
      </c>
      <c r="E1945" s="8" t="s">
        <v>9818</v>
      </c>
      <c r="F1945" s="17">
        <v>41777</v>
      </c>
      <c r="G1945" s="8" t="s">
        <v>9819</v>
      </c>
      <c r="H1945" s="8" t="s">
        <v>2165</v>
      </c>
      <c r="I1945" s="8" t="s">
        <v>438</v>
      </c>
      <c r="J1945" s="16" t="s">
        <v>9820</v>
      </c>
      <c r="K1945" s="2" t="s">
        <v>9821</v>
      </c>
      <c r="L1945" s="8" t="s">
        <v>3863</v>
      </c>
      <c r="M1945" s="8" t="s">
        <v>27</v>
      </c>
      <c r="N1945" s="2" t="s">
        <v>9822</v>
      </c>
      <c r="O1945" s="8" t="s">
        <v>1013</v>
      </c>
      <c r="P1945" s="8" t="s">
        <v>401</v>
      </c>
      <c r="Q1945" s="12" t="s">
        <v>9823</v>
      </c>
      <c r="R1945" s="8" t="s">
        <v>100</v>
      </c>
      <c r="S1945" s="7" t="s">
        <v>28</v>
      </c>
      <c r="T1945" s="6"/>
      <c r="U1945" s="8"/>
    </row>
    <row r="1946" spans="1:21" ht="13" customHeight="1">
      <c r="A1946" s="8" t="s">
        <v>9824</v>
      </c>
      <c r="B1946" s="16">
        <v>47</v>
      </c>
      <c r="C1946" s="8" t="s">
        <v>20</v>
      </c>
      <c r="D1946" s="8" t="s">
        <v>37</v>
      </c>
      <c r="E1946" s="8" t="str">
        <f>HYPERLINK("http://nrvnews.com/wp-content/uploads/2014/05/saunders_thomas_neil.jpg","http://nrvnews.com/wp-content/uploads/2014/05/saunders_thomas_neil.jpg")</f>
        <v>http://nrvnews.com/wp-content/uploads/2014/05/saunders_thomas_neil.jpg</v>
      </c>
      <c r="F1946" s="17">
        <v>41777</v>
      </c>
      <c r="G1946" s="8" t="s">
        <v>9825</v>
      </c>
      <c r="H1946" s="8" t="s">
        <v>9826</v>
      </c>
      <c r="I1946" s="8" t="s">
        <v>244</v>
      </c>
      <c r="J1946" s="16" t="s">
        <v>9827</v>
      </c>
      <c r="K1946" s="2" t="s">
        <v>9828</v>
      </c>
      <c r="L1946" s="8" t="s">
        <v>9829</v>
      </c>
      <c r="M1946" s="8" t="s">
        <v>27</v>
      </c>
      <c r="N1946" s="2" t="s">
        <v>9830</v>
      </c>
      <c r="O1946" s="8" t="s">
        <v>400</v>
      </c>
      <c r="P1946" s="8" t="s">
        <v>401</v>
      </c>
      <c r="Q1946" s="12" t="str">
        <f>HYPERLINK("http://www.wdbj7.com/news/local/developing-story-officerinvolved-shooting-in-giles-county/26045058","http://www.wdbj7.com/news/local/developing-story-officerinvolved-shooting-in-giles-county/26045058")</f>
        <v>http://www.wdbj7.com/news/local/developing-story-officerinvolved-shooting-in-giles-county/26045058</v>
      </c>
      <c r="R1946" s="8" t="s">
        <v>100</v>
      </c>
      <c r="S1946" s="7" t="s">
        <v>28</v>
      </c>
      <c r="T1946" s="6"/>
      <c r="U1946" s="8"/>
    </row>
    <row r="1947" spans="1:21" ht="13" customHeight="1">
      <c r="A1947" s="8" t="s">
        <v>9831</v>
      </c>
      <c r="B1947" s="16">
        <v>34</v>
      </c>
      <c r="C1947" s="8" t="s">
        <v>20</v>
      </c>
      <c r="D1947" s="8" t="s">
        <v>48</v>
      </c>
      <c r="F1947" s="17">
        <v>41776</v>
      </c>
      <c r="G1947" s="8" t="s">
        <v>9832</v>
      </c>
      <c r="H1947" s="8" t="s">
        <v>98</v>
      </c>
      <c r="I1947" s="8" t="s">
        <v>45</v>
      </c>
      <c r="J1947" s="16" t="s">
        <v>9833</v>
      </c>
      <c r="K1947" s="2" t="s">
        <v>98</v>
      </c>
      <c r="L1947" s="8" t="s">
        <v>99</v>
      </c>
      <c r="M1947" s="8" t="s">
        <v>27</v>
      </c>
      <c r="N1947" s="2" t="s">
        <v>9834</v>
      </c>
      <c r="O1947" s="8" t="s">
        <v>4714</v>
      </c>
      <c r="P1947" s="8" t="s">
        <v>401</v>
      </c>
      <c r="Q1947" s="12" t="s">
        <v>9835</v>
      </c>
      <c r="R1947" s="8" t="s">
        <v>100</v>
      </c>
      <c r="S1947" s="7" t="s">
        <v>28</v>
      </c>
      <c r="T1947" s="6"/>
      <c r="U1947" s="8"/>
    </row>
    <row r="1948" spans="1:21" ht="13" customHeight="1">
      <c r="A1948" s="8" t="s">
        <v>9836</v>
      </c>
      <c r="B1948" s="16">
        <v>30</v>
      </c>
      <c r="C1948" s="8" t="s">
        <v>20</v>
      </c>
      <c r="D1948" s="8" t="s">
        <v>37</v>
      </c>
      <c r="E1948" s="8" t="s">
        <v>9837</v>
      </c>
      <c r="F1948" s="17">
        <v>41776</v>
      </c>
      <c r="G1948" s="8" t="s">
        <v>9838</v>
      </c>
      <c r="H1948" s="8" t="s">
        <v>9839</v>
      </c>
      <c r="I1948" s="8" t="s">
        <v>438</v>
      </c>
      <c r="J1948" s="16" t="s">
        <v>9840</v>
      </c>
      <c r="K1948" s="2" t="s">
        <v>2348</v>
      </c>
      <c r="L1948" s="8" t="s">
        <v>9841</v>
      </c>
      <c r="M1948" s="8" t="s">
        <v>27</v>
      </c>
      <c r="N1948" s="2" t="s">
        <v>9842</v>
      </c>
      <c r="O1948" s="8" t="s">
        <v>1013</v>
      </c>
      <c r="P1948" s="8" t="s">
        <v>401</v>
      </c>
      <c r="Q1948" s="12" t="s">
        <v>9843</v>
      </c>
      <c r="R1948" s="8" t="s">
        <v>100</v>
      </c>
      <c r="S1948" s="7" t="s">
        <v>28</v>
      </c>
      <c r="T1948" s="6"/>
      <c r="U1948" s="8"/>
    </row>
    <row r="1949" spans="1:21" ht="13" customHeight="1">
      <c r="A1949" s="8" t="s">
        <v>9844</v>
      </c>
      <c r="B1949" s="16">
        <v>24</v>
      </c>
      <c r="C1949" s="8" t="s">
        <v>20</v>
      </c>
      <c r="D1949" s="8" t="s">
        <v>85</v>
      </c>
      <c r="E1949" s="8" t="s">
        <v>9845</v>
      </c>
      <c r="F1949" s="17">
        <v>41775</v>
      </c>
      <c r="G1949" s="8" t="s">
        <v>9846</v>
      </c>
      <c r="H1949" s="8" t="s">
        <v>430</v>
      </c>
      <c r="I1949" s="8" t="s">
        <v>363</v>
      </c>
      <c r="J1949" s="16" t="s">
        <v>9847</v>
      </c>
      <c r="K1949" s="2" t="s">
        <v>600</v>
      </c>
      <c r="L1949" s="8" t="s">
        <v>2126</v>
      </c>
      <c r="M1949" s="8" t="s">
        <v>27</v>
      </c>
      <c r="N1949" s="2" t="s">
        <v>9848</v>
      </c>
      <c r="O1949" s="8" t="s">
        <v>4714</v>
      </c>
      <c r="P1949" s="8" t="s">
        <v>401</v>
      </c>
      <c r="Q1949" s="12" t="str">
        <f>HYPERLINK("http://www.kansascity.com/2014/05/20/5035276/kck-standoff-suspect-killed-by.html","http://www.kansascity.com/2014/05/20/5035276/kck-standoff-suspect-killed-by.html")</f>
        <v>http://www.kansascity.com/2014/05/20/5035276/kck-standoff-suspect-killed-by.html</v>
      </c>
      <c r="R1949" s="8" t="s">
        <v>100</v>
      </c>
      <c r="S1949" s="7" t="s">
        <v>28</v>
      </c>
      <c r="T1949" s="6"/>
      <c r="U1949" s="8"/>
    </row>
    <row r="1950" spans="1:21" ht="13" customHeight="1">
      <c r="A1950" s="8" t="s">
        <v>9849</v>
      </c>
      <c r="B1950" s="16">
        <v>45</v>
      </c>
      <c r="C1950" s="8" t="s">
        <v>20</v>
      </c>
      <c r="D1950" s="8" t="s">
        <v>85</v>
      </c>
      <c r="E1950" s="8" t="s">
        <v>9850</v>
      </c>
      <c r="F1950" s="17">
        <v>41775</v>
      </c>
      <c r="G1950" s="8" t="s">
        <v>9851</v>
      </c>
      <c r="H1950" s="8" t="s">
        <v>757</v>
      </c>
      <c r="I1950" s="8" t="s">
        <v>423</v>
      </c>
      <c r="J1950" s="16" t="s">
        <v>9852</v>
      </c>
      <c r="K1950" s="2" t="s">
        <v>757</v>
      </c>
      <c r="L1950" s="8" t="s">
        <v>582</v>
      </c>
      <c r="M1950" s="8" t="s">
        <v>27</v>
      </c>
      <c r="N1950" s="2" t="s">
        <v>9853</v>
      </c>
      <c r="O1950" s="8" t="s">
        <v>400</v>
      </c>
      <c r="P1950" s="8" t="s">
        <v>401</v>
      </c>
      <c r="Q1950" s="12" t="str">
        <f>HYPERLINK("http://www.nbcnewyork.com/news/local/NYPD-Shooting-FDR-Drive-96-Street-259556971.html","http://www.nbcnewyork.com/news/local/NYPD-Shooting-FDR-Drive-96-Street-259556971.html")</f>
        <v>http://www.nbcnewyork.com/news/local/NYPD-Shooting-FDR-Drive-96-Street-259556971.html</v>
      </c>
      <c r="R1950" s="8" t="s">
        <v>29</v>
      </c>
      <c r="S1950" s="7" t="s">
        <v>28</v>
      </c>
      <c r="T1950" s="6"/>
      <c r="U1950" s="8"/>
    </row>
    <row r="1951" spans="1:21" ht="13" customHeight="1">
      <c r="A1951" s="8" t="s">
        <v>9854</v>
      </c>
      <c r="B1951" s="16">
        <v>21</v>
      </c>
      <c r="C1951" s="8" t="s">
        <v>20</v>
      </c>
      <c r="D1951" s="8" t="s">
        <v>85</v>
      </c>
      <c r="E1951" s="8" t="s">
        <v>9855</v>
      </c>
      <c r="F1951" s="17">
        <v>41775</v>
      </c>
      <c r="G1951" s="8" t="s">
        <v>9856</v>
      </c>
      <c r="H1951" s="8" t="s">
        <v>9857</v>
      </c>
      <c r="I1951" s="8" t="s">
        <v>173</v>
      </c>
      <c r="J1951" s="16" t="s">
        <v>9858</v>
      </c>
      <c r="K1951" s="2" t="s">
        <v>7052</v>
      </c>
      <c r="L1951" s="8" t="s">
        <v>9859</v>
      </c>
      <c r="M1951" s="8" t="s">
        <v>379</v>
      </c>
      <c r="N1951" s="2" t="s">
        <v>9860</v>
      </c>
      <c r="O1951" s="8" t="s">
        <v>1013</v>
      </c>
      <c r="P1951" s="8" t="s">
        <v>401</v>
      </c>
      <c r="Q1951" s="12" t="s">
        <v>9861</v>
      </c>
      <c r="R1951" s="8" t="s">
        <v>100</v>
      </c>
      <c r="S1951" s="7" t="s">
        <v>18</v>
      </c>
      <c r="T1951" s="6"/>
      <c r="U1951" s="8"/>
    </row>
    <row r="1952" spans="1:21" ht="13" customHeight="1">
      <c r="A1952" s="8" t="s">
        <v>9862</v>
      </c>
      <c r="B1952" s="16">
        <v>25</v>
      </c>
      <c r="C1952" s="8" t="s">
        <v>20</v>
      </c>
      <c r="D1952" s="8" t="s">
        <v>85</v>
      </c>
      <c r="E1952" s="8" t="s">
        <v>9863</v>
      </c>
      <c r="F1952" s="17">
        <v>41775</v>
      </c>
      <c r="G1952" s="8" t="s">
        <v>9856</v>
      </c>
      <c r="H1952" s="8" t="s">
        <v>9857</v>
      </c>
      <c r="I1952" s="8" t="s">
        <v>173</v>
      </c>
      <c r="J1952" s="16" t="s">
        <v>9858</v>
      </c>
      <c r="K1952" s="2" t="s">
        <v>7052</v>
      </c>
      <c r="L1952" s="8" t="s">
        <v>9859</v>
      </c>
      <c r="M1952" s="8" t="s">
        <v>379</v>
      </c>
      <c r="N1952" s="2" t="s">
        <v>9860</v>
      </c>
      <c r="O1952" s="8" t="s">
        <v>1013</v>
      </c>
      <c r="P1952" s="8" t="s">
        <v>401</v>
      </c>
      <c r="Q1952" s="12" t="s">
        <v>9861</v>
      </c>
      <c r="R1952" s="8" t="s">
        <v>100</v>
      </c>
      <c r="S1952" s="7" t="s">
        <v>18</v>
      </c>
      <c r="T1952" s="6"/>
      <c r="U1952" s="8"/>
    </row>
    <row r="1953" spans="1:24" ht="13" customHeight="1">
      <c r="A1953" s="8" t="s">
        <v>9864</v>
      </c>
      <c r="B1953" s="16">
        <v>47</v>
      </c>
      <c r="C1953" s="8" t="s">
        <v>20</v>
      </c>
      <c r="D1953" s="8" t="s">
        <v>30</v>
      </c>
      <c r="F1953" s="17">
        <v>41775</v>
      </c>
      <c r="G1953" s="8" t="s">
        <v>9865</v>
      </c>
      <c r="H1953" s="8" t="s">
        <v>9866</v>
      </c>
      <c r="I1953" s="8" t="s">
        <v>25</v>
      </c>
      <c r="J1953" s="16" t="s">
        <v>9867</v>
      </c>
      <c r="K1953" s="2" t="s">
        <v>1781</v>
      </c>
      <c r="L1953" s="8" t="s">
        <v>2435</v>
      </c>
      <c r="M1953" s="8" t="s">
        <v>27</v>
      </c>
      <c r="N1953" s="2" t="s">
        <v>9868</v>
      </c>
      <c r="O1953" s="8" t="s">
        <v>4714</v>
      </c>
      <c r="P1953" s="8" t="s">
        <v>401</v>
      </c>
      <c r="Q1953" s="12" t="s">
        <v>9869</v>
      </c>
      <c r="R1953" s="8" t="s">
        <v>29</v>
      </c>
      <c r="S1953" s="7" t="s">
        <v>28</v>
      </c>
      <c r="T1953" s="6"/>
      <c r="U1953" s="8"/>
    </row>
    <row r="1954" spans="1:24" ht="13" customHeight="1">
      <c r="A1954" s="8" t="s">
        <v>9877</v>
      </c>
      <c r="B1954" s="16">
        <v>36</v>
      </c>
      <c r="C1954" s="8" t="s">
        <v>20</v>
      </c>
      <c r="D1954" s="8" t="s">
        <v>37</v>
      </c>
      <c r="E1954" s="8" t="s">
        <v>9878</v>
      </c>
      <c r="F1954" s="17">
        <v>41775</v>
      </c>
      <c r="G1954" s="8" t="s">
        <v>9879</v>
      </c>
      <c r="H1954" s="8" t="s">
        <v>9880</v>
      </c>
      <c r="I1954" s="8" t="s">
        <v>62</v>
      </c>
      <c r="J1954" s="16" t="s">
        <v>9881</v>
      </c>
      <c r="K1954" s="2" t="s">
        <v>2316</v>
      </c>
      <c r="L1954" s="8" t="s">
        <v>9882</v>
      </c>
      <c r="M1954" s="8" t="s">
        <v>27</v>
      </c>
      <c r="N1954" s="2" t="s">
        <v>9883</v>
      </c>
      <c r="O1954" s="8" t="s">
        <v>1013</v>
      </c>
      <c r="P1954" s="8" t="s">
        <v>401</v>
      </c>
      <c r="Q1954" s="12" t="s">
        <v>9884</v>
      </c>
      <c r="R1954" s="8" t="s">
        <v>29</v>
      </c>
      <c r="S1954" s="7" t="s">
        <v>28</v>
      </c>
      <c r="T1954" s="6"/>
      <c r="U1954" s="8"/>
    </row>
    <row r="1955" spans="1:24" ht="13" customHeight="1">
      <c r="A1955" s="8" t="s">
        <v>9870</v>
      </c>
      <c r="B1955" s="16">
        <v>38</v>
      </c>
      <c r="C1955" s="8" t="s">
        <v>20</v>
      </c>
      <c r="D1955" s="8" t="s">
        <v>37</v>
      </c>
      <c r="E1955" s="8" t="s">
        <v>9871</v>
      </c>
      <c r="F1955" s="17">
        <v>41775</v>
      </c>
      <c r="G1955" s="8" t="s">
        <v>9872</v>
      </c>
      <c r="H1955" s="8" t="s">
        <v>9873</v>
      </c>
      <c r="I1955" s="8" t="s">
        <v>315</v>
      </c>
      <c r="J1955" s="16" t="s">
        <v>9874</v>
      </c>
      <c r="K1955" s="2" t="s">
        <v>7337</v>
      </c>
      <c r="L1955" s="8" t="s">
        <v>3385</v>
      </c>
      <c r="M1955" s="8" t="s">
        <v>27</v>
      </c>
      <c r="N1955" s="2" t="s">
        <v>9875</v>
      </c>
      <c r="O1955" s="8" t="s">
        <v>4714</v>
      </c>
      <c r="P1955" s="8" t="s">
        <v>401</v>
      </c>
      <c r="Q1955" s="12" t="s">
        <v>9876</v>
      </c>
      <c r="R1955" s="8" t="s">
        <v>29</v>
      </c>
      <c r="S1955" s="7" t="s">
        <v>28</v>
      </c>
      <c r="T1955" s="6"/>
      <c r="U1955" s="8"/>
    </row>
    <row r="1956" spans="1:24" ht="13" customHeight="1">
      <c r="A1956" s="8" t="s">
        <v>9890</v>
      </c>
      <c r="B1956" s="16">
        <v>29</v>
      </c>
      <c r="C1956" s="8" t="s">
        <v>20</v>
      </c>
      <c r="D1956" s="8" t="s">
        <v>37</v>
      </c>
      <c r="F1956" s="17">
        <v>41774</v>
      </c>
      <c r="G1956" s="8" t="s">
        <v>9891</v>
      </c>
      <c r="H1956" s="8" t="s">
        <v>3922</v>
      </c>
      <c r="I1956" s="8" t="s">
        <v>46</v>
      </c>
      <c r="J1956" s="16" t="s">
        <v>9892</v>
      </c>
      <c r="K1956" s="2" t="s">
        <v>528</v>
      </c>
      <c r="L1956" s="8" t="s">
        <v>9893</v>
      </c>
      <c r="M1956" s="8" t="s">
        <v>27</v>
      </c>
      <c r="N1956" s="2" t="s">
        <v>9894</v>
      </c>
      <c r="O1956" s="8" t="s">
        <v>1013</v>
      </c>
      <c r="P1956" s="8" t="s">
        <v>401</v>
      </c>
      <c r="Q1956" s="12" t="s">
        <v>9895</v>
      </c>
      <c r="R1956" s="8" t="s">
        <v>100</v>
      </c>
      <c r="S1956" s="7" t="s">
        <v>28</v>
      </c>
      <c r="T1956" s="6"/>
      <c r="U1956" s="8"/>
    </row>
    <row r="1957" spans="1:24" ht="13" customHeight="1">
      <c r="A1957" s="8" t="s">
        <v>9896</v>
      </c>
      <c r="B1957" s="16">
        <v>43</v>
      </c>
      <c r="C1957" s="8" t="s">
        <v>20</v>
      </c>
      <c r="D1957" s="8" t="s">
        <v>37</v>
      </c>
      <c r="E1957" s="8" t="s">
        <v>9897</v>
      </c>
      <c r="F1957" s="17">
        <v>41774</v>
      </c>
      <c r="G1957" s="8" t="s">
        <v>9898</v>
      </c>
      <c r="H1957" s="8" t="s">
        <v>9899</v>
      </c>
      <c r="I1957" s="8" t="s">
        <v>62</v>
      </c>
      <c r="J1957" s="16" t="s">
        <v>9900</v>
      </c>
      <c r="K1957" s="2" t="s">
        <v>4381</v>
      </c>
      <c r="L1957" s="8" t="s">
        <v>5436</v>
      </c>
      <c r="M1957" s="8" t="s">
        <v>27</v>
      </c>
      <c r="N1957" s="2" t="s">
        <v>9901</v>
      </c>
      <c r="O1957" s="8" t="s">
        <v>1013</v>
      </c>
      <c r="P1957" s="8" t="s">
        <v>401</v>
      </c>
      <c r="Q1957" s="12" t="s">
        <v>9902</v>
      </c>
      <c r="R1957" s="8" t="s">
        <v>100</v>
      </c>
      <c r="S1957" s="7" t="s">
        <v>28</v>
      </c>
      <c r="T1957" s="6"/>
      <c r="U1957" s="8"/>
    </row>
    <row r="1958" spans="1:24" ht="13" customHeight="1">
      <c r="A1958" s="8" t="s">
        <v>9885</v>
      </c>
      <c r="B1958" s="16">
        <v>57</v>
      </c>
      <c r="C1958" s="8" t="s">
        <v>114</v>
      </c>
      <c r="D1958" s="8" t="s">
        <v>37</v>
      </c>
      <c r="E1958" s="8" t="s">
        <v>9886</v>
      </c>
      <c r="F1958" s="17">
        <v>41774</v>
      </c>
      <c r="G1958" s="8" t="s">
        <v>9887</v>
      </c>
      <c r="H1958" s="8" t="s">
        <v>6126</v>
      </c>
      <c r="I1958" s="8" t="s">
        <v>45</v>
      </c>
      <c r="J1958" s="16" t="s">
        <v>9888</v>
      </c>
      <c r="K1958" s="2" t="s">
        <v>4529</v>
      </c>
      <c r="L1958" s="8" t="s">
        <v>6128</v>
      </c>
      <c r="M1958" s="8" t="s">
        <v>27</v>
      </c>
      <c r="N1958" s="2" t="s">
        <v>9889</v>
      </c>
      <c r="O1958" s="8" t="s">
        <v>400</v>
      </c>
      <c r="P1958" s="8" t="s">
        <v>401</v>
      </c>
      <c r="Q1958" s="12" t="str">
        <f>HYPERLINK("http://www.mercurynews.com/my-town/ci_25773669/concord-police-shoot-kill-suspect-thursday-evening","http://www.mercurynews.com/my-town/ci_25773669/concord-police-shoot-kill-suspect-thursday-evening")</f>
        <v>http://www.mercurynews.com/my-town/ci_25773669/concord-police-shoot-kill-suspect-thursday-evening</v>
      </c>
      <c r="R1958" s="8" t="s">
        <v>555</v>
      </c>
      <c r="S1958" s="7" t="s">
        <v>28</v>
      </c>
      <c r="T1958" s="6"/>
      <c r="U1958" s="8"/>
    </row>
    <row r="1959" spans="1:24" ht="13" customHeight="1">
      <c r="A1959" s="8" t="s">
        <v>9903</v>
      </c>
      <c r="B1959" s="16">
        <v>22</v>
      </c>
      <c r="C1959" s="8" t="s">
        <v>20</v>
      </c>
      <c r="D1959" s="8" t="s">
        <v>48</v>
      </c>
      <c r="E1959" s="8" t="s">
        <v>9904</v>
      </c>
      <c r="F1959" s="17">
        <v>41773</v>
      </c>
      <c r="G1959" s="8" t="s">
        <v>9905</v>
      </c>
      <c r="H1959" s="8" t="s">
        <v>8597</v>
      </c>
      <c r="I1959" s="8" t="s">
        <v>73</v>
      </c>
      <c r="J1959" s="16" t="s">
        <v>9906</v>
      </c>
      <c r="K1959" s="2" t="s">
        <v>685</v>
      </c>
      <c r="L1959" s="8" t="s">
        <v>8599</v>
      </c>
      <c r="M1959" s="8" t="s">
        <v>27</v>
      </c>
      <c r="N1959" s="2" t="s">
        <v>9907</v>
      </c>
      <c r="O1959" s="8" t="s">
        <v>1013</v>
      </c>
      <c r="P1959" s="8" t="s">
        <v>401</v>
      </c>
      <c r="Q1959" s="12" t="s">
        <v>9908</v>
      </c>
      <c r="R1959" s="8" t="s">
        <v>100</v>
      </c>
      <c r="S1959" s="7" t="s">
        <v>28</v>
      </c>
      <c r="T1959" s="6"/>
      <c r="U1959" s="8"/>
      <c r="V1959" s="8"/>
      <c r="W1959" s="8"/>
      <c r="X1959" s="8"/>
    </row>
    <row r="1960" spans="1:24" ht="13" customHeight="1">
      <c r="A1960" s="8" t="s">
        <v>9909</v>
      </c>
      <c r="B1960" s="16">
        <v>31</v>
      </c>
      <c r="C1960" s="8" t="s">
        <v>20</v>
      </c>
      <c r="D1960" s="8" t="s">
        <v>85</v>
      </c>
      <c r="E1960" s="8" t="s">
        <v>9910</v>
      </c>
      <c r="F1960" s="17">
        <v>41772</v>
      </c>
      <c r="G1960" s="8" t="s">
        <v>9911</v>
      </c>
      <c r="H1960" s="8" t="s">
        <v>726</v>
      </c>
      <c r="I1960" s="8" t="s">
        <v>73</v>
      </c>
      <c r="J1960" s="16">
        <v>77048</v>
      </c>
      <c r="K1960" s="2" t="s">
        <v>558</v>
      </c>
      <c r="L1960" s="8" t="s">
        <v>727</v>
      </c>
      <c r="M1960" s="8" t="s">
        <v>2297</v>
      </c>
      <c r="N1960" s="2" t="s">
        <v>9912</v>
      </c>
      <c r="O1960" s="8" t="s">
        <v>1013</v>
      </c>
      <c r="P1960" s="8" t="s">
        <v>401</v>
      </c>
      <c r="Q1960" s="12" t="str">
        <f>HYPERLINK("http://www.houstontx.gov/police/nr/2014/may/nr051314-3.htm","http://www.houstontx.gov/police/nr/2014/may/nr051314-3.htm")</f>
        <v>http://www.houstontx.gov/police/nr/2014/may/nr051314-3.htm</v>
      </c>
      <c r="R1960" s="8" t="s">
        <v>555</v>
      </c>
      <c r="S1960" s="7" t="s">
        <v>18</v>
      </c>
      <c r="T1960" s="6"/>
      <c r="U1960" s="8"/>
    </row>
    <row r="1961" spans="1:24" ht="13" customHeight="1">
      <c r="A1961" s="8" t="s">
        <v>9913</v>
      </c>
      <c r="B1961" s="16">
        <v>41</v>
      </c>
      <c r="C1961" s="8" t="s">
        <v>20</v>
      </c>
      <c r="D1961" s="8" t="s">
        <v>37</v>
      </c>
      <c r="E1961" s="8" t="s">
        <v>9914</v>
      </c>
      <c r="F1961" s="17">
        <v>41772</v>
      </c>
      <c r="G1961" s="8" t="s">
        <v>9915</v>
      </c>
      <c r="H1961" s="8" t="s">
        <v>9916</v>
      </c>
      <c r="I1961" s="8" t="s">
        <v>62</v>
      </c>
      <c r="J1961" s="16" t="s">
        <v>9917</v>
      </c>
      <c r="K1961" s="2" t="s">
        <v>6026</v>
      </c>
      <c r="L1961" s="8" t="s">
        <v>6027</v>
      </c>
      <c r="M1961" s="8" t="s">
        <v>27</v>
      </c>
      <c r="N1961" s="2" t="s">
        <v>9918</v>
      </c>
      <c r="O1961" s="8" t="s">
        <v>1013</v>
      </c>
      <c r="P1961" s="8" t="s">
        <v>401</v>
      </c>
      <c r="Q1961" s="12" t="s">
        <v>9919</v>
      </c>
      <c r="R1961" s="8" t="s">
        <v>100</v>
      </c>
      <c r="S1961" s="7" t="s">
        <v>28</v>
      </c>
      <c r="T1961" s="6"/>
      <c r="U1961" s="8"/>
    </row>
    <row r="1962" spans="1:24" ht="13" customHeight="1">
      <c r="A1962" s="8" t="s">
        <v>9920</v>
      </c>
      <c r="B1962" s="16">
        <v>50</v>
      </c>
      <c r="C1962" s="8" t="s">
        <v>114</v>
      </c>
      <c r="D1962" s="8" t="s">
        <v>37</v>
      </c>
      <c r="E1962" s="8" t="s">
        <v>9921</v>
      </c>
      <c r="F1962" s="17">
        <v>41772</v>
      </c>
      <c r="G1962" s="8" t="s">
        <v>9922</v>
      </c>
      <c r="H1962" s="8" t="s">
        <v>4209</v>
      </c>
      <c r="I1962" s="8" t="s">
        <v>431</v>
      </c>
      <c r="J1962" s="16" t="s">
        <v>4210</v>
      </c>
      <c r="K1962" s="2" t="s">
        <v>4979</v>
      </c>
      <c r="L1962" s="8" t="s">
        <v>9923</v>
      </c>
      <c r="M1962" s="8" t="s">
        <v>27</v>
      </c>
      <c r="N1962" s="2" t="s">
        <v>9924</v>
      </c>
      <c r="O1962" s="8" t="s">
        <v>550</v>
      </c>
      <c r="P1962" s="8" t="s">
        <v>401</v>
      </c>
      <c r="Q1962" s="12" t="s">
        <v>9925</v>
      </c>
      <c r="R1962" s="8" t="s">
        <v>29</v>
      </c>
      <c r="S1962" s="7" t="s">
        <v>28</v>
      </c>
      <c r="T1962" s="6"/>
      <c r="U1962" s="8"/>
    </row>
    <row r="1963" spans="1:24" ht="13" customHeight="1">
      <c r="A1963" s="8" t="s">
        <v>9926</v>
      </c>
      <c r="B1963" s="16">
        <v>21</v>
      </c>
      <c r="C1963" s="8" t="s">
        <v>20</v>
      </c>
      <c r="D1963" s="8" t="s">
        <v>85</v>
      </c>
      <c r="E1963" s="8" t="s">
        <v>9927</v>
      </c>
      <c r="F1963" s="17">
        <v>41771</v>
      </c>
      <c r="G1963" s="8" t="s">
        <v>9928</v>
      </c>
      <c r="H1963" s="8" t="s">
        <v>9929</v>
      </c>
      <c r="I1963" s="8" t="s">
        <v>45</v>
      </c>
      <c r="J1963" s="16" t="s">
        <v>9930</v>
      </c>
      <c r="K1963" s="2" t="s">
        <v>98</v>
      </c>
      <c r="L1963" s="8" t="s">
        <v>99</v>
      </c>
      <c r="M1963" s="8" t="s">
        <v>27</v>
      </c>
      <c r="N1963" s="2" t="s">
        <v>9931</v>
      </c>
      <c r="O1963" s="8" t="s">
        <v>1013</v>
      </c>
      <c r="P1963" s="8" t="s">
        <v>401</v>
      </c>
      <c r="Q1963" s="12" t="s">
        <v>9932</v>
      </c>
      <c r="R1963" s="8" t="s">
        <v>100</v>
      </c>
      <c r="S1963" s="7" t="s">
        <v>28</v>
      </c>
      <c r="T1963" s="6"/>
      <c r="U1963" s="8"/>
    </row>
    <row r="1964" spans="1:24" ht="13" customHeight="1">
      <c r="A1964" s="8" t="s">
        <v>9933</v>
      </c>
      <c r="B1964" s="16">
        <v>39</v>
      </c>
      <c r="C1964" s="8" t="s">
        <v>20</v>
      </c>
      <c r="D1964" s="8" t="s">
        <v>85</v>
      </c>
      <c r="E1964" s="8" t="s">
        <v>9934</v>
      </c>
      <c r="F1964" s="17">
        <v>41771</v>
      </c>
      <c r="G1964" s="8" t="s">
        <v>9935</v>
      </c>
      <c r="H1964" s="8" t="s">
        <v>3518</v>
      </c>
      <c r="I1964" s="8" t="s">
        <v>62</v>
      </c>
      <c r="J1964" s="16" t="s">
        <v>9936</v>
      </c>
      <c r="K1964" s="2" t="s">
        <v>3520</v>
      </c>
      <c r="L1964" s="8" t="s">
        <v>3521</v>
      </c>
      <c r="M1964" s="8" t="s">
        <v>27</v>
      </c>
      <c r="N1964" s="2" t="s">
        <v>9937</v>
      </c>
      <c r="O1964" s="8" t="s">
        <v>550</v>
      </c>
      <c r="P1964" s="8" t="s">
        <v>401</v>
      </c>
      <c r="Q1964" s="12" t="s">
        <v>9938</v>
      </c>
      <c r="R1964" s="8" t="s">
        <v>100</v>
      </c>
      <c r="S1964" s="7" t="s">
        <v>28</v>
      </c>
      <c r="T1964" s="6"/>
      <c r="U1964" s="8"/>
    </row>
    <row r="1965" spans="1:24" ht="13" customHeight="1">
      <c r="A1965" s="8" t="s">
        <v>9939</v>
      </c>
      <c r="B1965" s="16">
        <v>39</v>
      </c>
      <c r="C1965" s="8" t="s">
        <v>20</v>
      </c>
      <c r="D1965" s="8" t="s">
        <v>37</v>
      </c>
      <c r="E1965" s="8" t="s">
        <v>9940</v>
      </c>
      <c r="F1965" s="17">
        <v>41771</v>
      </c>
      <c r="G1965" s="8" t="s">
        <v>9941</v>
      </c>
      <c r="H1965" s="8" t="s">
        <v>9942</v>
      </c>
      <c r="I1965" s="8" t="s">
        <v>94</v>
      </c>
      <c r="J1965" s="16" t="s">
        <v>9943</v>
      </c>
      <c r="K1965" s="2" t="s">
        <v>726</v>
      </c>
      <c r="L1965" s="8" t="s">
        <v>9944</v>
      </c>
      <c r="M1965" s="8" t="s">
        <v>27</v>
      </c>
      <c r="N1965" s="2" t="s">
        <v>9945</v>
      </c>
      <c r="O1965" s="8" t="s">
        <v>1013</v>
      </c>
      <c r="P1965" s="8" t="s">
        <v>401</v>
      </c>
      <c r="Q1965" s="12" t="s">
        <v>9946</v>
      </c>
      <c r="R1965" s="8" t="s">
        <v>100</v>
      </c>
      <c r="S1965" s="7" t="s">
        <v>28</v>
      </c>
      <c r="T1965" s="6"/>
      <c r="U1965" s="8"/>
    </row>
    <row r="1966" spans="1:24" ht="13" customHeight="1">
      <c r="A1966" s="8" t="s">
        <v>9947</v>
      </c>
      <c r="B1966" s="16">
        <v>69</v>
      </c>
      <c r="C1966" s="8" t="s">
        <v>114</v>
      </c>
      <c r="D1966" s="8" t="s">
        <v>37</v>
      </c>
      <c r="E1966" s="8" t="s">
        <v>9948</v>
      </c>
      <c r="F1966" s="17">
        <v>41771</v>
      </c>
      <c r="G1966" s="8" t="s">
        <v>9949</v>
      </c>
      <c r="H1966" s="8" t="s">
        <v>9950</v>
      </c>
      <c r="I1966" s="8" t="s">
        <v>404</v>
      </c>
      <c r="J1966" s="16" t="s">
        <v>9951</v>
      </c>
      <c r="K1966" s="2" t="s">
        <v>9952</v>
      </c>
      <c r="L1966" s="8" t="s">
        <v>9953</v>
      </c>
      <c r="M1966" s="8" t="s">
        <v>379</v>
      </c>
      <c r="N1966" s="2" t="s">
        <v>9954</v>
      </c>
      <c r="O1966" s="8" t="s">
        <v>400</v>
      </c>
      <c r="P1966" s="8" t="s">
        <v>401</v>
      </c>
      <c r="Q1966" s="12" t="s">
        <v>9955</v>
      </c>
      <c r="R1966" s="8" t="s">
        <v>100</v>
      </c>
      <c r="S1966" s="7" t="s">
        <v>18</v>
      </c>
      <c r="T1966" s="6"/>
      <c r="U1966" s="8"/>
    </row>
    <row r="1967" spans="1:24" ht="13" customHeight="1">
      <c r="A1967" s="8" t="s">
        <v>9956</v>
      </c>
      <c r="B1967" s="16">
        <v>32</v>
      </c>
      <c r="C1967" s="8" t="s">
        <v>20</v>
      </c>
      <c r="D1967" s="8" t="s">
        <v>85</v>
      </c>
      <c r="E1967" s="8" t="s">
        <v>9957</v>
      </c>
      <c r="F1967" s="17">
        <v>41770</v>
      </c>
      <c r="G1967" s="8" t="s">
        <v>9958</v>
      </c>
      <c r="H1967" s="8" t="s">
        <v>9959</v>
      </c>
      <c r="I1967" s="8" t="s">
        <v>45</v>
      </c>
      <c r="J1967" s="16" t="s">
        <v>9960</v>
      </c>
      <c r="K1967" s="2" t="s">
        <v>9959</v>
      </c>
      <c r="L1967" s="8" t="s">
        <v>960</v>
      </c>
      <c r="M1967" s="8" t="s">
        <v>3169</v>
      </c>
      <c r="N1967" s="2" t="s">
        <v>21457</v>
      </c>
      <c r="O1967" s="8" t="s">
        <v>1013</v>
      </c>
      <c r="P1967" s="8" t="s">
        <v>401</v>
      </c>
      <c r="Q1967" s="12" t="str">
        <f>HYPERLINK("http://www.dcclothesline.com/2014/05/19/veteran-stopped-front-license-plate-beat-death-5-cops/","http://www.dcclothesline.com/2014/05/19/veteran-stopped-front-license-plate-beat-death-5-cops/")</f>
        <v>http://www.dcclothesline.com/2014/05/19/veteran-stopped-front-license-plate-beat-death-5-cops/</v>
      </c>
      <c r="R1967" s="8" t="s">
        <v>100</v>
      </c>
      <c r="S1967" s="7" t="s">
        <v>18</v>
      </c>
      <c r="T1967" s="6"/>
      <c r="U1967" s="8"/>
    </row>
    <row r="1968" spans="1:24" ht="13" customHeight="1">
      <c r="A1968" s="8" t="s">
        <v>9971</v>
      </c>
      <c r="B1968" s="16">
        <v>37</v>
      </c>
      <c r="C1968" s="8" t="s">
        <v>20</v>
      </c>
      <c r="D1968" s="8" t="s">
        <v>85</v>
      </c>
      <c r="F1968" s="17">
        <v>41770</v>
      </c>
      <c r="G1968" s="8" t="s">
        <v>9972</v>
      </c>
      <c r="H1968" s="8" t="s">
        <v>87</v>
      </c>
      <c r="I1968" s="8" t="s">
        <v>44</v>
      </c>
      <c r="J1968" s="16" t="s">
        <v>9973</v>
      </c>
      <c r="K1968" s="2" t="s">
        <v>88</v>
      </c>
      <c r="L1968" s="8" t="s">
        <v>89</v>
      </c>
      <c r="M1968" s="8" t="s">
        <v>27</v>
      </c>
      <c r="N1968" s="2" t="s">
        <v>9974</v>
      </c>
      <c r="O1968" s="8" t="s">
        <v>1013</v>
      </c>
      <c r="P1968" s="8" t="s">
        <v>401</v>
      </c>
      <c r="Q1968" s="12" t="str">
        <f>HYPERLINK("http://www.suntimes.com/27377311-761/armed-man-shot-by-police-on-west-side-dies.html#.U3DGe-hX-uY","http://www.suntimes.com/27377311-761/armed-man-shot-by-police-on-west-side-dies.html#.U3DGe-hX-uY")</f>
        <v>http://www.suntimes.com/27377311-761/armed-man-shot-by-police-on-west-side-dies.html#.U3DGe-hX-uY</v>
      </c>
      <c r="R1968" s="8" t="s">
        <v>100</v>
      </c>
      <c r="S1968" s="7" t="s">
        <v>28</v>
      </c>
      <c r="T1968" s="6"/>
      <c r="U1968" s="8"/>
    </row>
    <row r="1969" spans="1:21" ht="13" customHeight="1">
      <c r="A1969" s="8" t="s">
        <v>9968</v>
      </c>
      <c r="B1969" s="16">
        <v>19</v>
      </c>
      <c r="C1969" s="8" t="s">
        <v>20</v>
      </c>
      <c r="D1969" s="8" t="s">
        <v>85</v>
      </c>
      <c r="F1969" s="17">
        <v>41770</v>
      </c>
      <c r="G1969" s="8" t="s">
        <v>9963</v>
      </c>
      <c r="H1969" s="8" t="s">
        <v>9959</v>
      </c>
      <c r="I1969" s="8" t="s">
        <v>431</v>
      </c>
      <c r="J1969" s="16" t="s">
        <v>9964</v>
      </c>
      <c r="K1969" s="2" t="s">
        <v>1781</v>
      </c>
      <c r="L1969" s="8" t="s">
        <v>9965</v>
      </c>
      <c r="M1969" s="8" t="s">
        <v>379</v>
      </c>
      <c r="N1969" s="2" t="s">
        <v>21645</v>
      </c>
      <c r="O1969" s="8" t="s">
        <v>1013</v>
      </c>
      <c r="P1969" s="8" t="s">
        <v>401</v>
      </c>
      <c r="Q1969" s="12" t="s">
        <v>9967</v>
      </c>
      <c r="R1969" s="8" t="s">
        <v>100</v>
      </c>
      <c r="S1969" s="7" t="s">
        <v>18</v>
      </c>
      <c r="T1969" s="6"/>
      <c r="U1969" s="8"/>
    </row>
    <row r="1970" spans="1:21" ht="13" customHeight="1">
      <c r="A1970" s="8" t="s">
        <v>9969</v>
      </c>
      <c r="B1970" s="16">
        <v>21</v>
      </c>
      <c r="C1970" s="8" t="s">
        <v>20</v>
      </c>
      <c r="D1970" s="8" t="s">
        <v>85</v>
      </c>
      <c r="E1970" s="8" t="s">
        <v>9970</v>
      </c>
      <c r="F1970" s="17">
        <v>41770</v>
      </c>
      <c r="G1970" s="8" t="s">
        <v>9963</v>
      </c>
      <c r="H1970" s="8" t="s">
        <v>9959</v>
      </c>
      <c r="I1970" s="8" t="s">
        <v>431</v>
      </c>
      <c r="J1970" s="16" t="s">
        <v>9964</v>
      </c>
      <c r="K1970" s="2" t="s">
        <v>1781</v>
      </c>
      <c r="L1970" s="8" t="s">
        <v>9965</v>
      </c>
      <c r="M1970" s="8" t="s">
        <v>379</v>
      </c>
      <c r="N1970" s="2" t="s">
        <v>21644</v>
      </c>
      <c r="O1970" s="8" t="s">
        <v>1013</v>
      </c>
      <c r="P1970" s="8" t="s">
        <v>401</v>
      </c>
      <c r="Q1970" s="12" t="s">
        <v>9967</v>
      </c>
      <c r="R1970" s="8" t="s">
        <v>100</v>
      </c>
      <c r="S1970" s="7" t="s">
        <v>18</v>
      </c>
      <c r="T1970" s="6"/>
      <c r="U1970" s="8"/>
    </row>
    <row r="1971" spans="1:21" ht="13" customHeight="1">
      <c r="A1971" s="8" t="s">
        <v>9961</v>
      </c>
      <c r="B1971" s="16">
        <v>18</v>
      </c>
      <c r="C1971" s="8" t="s">
        <v>20</v>
      </c>
      <c r="D1971" s="8" t="s">
        <v>85</v>
      </c>
      <c r="E1971" s="8" t="s">
        <v>9962</v>
      </c>
      <c r="F1971" s="17">
        <v>41770</v>
      </c>
      <c r="G1971" s="8" t="s">
        <v>9963</v>
      </c>
      <c r="H1971" s="8" t="s">
        <v>9959</v>
      </c>
      <c r="I1971" s="8" t="s">
        <v>431</v>
      </c>
      <c r="J1971" s="16" t="s">
        <v>9964</v>
      </c>
      <c r="K1971" s="2" t="s">
        <v>1781</v>
      </c>
      <c r="L1971" s="8" t="s">
        <v>9965</v>
      </c>
      <c r="M1971" s="8" t="s">
        <v>379</v>
      </c>
      <c r="N1971" s="2" t="s">
        <v>9966</v>
      </c>
      <c r="O1971" s="8" t="s">
        <v>1013</v>
      </c>
      <c r="P1971" s="8" t="s">
        <v>401</v>
      </c>
      <c r="Q1971" s="12" t="s">
        <v>9967</v>
      </c>
      <c r="R1971" s="8" t="s">
        <v>100</v>
      </c>
      <c r="S1971" s="7" t="s">
        <v>379</v>
      </c>
      <c r="T1971" s="6"/>
      <c r="U1971" s="8"/>
    </row>
    <row r="1972" spans="1:21" ht="13" customHeight="1">
      <c r="A1972" s="8" t="s">
        <v>9975</v>
      </c>
      <c r="B1972" s="16">
        <v>25</v>
      </c>
      <c r="C1972" s="8" t="s">
        <v>20</v>
      </c>
      <c r="D1972" s="8" t="s">
        <v>48</v>
      </c>
      <c r="E1972" s="8" t="s">
        <v>9976</v>
      </c>
      <c r="F1972" s="17">
        <v>41770</v>
      </c>
      <c r="G1972" s="8" t="s">
        <v>9977</v>
      </c>
      <c r="H1972" s="8" t="s">
        <v>9978</v>
      </c>
      <c r="I1972" s="8" t="s">
        <v>123</v>
      </c>
      <c r="J1972" s="16" t="s">
        <v>9979</v>
      </c>
      <c r="K1972" s="2" t="s">
        <v>2400</v>
      </c>
      <c r="L1972" s="8" t="s">
        <v>2401</v>
      </c>
      <c r="M1972" s="8" t="s">
        <v>27</v>
      </c>
      <c r="N1972" s="2" t="s">
        <v>9980</v>
      </c>
      <c r="O1972" s="8" t="s">
        <v>1013</v>
      </c>
      <c r="P1972" s="8" t="s">
        <v>401</v>
      </c>
      <c r="Q1972" s="12" t="s">
        <v>9981</v>
      </c>
      <c r="R1972" s="8" t="s">
        <v>100</v>
      </c>
      <c r="S1972" s="7" t="s">
        <v>28</v>
      </c>
      <c r="T1972" s="6"/>
      <c r="U1972" s="8"/>
    </row>
    <row r="1973" spans="1:21" ht="13" customHeight="1">
      <c r="A1973" s="8" t="s">
        <v>9982</v>
      </c>
      <c r="B1973" s="16">
        <v>27</v>
      </c>
      <c r="C1973" s="8" t="s">
        <v>20</v>
      </c>
      <c r="D1973" s="8" t="s">
        <v>30</v>
      </c>
      <c r="F1973" s="17">
        <v>41770</v>
      </c>
      <c r="G1973" s="8" t="s">
        <v>9983</v>
      </c>
      <c r="H1973" s="8" t="s">
        <v>9984</v>
      </c>
      <c r="I1973" s="8" t="s">
        <v>52</v>
      </c>
      <c r="J1973" s="16" t="s">
        <v>9985</v>
      </c>
      <c r="K1973" s="2" t="s">
        <v>9986</v>
      </c>
      <c r="L1973" s="8" t="s">
        <v>698</v>
      </c>
      <c r="M1973" s="8" t="s">
        <v>379</v>
      </c>
      <c r="N1973" s="2" t="s">
        <v>9987</v>
      </c>
      <c r="O1973" s="8" t="s">
        <v>1013</v>
      </c>
      <c r="P1973" s="8" t="s">
        <v>401</v>
      </c>
      <c r="Q1973" s="12" t="s">
        <v>9988</v>
      </c>
      <c r="R1973" s="8" t="s">
        <v>100</v>
      </c>
      <c r="S1973" s="7" t="s">
        <v>379</v>
      </c>
      <c r="T1973" s="6"/>
      <c r="U1973" s="8"/>
    </row>
    <row r="1974" spans="1:21" ht="13" customHeight="1">
      <c r="A1974" s="8" t="s">
        <v>9989</v>
      </c>
      <c r="B1974" s="16">
        <v>44</v>
      </c>
      <c r="C1974" s="8" t="s">
        <v>20</v>
      </c>
      <c r="D1974" s="8" t="s">
        <v>37</v>
      </c>
      <c r="E1974" s="8" t="s">
        <v>9990</v>
      </c>
      <c r="F1974" s="17">
        <v>41770</v>
      </c>
      <c r="G1974" s="8" t="s">
        <v>9991</v>
      </c>
      <c r="H1974" s="8" t="s">
        <v>9992</v>
      </c>
      <c r="I1974" s="8" t="s">
        <v>303</v>
      </c>
      <c r="J1974" s="16" t="s">
        <v>9993</v>
      </c>
      <c r="K1974" s="2" t="s">
        <v>886</v>
      </c>
      <c r="L1974" s="8" t="s">
        <v>9994</v>
      </c>
      <c r="M1974" s="8" t="s">
        <v>3169</v>
      </c>
      <c r="N1974" s="2" t="s">
        <v>9995</v>
      </c>
      <c r="O1974" s="8" t="s">
        <v>550</v>
      </c>
      <c r="P1974" s="8" t="s">
        <v>401</v>
      </c>
      <c r="Q1974" s="12" t="s">
        <v>21467</v>
      </c>
      <c r="R1974" s="8" t="s">
        <v>555</v>
      </c>
      <c r="S1974" s="7" t="s">
        <v>18</v>
      </c>
      <c r="T1974" s="6"/>
      <c r="U1974" s="8"/>
    </row>
    <row r="1975" spans="1:21" ht="13" customHeight="1">
      <c r="A1975" s="8" t="s">
        <v>10000</v>
      </c>
      <c r="B1975" s="16">
        <v>32</v>
      </c>
      <c r="C1975" s="8" t="s">
        <v>20</v>
      </c>
      <c r="D1975" s="8" t="s">
        <v>85</v>
      </c>
      <c r="E1975" s="8" t="s">
        <v>10001</v>
      </c>
      <c r="F1975" s="17">
        <v>41769</v>
      </c>
      <c r="G1975" s="8" t="s">
        <v>10002</v>
      </c>
      <c r="H1975" s="8" t="s">
        <v>4171</v>
      </c>
      <c r="I1975" s="8" t="s">
        <v>94</v>
      </c>
      <c r="J1975" s="16" t="s">
        <v>10003</v>
      </c>
      <c r="K1975" s="2" t="s">
        <v>1781</v>
      </c>
      <c r="L1975" s="8" t="s">
        <v>4196</v>
      </c>
      <c r="M1975" s="8" t="s">
        <v>27</v>
      </c>
      <c r="N1975" s="2" t="s">
        <v>10004</v>
      </c>
      <c r="O1975" s="8" t="s">
        <v>4714</v>
      </c>
      <c r="P1975" s="8" t="s">
        <v>401</v>
      </c>
      <c r="Q1975" s="12" t="s">
        <v>10005</v>
      </c>
      <c r="R1975" s="8" t="s">
        <v>100</v>
      </c>
      <c r="S1975" s="7" t="s">
        <v>28</v>
      </c>
      <c r="T1975" s="6"/>
      <c r="U1975" s="8"/>
    </row>
    <row r="1976" spans="1:21" ht="13" customHeight="1">
      <c r="A1976" s="8" t="s">
        <v>9996</v>
      </c>
      <c r="B1976" s="16">
        <v>34</v>
      </c>
      <c r="C1976" s="8" t="s">
        <v>20</v>
      </c>
      <c r="D1976" s="8" t="s">
        <v>85</v>
      </c>
      <c r="E1976" s="8" t="s">
        <v>9997</v>
      </c>
      <c r="F1976" s="17">
        <v>41769</v>
      </c>
      <c r="G1976" s="8" t="s">
        <v>9998</v>
      </c>
      <c r="H1976" s="8" t="s">
        <v>1290</v>
      </c>
      <c r="I1976" s="8" t="s">
        <v>69</v>
      </c>
      <c r="J1976" s="16">
        <v>43207</v>
      </c>
      <c r="K1976" s="2" t="s">
        <v>1291</v>
      </c>
      <c r="L1976" s="8" t="s">
        <v>12628</v>
      </c>
      <c r="M1976" s="8" t="s">
        <v>27</v>
      </c>
      <c r="N1976" s="2" t="s">
        <v>9999</v>
      </c>
      <c r="P1976" s="8" t="s">
        <v>401</v>
      </c>
      <c r="Q1976" s="12" t="str">
        <f>HYPERLINK("http://www.10tv.com/content/stories/2014/05/10/columbus-jonathan-drive-officer-involved-shooting.html","http://www.10tv.com/content/stories/2014/05/10/columbus-jonathan-drive-officer-involved-shooting.html")</f>
        <v>http://www.10tv.com/content/stories/2014/05/10/columbus-jonathan-drive-officer-involved-shooting.html</v>
      </c>
      <c r="R1976" s="8" t="s">
        <v>555</v>
      </c>
      <c r="S1976" s="7" t="s">
        <v>28</v>
      </c>
      <c r="T1976" s="6"/>
      <c r="U1976" s="8"/>
    </row>
    <row r="1977" spans="1:21" ht="13" customHeight="1">
      <c r="A1977" s="8" t="s">
        <v>10006</v>
      </c>
      <c r="B1977" s="16">
        <v>59</v>
      </c>
      <c r="C1977" s="8" t="s">
        <v>20</v>
      </c>
      <c r="D1977" s="8" t="s">
        <v>48</v>
      </c>
      <c r="E1977" s="8" t="s">
        <v>10007</v>
      </c>
      <c r="F1977" s="17">
        <v>41769</v>
      </c>
      <c r="G1977" s="8" t="s">
        <v>10008</v>
      </c>
      <c r="H1977" s="8" t="s">
        <v>485</v>
      </c>
      <c r="I1977" s="8" t="s">
        <v>45</v>
      </c>
      <c r="J1977" s="16" t="s">
        <v>2717</v>
      </c>
      <c r="K1977" s="2" t="s">
        <v>309</v>
      </c>
      <c r="L1977" s="8" t="s">
        <v>486</v>
      </c>
      <c r="M1977" s="8" t="s">
        <v>27</v>
      </c>
      <c r="N1977" s="2" t="s">
        <v>10009</v>
      </c>
      <c r="O1977" s="8" t="s">
        <v>400</v>
      </c>
      <c r="P1977" s="8" t="s">
        <v>401</v>
      </c>
      <c r="Q1977" s="12" t="str">
        <f>HYPERLINK("http://www.nbclosangeles.com/news/local/Man-Killed-in-Fatal-Officer-Involved-Shooting-in-Ontario-258815701.html","http://www.nbclosangeles.com/news/local/Man-Killed-in-Fatal-Officer-Involved-Shooting-in-Ontario-258815701.html")</f>
        <v>http://www.nbclosangeles.com/news/local/Man-Killed-in-Fatal-Officer-Involved-Shooting-in-Ontario-258815701.html</v>
      </c>
      <c r="R1977" s="8" t="s">
        <v>967</v>
      </c>
      <c r="S1977" s="7" t="s">
        <v>35</v>
      </c>
      <c r="T1977" s="6"/>
      <c r="U1977" s="8"/>
    </row>
    <row r="1978" spans="1:21" ht="13" customHeight="1">
      <c r="A1978" s="8" t="s">
        <v>10010</v>
      </c>
      <c r="B1978" s="16">
        <v>36</v>
      </c>
      <c r="C1978" s="8" t="s">
        <v>20</v>
      </c>
      <c r="D1978" s="8" t="s">
        <v>30</v>
      </c>
      <c r="F1978" s="17">
        <v>41769</v>
      </c>
      <c r="G1978" s="8" t="s">
        <v>10011</v>
      </c>
      <c r="H1978" s="8" t="s">
        <v>10012</v>
      </c>
      <c r="I1978" s="8" t="s">
        <v>150</v>
      </c>
      <c r="J1978" s="16" t="s">
        <v>10013</v>
      </c>
      <c r="K1978" s="2" t="s">
        <v>10014</v>
      </c>
      <c r="L1978" s="8" t="s">
        <v>17515</v>
      </c>
      <c r="M1978" s="8" t="s">
        <v>27</v>
      </c>
      <c r="N1978" s="2" t="s">
        <v>10015</v>
      </c>
      <c r="O1978" s="8" t="s">
        <v>1013</v>
      </c>
      <c r="P1978" s="8" t="s">
        <v>401</v>
      </c>
      <c r="Q1978" s="12" t="s">
        <v>10016</v>
      </c>
      <c r="R1978" s="8" t="s">
        <v>100</v>
      </c>
      <c r="S1978" s="7" t="s">
        <v>28</v>
      </c>
      <c r="T1978" s="6"/>
      <c r="U1978" s="8"/>
    </row>
    <row r="1979" spans="1:21" ht="13" customHeight="1">
      <c r="A1979" s="8" t="s">
        <v>10017</v>
      </c>
      <c r="B1979" s="16">
        <v>50</v>
      </c>
      <c r="C1979" s="8" t="s">
        <v>20</v>
      </c>
      <c r="D1979" s="8" t="s">
        <v>37</v>
      </c>
      <c r="E1979" s="8" t="s">
        <v>10018</v>
      </c>
      <c r="F1979" s="17">
        <v>41769</v>
      </c>
      <c r="G1979" s="8" t="s">
        <v>10019</v>
      </c>
      <c r="H1979" s="8" t="s">
        <v>9569</v>
      </c>
      <c r="I1979" s="8" t="s">
        <v>315</v>
      </c>
      <c r="J1979" s="16" t="s">
        <v>9570</v>
      </c>
      <c r="K1979" s="2" t="s">
        <v>2512</v>
      </c>
      <c r="L1979" s="8" t="s">
        <v>3385</v>
      </c>
      <c r="M1979" s="8" t="s">
        <v>27</v>
      </c>
      <c r="N1979" s="2" t="s">
        <v>10020</v>
      </c>
      <c r="O1979" s="8" t="s">
        <v>1013</v>
      </c>
      <c r="P1979" s="8" t="s">
        <v>401</v>
      </c>
      <c r="Q1979" s="12" t="s">
        <v>10021</v>
      </c>
      <c r="R1979" s="8" t="s">
        <v>100</v>
      </c>
      <c r="S1979" s="7" t="s">
        <v>28</v>
      </c>
      <c r="T1979" s="6"/>
      <c r="U1979" s="8"/>
    </row>
    <row r="1980" spans="1:21" ht="13" customHeight="1">
      <c r="A1980" s="8" t="s">
        <v>10022</v>
      </c>
      <c r="B1980" s="16">
        <v>21</v>
      </c>
      <c r="C1980" s="8" t="s">
        <v>20</v>
      </c>
      <c r="D1980" s="8" t="s">
        <v>85</v>
      </c>
      <c r="E1980" s="8" t="s">
        <v>10023</v>
      </c>
      <c r="F1980" s="17">
        <v>41768</v>
      </c>
      <c r="G1980" s="8" t="s">
        <v>10024</v>
      </c>
      <c r="H1980" s="8" t="s">
        <v>4171</v>
      </c>
      <c r="I1980" s="8" t="s">
        <v>94</v>
      </c>
      <c r="J1980" s="16" t="s">
        <v>4195</v>
      </c>
      <c r="K1980" s="2" t="s">
        <v>1781</v>
      </c>
      <c r="L1980" s="8" t="s">
        <v>1693</v>
      </c>
      <c r="M1980" s="8" t="s">
        <v>27</v>
      </c>
      <c r="N1980" s="2" t="s">
        <v>10025</v>
      </c>
      <c r="O1980" s="8" t="s">
        <v>1013</v>
      </c>
      <c r="P1980" s="8" t="s">
        <v>401</v>
      </c>
      <c r="Q1980" s="12" t="s">
        <v>10026</v>
      </c>
      <c r="R1980" s="8" t="s">
        <v>100</v>
      </c>
      <c r="S1980" s="7" t="s">
        <v>28</v>
      </c>
      <c r="T1980" s="6"/>
      <c r="U1980" s="8"/>
    </row>
    <row r="1981" spans="1:21" ht="13" customHeight="1">
      <c r="A1981" s="8" t="s">
        <v>10027</v>
      </c>
      <c r="B1981" s="16">
        <v>26</v>
      </c>
      <c r="C1981" s="8" t="s">
        <v>20</v>
      </c>
      <c r="D1981" s="8" t="s">
        <v>48</v>
      </c>
      <c r="E1981" s="8" t="s">
        <v>10028</v>
      </c>
      <c r="F1981" s="17">
        <v>41768</v>
      </c>
      <c r="G1981" s="8" t="s">
        <v>10029</v>
      </c>
      <c r="H1981" s="8" t="s">
        <v>6383</v>
      </c>
      <c r="I1981" s="8" t="s">
        <v>45</v>
      </c>
      <c r="J1981" s="16" t="s">
        <v>6384</v>
      </c>
      <c r="K1981" s="2" t="s">
        <v>65</v>
      </c>
      <c r="L1981" s="8" t="s">
        <v>6385</v>
      </c>
      <c r="M1981" s="8" t="s">
        <v>27</v>
      </c>
      <c r="N1981" s="2" t="s">
        <v>10030</v>
      </c>
      <c r="O1981" s="8" t="s">
        <v>550</v>
      </c>
      <c r="P1981" s="8" t="s">
        <v>401</v>
      </c>
      <c r="Q1981" s="12" t="s">
        <v>10031</v>
      </c>
      <c r="R1981" s="8" t="s">
        <v>967</v>
      </c>
      <c r="S1981" s="7" t="s">
        <v>28</v>
      </c>
      <c r="T1981" s="6"/>
      <c r="U1981" s="8"/>
    </row>
    <row r="1982" spans="1:21" ht="13" customHeight="1">
      <c r="A1982" s="8" t="s">
        <v>10032</v>
      </c>
      <c r="B1982" s="16">
        <v>25</v>
      </c>
      <c r="C1982" s="8" t="s">
        <v>114</v>
      </c>
      <c r="D1982" s="8" t="s">
        <v>37</v>
      </c>
      <c r="E1982" s="8" t="s">
        <v>10033</v>
      </c>
      <c r="F1982" s="17">
        <v>41768</v>
      </c>
      <c r="G1982" s="8" t="s">
        <v>10034</v>
      </c>
      <c r="H1982" s="8" t="s">
        <v>2662</v>
      </c>
      <c r="I1982" s="8" t="s">
        <v>117</v>
      </c>
      <c r="J1982" s="16" t="s">
        <v>10035</v>
      </c>
      <c r="K1982" s="2" t="s">
        <v>420</v>
      </c>
      <c r="L1982" s="8" t="s">
        <v>2663</v>
      </c>
      <c r="M1982" s="8" t="s">
        <v>27</v>
      </c>
      <c r="N1982" s="2" t="s">
        <v>10036</v>
      </c>
      <c r="O1982" s="8" t="s">
        <v>550</v>
      </c>
      <c r="P1982" s="8" t="s">
        <v>401</v>
      </c>
      <c r="Q1982" s="12" t="str">
        <f>HYPERLINK("http://www.statesmanjournal.com/story/news/crime/2014/05/19/grand-jury-officer-justified-shooting-killing-armed-suspect/9307783/","http://www.statesmanjournal.com/story/news/crime/2014/05/19/grand-jury-officer-justified-shooting-killing-armed-suspect/9307783/")</f>
        <v>http://www.statesmanjournal.com/story/news/crime/2014/05/19/grand-jury-officer-justified-shooting-killing-armed-suspect/9307783/</v>
      </c>
      <c r="R1982" s="8" t="s">
        <v>29</v>
      </c>
      <c r="S1982" s="7" t="s">
        <v>28</v>
      </c>
      <c r="T1982" s="6"/>
      <c r="U1982" s="8"/>
    </row>
    <row r="1983" spans="1:21" ht="13" customHeight="1">
      <c r="A1983" s="8" t="s">
        <v>10037</v>
      </c>
      <c r="B1983" s="16">
        <v>34</v>
      </c>
      <c r="C1983" s="8" t="s">
        <v>20</v>
      </c>
      <c r="D1983" s="8" t="s">
        <v>85</v>
      </c>
      <c r="E1983" s="8" t="s">
        <v>10038</v>
      </c>
      <c r="F1983" s="17">
        <v>41767</v>
      </c>
      <c r="G1983" s="8" t="s">
        <v>10039</v>
      </c>
      <c r="H1983" s="8" t="s">
        <v>10040</v>
      </c>
      <c r="I1983" s="8" t="s">
        <v>62</v>
      </c>
      <c r="J1983" s="16" t="s">
        <v>10041</v>
      </c>
      <c r="K1983" s="2" t="s">
        <v>1127</v>
      </c>
      <c r="L1983" s="8" t="s">
        <v>10042</v>
      </c>
      <c r="M1983" s="8" t="s">
        <v>27</v>
      </c>
      <c r="N1983" s="2" t="s">
        <v>10043</v>
      </c>
      <c r="O1983" s="8" t="s">
        <v>400</v>
      </c>
      <c r="P1983" s="8" t="s">
        <v>401</v>
      </c>
      <c r="Q1983" s="12" t="s">
        <v>10044</v>
      </c>
      <c r="R1983" s="8" t="s">
        <v>100</v>
      </c>
      <c r="S1983" s="7" t="s">
        <v>18</v>
      </c>
      <c r="T1983" s="6"/>
      <c r="U1983" s="8"/>
    </row>
    <row r="1984" spans="1:21" ht="13" customHeight="1">
      <c r="A1984" s="8" t="s">
        <v>10060</v>
      </c>
      <c r="B1984" s="16" t="s">
        <v>10061</v>
      </c>
      <c r="C1984" s="8" t="s">
        <v>20</v>
      </c>
      <c r="D1984" s="8" t="s">
        <v>48</v>
      </c>
      <c r="F1984" s="17">
        <v>41767</v>
      </c>
      <c r="G1984" s="8" t="s">
        <v>10062</v>
      </c>
      <c r="H1984" s="8" t="s">
        <v>10063</v>
      </c>
      <c r="I1984" s="8" t="s">
        <v>793</v>
      </c>
      <c r="J1984" s="16" t="s">
        <v>10064</v>
      </c>
      <c r="K1984" s="2" t="s">
        <v>10063</v>
      </c>
      <c r="L1984" s="8" t="s">
        <v>10065</v>
      </c>
      <c r="M1984" s="8" t="s">
        <v>27</v>
      </c>
      <c r="N1984" s="2" t="s">
        <v>10066</v>
      </c>
      <c r="O1984" s="8" t="s">
        <v>29</v>
      </c>
      <c r="P1984" s="8" t="s">
        <v>401</v>
      </c>
      <c r="Q1984" s="12" t="s">
        <v>10067</v>
      </c>
      <c r="R1984" s="8" t="s">
        <v>100</v>
      </c>
      <c r="S1984" s="7" t="s">
        <v>28</v>
      </c>
      <c r="T1984" s="6"/>
      <c r="U1984" s="8"/>
    </row>
    <row r="1985" spans="1:34" ht="13" customHeight="1">
      <c r="A1985" s="8" t="s">
        <v>10051</v>
      </c>
      <c r="B1985" s="16">
        <v>41</v>
      </c>
      <c r="C1985" s="8" t="s">
        <v>20</v>
      </c>
      <c r="D1985" s="8" t="s">
        <v>48</v>
      </c>
      <c r="E1985" s="8" t="s">
        <v>10052</v>
      </c>
      <c r="F1985" s="17">
        <v>41767</v>
      </c>
      <c r="G1985" s="8" t="s">
        <v>10053</v>
      </c>
      <c r="H1985" s="8" t="s">
        <v>10054</v>
      </c>
      <c r="I1985" s="8" t="s">
        <v>209</v>
      </c>
      <c r="J1985" s="16" t="s">
        <v>10055</v>
      </c>
      <c r="K1985" s="2" t="s">
        <v>10056</v>
      </c>
      <c r="L1985" s="8" t="s">
        <v>10057</v>
      </c>
      <c r="M1985" s="8" t="s">
        <v>27</v>
      </c>
      <c r="N1985" s="2" t="s">
        <v>10058</v>
      </c>
      <c r="O1985" s="8" t="s">
        <v>1013</v>
      </c>
      <c r="P1985" s="8" t="s">
        <v>401</v>
      </c>
      <c r="Q1985" s="12" t="s">
        <v>10059</v>
      </c>
      <c r="R1985" s="8" t="s">
        <v>100</v>
      </c>
      <c r="S1985" s="7" t="s">
        <v>28</v>
      </c>
      <c r="T1985" s="6"/>
      <c r="U1985" s="8"/>
    </row>
    <row r="1986" spans="1:34" ht="13" customHeight="1">
      <c r="A1986" s="8" t="s">
        <v>10045</v>
      </c>
      <c r="B1986" s="16">
        <v>48</v>
      </c>
      <c r="C1986" s="8" t="s">
        <v>20</v>
      </c>
      <c r="D1986" s="8" t="s">
        <v>48</v>
      </c>
      <c r="F1986" s="17">
        <v>41767</v>
      </c>
      <c r="G1986" s="8" t="s">
        <v>10046</v>
      </c>
      <c r="H1986" s="8" t="s">
        <v>657</v>
      </c>
      <c r="I1986" s="8" t="s">
        <v>195</v>
      </c>
      <c r="J1986" s="16" t="s">
        <v>10047</v>
      </c>
      <c r="K1986" s="2" t="s">
        <v>10048</v>
      </c>
      <c r="L1986" s="8" t="s">
        <v>3098</v>
      </c>
      <c r="M1986" s="8" t="s">
        <v>27</v>
      </c>
      <c r="N1986" s="2" t="s">
        <v>10049</v>
      </c>
      <c r="O1986" s="8" t="s">
        <v>550</v>
      </c>
      <c r="P1986" s="8" t="s">
        <v>401</v>
      </c>
      <c r="Q1986" s="12" t="s">
        <v>10050</v>
      </c>
      <c r="R1986" s="8" t="s">
        <v>555</v>
      </c>
      <c r="S1986" s="7" t="s">
        <v>28</v>
      </c>
      <c r="T1986" s="6"/>
      <c r="U1986" s="8"/>
    </row>
    <row r="1987" spans="1:34" ht="13" customHeight="1">
      <c r="A1987" s="8" t="s">
        <v>10073</v>
      </c>
      <c r="B1987" s="16">
        <v>31</v>
      </c>
      <c r="C1987" s="8" t="s">
        <v>20</v>
      </c>
      <c r="D1987" s="8" t="s">
        <v>37</v>
      </c>
      <c r="E1987" s="8" t="s">
        <v>10074</v>
      </c>
      <c r="F1987" s="17">
        <v>41767</v>
      </c>
      <c r="G1987" s="8" t="s">
        <v>10075</v>
      </c>
      <c r="H1987" s="8" t="s">
        <v>2589</v>
      </c>
      <c r="I1987" s="8" t="s">
        <v>57</v>
      </c>
      <c r="J1987" s="16">
        <v>48865</v>
      </c>
      <c r="K1987" s="2" t="s">
        <v>10076</v>
      </c>
      <c r="L1987" s="8" t="s">
        <v>10077</v>
      </c>
      <c r="M1987" s="8" t="s">
        <v>27</v>
      </c>
      <c r="N1987" s="2" t="s">
        <v>10078</v>
      </c>
      <c r="P1987" s="8" t="s">
        <v>401</v>
      </c>
      <c r="Q1987" s="12" t="str">
        <f>HYPERLINK("http://www.mlive.com/news/grand-rapids/index.ssf/2014/05/two_troopers_one_deputy_on_lea.html","http://www.mlive.com/news/grand-rapids/index.ssf/2014/05/two_troopers_one_deputy_on_lea.html")</f>
        <v>http://www.mlive.com/news/grand-rapids/index.ssf/2014/05/two_troopers_one_deputy_on_lea.html</v>
      </c>
      <c r="S1987" s="7" t="s">
        <v>28</v>
      </c>
      <c r="T1987" s="6"/>
      <c r="U1987" s="8"/>
    </row>
    <row r="1988" spans="1:34" ht="13" customHeight="1">
      <c r="A1988" s="8" t="s">
        <v>10068</v>
      </c>
      <c r="B1988" s="16">
        <v>69</v>
      </c>
      <c r="C1988" s="8" t="s">
        <v>20</v>
      </c>
      <c r="D1988" s="8" t="s">
        <v>37</v>
      </c>
      <c r="F1988" s="17">
        <v>41767</v>
      </c>
      <c r="G1988" s="8" t="s">
        <v>10069</v>
      </c>
      <c r="H1988" s="8" t="s">
        <v>10070</v>
      </c>
      <c r="I1988" s="8" t="s">
        <v>62</v>
      </c>
      <c r="J1988" s="16" t="s">
        <v>9781</v>
      </c>
      <c r="K1988" s="2" t="s">
        <v>9782</v>
      </c>
      <c r="L1988" s="8" t="s">
        <v>9783</v>
      </c>
      <c r="M1988" s="8" t="s">
        <v>27</v>
      </c>
      <c r="N1988" s="2" t="s">
        <v>10071</v>
      </c>
      <c r="O1988" s="8" t="s">
        <v>1013</v>
      </c>
      <c r="P1988" s="8" t="s">
        <v>401</v>
      </c>
      <c r="Q1988" s="12" t="s">
        <v>10072</v>
      </c>
      <c r="R1988" s="8" t="s">
        <v>100</v>
      </c>
      <c r="S1988" s="7" t="s">
        <v>28</v>
      </c>
      <c r="T1988" s="6"/>
      <c r="U1988" s="8"/>
    </row>
    <row r="1989" spans="1:34" ht="13" customHeight="1">
      <c r="A1989" s="8" t="s">
        <v>10085</v>
      </c>
      <c r="B1989" s="16">
        <v>19</v>
      </c>
      <c r="C1989" s="8" t="s">
        <v>20</v>
      </c>
      <c r="D1989" s="8" t="s">
        <v>85</v>
      </c>
      <c r="E1989" s="8" t="s">
        <v>10086</v>
      </c>
      <c r="F1989" s="17">
        <v>41766</v>
      </c>
      <c r="G1989" s="8" t="s">
        <v>10087</v>
      </c>
      <c r="H1989" s="8" t="s">
        <v>1596</v>
      </c>
      <c r="I1989" s="8" t="s">
        <v>52</v>
      </c>
      <c r="J1989" s="16" t="s">
        <v>10088</v>
      </c>
      <c r="K1989" s="2" t="s">
        <v>4727</v>
      </c>
      <c r="L1989" s="8" t="s">
        <v>2782</v>
      </c>
      <c r="M1989" s="8" t="s">
        <v>391</v>
      </c>
      <c r="N1989" s="2" t="s">
        <v>10089</v>
      </c>
      <c r="O1989" s="8" t="s">
        <v>4714</v>
      </c>
      <c r="P1989" s="8" t="s">
        <v>401</v>
      </c>
      <c r="Q1989" s="12" t="s">
        <v>10090</v>
      </c>
      <c r="R1989" s="8" t="s">
        <v>555</v>
      </c>
      <c r="S1989" s="7" t="s">
        <v>18</v>
      </c>
      <c r="T1989" s="6"/>
      <c r="U1989" s="8"/>
    </row>
    <row r="1990" spans="1:34" ht="13" customHeight="1">
      <c r="A1990" s="8" t="s">
        <v>10079</v>
      </c>
      <c r="B1990" s="16">
        <v>23</v>
      </c>
      <c r="C1990" s="8" t="s">
        <v>20</v>
      </c>
      <c r="D1990" s="8" t="s">
        <v>85</v>
      </c>
      <c r="E1990" s="8" t="s">
        <v>10080</v>
      </c>
      <c r="F1990" s="17">
        <v>41766</v>
      </c>
      <c r="G1990" s="8" t="s">
        <v>10081</v>
      </c>
      <c r="H1990" s="8" t="s">
        <v>87</v>
      </c>
      <c r="I1990" s="8" t="s">
        <v>44</v>
      </c>
      <c r="J1990" s="16" t="s">
        <v>10082</v>
      </c>
      <c r="K1990" s="2" t="s">
        <v>88</v>
      </c>
      <c r="L1990" s="8" t="s">
        <v>89</v>
      </c>
      <c r="M1990" s="8" t="s">
        <v>391</v>
      </c>
      <c r="N1990" s="2" t="s">
        <v>10083</v>
      </c>
      <c r="O1990" s="8" t="s">
        <v>4714</v>
      </c>
      <c r="P1990" s="8" t="s">
        <v>401</v>
      </c>
      <c r="Q1990" s="12" t="s">
        <v>10084</v>
      </c>
      <c r="R1990" s="8" t="s">
        <v>100</v>
      </c>
      <c r="S1990" s="7" t="s">
        <v>18</v>
      </c>
      <c r="T1990" s="6"/>
      <c r="U1990" s="8"/>
    </row>
    <row r="1991" spans="1:34" ht="13" customHeight="1">
      <c r="A1991" s="8" t="s">
        <v>10091</v>
      </c>
      <c r="B1991" s="16">
        <v>30</v>
      </c>
      <c r="C1991" s="8" t="s">
        <v>20</v>
      </c>
      <c r="D1991" s="8" t="s">
        <v>48</v>
      </c>
      <c r="E1991" s="8" t="s">
        <v>10092</v>
      </c>
      <c r="F1991" s="17">
        <v>41766</v>
      </c>
      <c r="G1991" s="8" t="s">
        <v>10093</v>
      </c>
      <c r="H1991" s="8" t="s">
        <v>6676</v>
      </c>
      <c r="I1991" s="8" t="s">
        <v>73</v>
      </c>
      <c r="J1991" s="16" t="s">
        <v>10094</v>
      </c>
      <c r="K1991" s="2" t="s">
        <v>6676</v>
      </c>
      <c r="L1991" s="8" t="s">
        <v>7672</v>
      </c>
      <c r="M1991" s="8" t="s">
        <v>27</v>
      </c>
      <c r="N1991" s="2" t="s">
        <v>10095</v>
      </c>
      <c r="O1991" s="8" t="s">
        <v>1013</v>
      </c>
      <c r="P1991" s="8" t="s">
        <v>401</v>
      </c>
      <c r="Q1991" s="12" t="s">
        <v>10096</v>
      </c>
      <c r="R1991" s="8" t="s">
        <v>29</v>
      </c>
      <c r="S1991" s="7" t="s">
        <v>28</v>
      </c>
      <c r="T1991" s="6"/>
      <c r="U1991" s="8"/>
    </row>
    <row r="1992" spans="1:34" ht="13" customHeight="1">
      <c r="A1992" s="8" t="s">
        <v>10097</v>
      </c>
      <c r="B1992" s="16">
        <v>93</v>
      </c>
      <c r="C1992" s="8" t="s">
        <v>114</v>
      </c>
      <c r="D1992" s="8" t="s">
        <v>85</v>
      </c>
      <c r="E1992" s="8" t="s">
        <v>10098</v>
      </c>
      <c r="F1992" s="17">
        <v>41765</v>
      </c>
      <c r="G1992" s="8" t="s">
        <v>10099</v>
      </c>
      <c r="H1992" s="8" t="s">
        <v>10100</v>
      </c>
      <c r="I1992" s="8" t="s">
        <v>73</v>
      </c>
      <c r="J1992" s="16" t="s">
        <v>10101</v>
      </c>
      <c r="K1992" s="2" t="s">
        <v>10102</v>
      </c>
      <c r="L1992" s="8" t="s">
        <v>10103</v>
      </c>
      <c r="M1992" s="8" t="s">
        <v>27</v>
      </c>
      <c r="N1992" s="2" t="s">
        <v>10104</v>
      </c>
      <c r="O1992" s="8" t="s">
        <v>1013</v>
      </c>
      <c r="P1992" s="8" t="s">
        <v>401</v>
      </c>
      <c r="Q1992" s="12" t="str">
        <f>HYPERLINK("http://www.nydailynews.com/news/national/fired-fatally-shot-93-year-old-woman-rips-knee-jerk-reaction-article-1.1789207","http://www.nydailynews.com/news/national/fired-fatally-shot-93-year-old-woman-rips-knee-jerk-reaction-article-1.1789207")</f>
        <v>http://www.nydailynews.com/news/national/fired-fatally-shot-93-year-old-woman-rips-knee-jerk-reaction-article-1.1789207</v>
      </c>
      <c r="R1992" s="8" t="s">
        <v>555</v>
      </c>
      <c r="S1992" s="7" t="s">
        <v>28</v>
      </c>
      <c r="T1992" s="6"/>
      <c r="U1992" s="8"/>
    </row>
    <row r="1993" spans="1:34" ht="13" customHeight="1">
      <c r="A1993" s="8" t="s">
        <v>10113</v>
      </c>
      <c r="B1993" s="16">
        <v>43</v>
      </c>
      <c r="C1993" s="8" t="s">
        <v>20</v>
      </c>
      <c r="D1993" s="8" t="s">
        <v>37</v>
      </c>
      <c r="E1993" s="8" t="s">
        <v>10114</v>
      </c>
      <c r="F1993" s="17">
        <v>41765</v>
      </c>
      <c r="G1993" s="8" t="s">
        <v>10115</v>
      </c>
      <c r="H1993" s="8" t="s">
        <v>1333</v>
      </c>
      <c r="I1993" s="8" t="s">
        <v>45</v>
      </c>
      <c r="J1993" s="16" t="s">
        <v>10116</v>
      </c>
      <c r="K1993" s="2" t="s">
        <v>1334</v>
      </c>
      <c r="L1993" s="8" t="s">
        <v>10117</v>
      </c>
      <c r="M1993" s="8" t="s">
        <v>27</v>
      </c>
      <c r="N1993" s="2" t="s">
        <v>10118</v>
      </c>
      <c r="O1993" s="8" t="s">
        <v>4714</v>
      </c>
      <c r="P1993" s="8" t="s">
        <v>401</v>
      </c>
      <c r="Q1993" s="12" t="s">
        <v>10119</v>
      </c>
      <c r="R1993" s="8" t="s">
        <v>100</v>
      </c>
      <c r="S1993" s="7" t="s">
        <v>28</v>
      </c>
      <c r="T1993" s="6"/>
      <c r="U1993" s="8"/>
    </row>
    <row r="1994" spans="1:34" ht="13" customHeight="1">
      <c r="A1994" s="8" t="s">
        <v>10105</v>
      </c>
      <c r="B1994" s="16">
        <v>28</v>
      </c>
      <c r="C1994" s="8" t="s">
        <v>20</v>
      </c>
      <c r="D1994" s="8" t="s">
        <v>37</v>
      </c>
      <c r="E1994" s="8" t="s">
        <v>10106</v>
      </c>
      <c r="F1994" s="17">
        <v>41765</v>
      </c>
      <c r="G1994" s="8" t="s">
        <v>10107</v>
      </c>
      <c r="H1994" s="8" t="s">
        <v>10108</v>
      </c>
      <c r="I1994" s="8" t="s">
        <v>62</v>
      </c>
      <c r="J1994" s="16" t="s">
        <v>10109</v>
      </c>
      <c r="K1994" s="2" t="s">
        <v>3916</v>
      </c>
      <c r="L1994" s="8" t="s">
        <v>10110</v>
      </c>
      <c r="M1994" s="8" t="s">
        <v>27</v>
      </c>
      <c r="N1994" s="2" t="s">
        <v>10111</v>
      </c>
      <c r="O1994" s="8" t="s">
        <v>550</v>
      </c>
      <c r="P1994" s="8" t="s">
        <v>401</v>
      </c>
      <c r="Q1994" s="12" t="s">
        <v>10112</v>
      </c>
      <c r="R1994" s="8" t="s">
        <v>100</v>
      </c>
      <c r="S1994" s="7" t="s">
        <v>18</v>
      </c>
      <c r="T1994" s="6"/>
      <c r="U1994" s="8"/>
    </row>
    <row r="1995" spans="1:34" ht="13" customHeight="1">
      <c r="A1995" s="8" t="s">
        <v>10120</v>
      </c>
      <c r="B1995" s="16">
        <v>25</v>
      </c>
      <c r="C1995" s="8" t="s">
        <v>20</v>
      </c>
      <c r="D1995" s="8" t="s">
        <v>85</v>
      </c>
      <c r="E1995" s="8" t="s">
        <v>10121</v>
      </c>
      <c r="F1995" s="17">
        <v>41764</v>
      </c>
      <c r="G1995" s="8" t="s">
        <v>10122</v>
      </c>
      <c r="H1995" s="8" t="s">
        <v>433</v>
      </c>
      <c r="I1995" s="8" t="s">
        <v>671</v>
      </c>
      <c r="J1995" s="16" t="s">
        <v>10123</v>
      </c>
      <c r="K1995" s="2" t="s">
        <v>10124</v>
      </c>
      <c r="L1995" s="8" t="s">
        <v>10125</v>
      </c>
      <c r="M1995" s="8" t="s">
        <v>3169</v>
      </c>
      <c r="N1995" s="2" t="s">
        <v>10126</v>
      </c>
      <c r="O1995" s="8" t="s">
        <v>1790</v>
      </c>
      <c r="P1995" s="8" t="s">
        <v>1162</v>
      </c>
      <c r="Q1995" s="12" t="s">
        <v>10127</v>
      </c>
      <c r="R1995" s="8" t="s">
        <v>100</v>
      </c>
      <c r="S1995" s="7" t="s">
        <v>18</v>
      </c>
      <c r="T1995" s="6"/>
      <c r="U1995" s="8"/>
    </row>
    <row r="1996" spans="1:34" ht="13" customHeight="1">
      <c r="A1996" s="8" t="s">
        <v>3267</v>
      </c>
      <c r="B1996" s="16" t="s">
        <v>29</v>
      </c>
      <c r="C1996" s="8" t="s">
        <v>20</v>
      </c>
      <c r="D1996" s="8" t="s">
        <v>85</v>
      </c>
      <c r="F1996" s="17">
        <v>41764</v>
      </c>
      <c r="G1996" s="8" t="s">
        <v>10128</v>
      </c>
      <c r="H1996" s="8" t="s">
        <v>726</v>
      </c>
      <c r="I1996" s="8" t="s">
        <v>73</v>
      </c>
      <c r="J1996" s="16" t="s">
        <v>10129</v>
      </c>
      <c r="K1996" s="2" t="s">
        <v>558</v>
      </c>
      <c r="L1996" s="8" t="s">
        <v>727</v>
      </c>
      <c r="M1996" s="8" t="s">
        <v>27</v>
      </c>
      <c r="N1996" s="2" t="s">
        <v>10130</v>
      </c>
      <c r="O1996" s="8" t="s">
        <v>1013</v>
      </c>
      <c r="P1996" s="8" t="s">
        <v>401</v>
      </c>
      <c r="Q1996" s="12" t="s">
        <v>10131</v>
      </c>
      <c r="R1996" s="8" t="s">
        <v>100</v>
      </c>
      <c r="S1996" s="7" t="s">
        <v>28</v>
      </c>
      <c r="T1996" s="6"/>
      <c r="U1996" s="8"/>
    </row>
    <row r="1997" spans="1:34" ht="13" customHeight="1">
      <c r="A1997" s="8" t="s">
        <v>10132</v>
      </c>
      <c r="B1997" s="16">
        <v>38</v>
      </c>
      <c r="C1997" s="8" t="s">
        <v>20</v>
      </c>
      <c r="D1997" s="8" t="s">
        <v>85</v>
      </c>
      <c r="E1997" s="8" t="s">
        <v>10133</v>
      </c>
      <c r="F1997" s="17">
        <v>41763</v>
      </c>
      <c r="G1997" s="8" t="s">
        <v>10134</v>
      </c>
      <c r="H1997" s="8" t="s">
        <v>10135</v>
      </c>
      <c r="I1997" s="8" t="s">
        <v>73</v>
      </c>
      <c r="J1997" s="16" t="s">
        <v>10136</v>
      </c>
      <c r="K1997" s="2" t="s">
        <v>1196</v>
      </c>
      <c r="L1997" s="8" t="s">
        <v>10137</v>
      </c>
      <c r="M1997" s="8" t="s">
        <v>27</v>
      </c>
      <c r="N1997" s="2" t="s">
        <v>10138</v>
      </c>
      <c r="O1997" s="8" t="s">
        <v>550</v>
      </c>
      <c r="P1997" s="8" t="s">
        <v>401</v>
      </c>
      <c r="Q1997" s="12" t="s">
        <v>10139</v>
      </c>
      <c r="R1997" s="8" t="s">
        <v>100</v>
      </c>
      <c r="S1997" s="7" t="s">
        <v>379</v>
      </c>
      <c r="T1997" s="6"/>
      <c r="U1997" s="8"/>
    </row>
    <row r="1998" spans="1:34" ht="13" customHeight="1">
      <c r="A1998" s="8" t="s">
        <v>10140</v>
      </c>
      <c r="B1998" s="16">
        <v>18</v>
      </c>
      <c r="C1998" s="8" t="s">
        <v>20</v>
      </c>
      <c r="D1998" s="8" t="s">
        <v>48</v>
      </c>
      <c r="E1998" s="8" t="s">
        <v>10141</v>
      </c>
      <c r="F1998" s="17">
        <v>41763</v>
      </c>
      <c r="G1998" s="8" t="s">
        <v>10142</v>
      </c>
      <c r="H1998" s="8" t="s">
        <v>3566</v>
      </c>
      <c r="I1998" s="8" t="s">
        <v>45</v>
      </c>
      <c r="J1998" s="16" t="s">
        <v>10143</v>
      </c>
      <c r="K1998" s="2" t="s">
        <v>604</v>
      </c>
      <c r="L1998" s="8" t="s">
        <v>10144</v>
      </c>
      <c r="M1998" s="8" t="s">
        <v>27</v>
      </c>
      <c r="N1998" s="2" t="s">
        <v>10145</v>
      </c>
      <c r="O1998" s="8" t="s">
        <v>1013</v>
      </c>
      <c r="P1998" s="8" t="s">
        <v>401</v>
      </c>
      <c r="Q1998" s="12" t="s">
        <v>10146</v>
      </c>
      <c r="R1998" s="8" t="s">
        <v>555</v>
      </c>
      <c r="S1998" s="7" t="s">
        <v>28</v>
      </c>
      <c r="T1998" s="6"/>
      <c r="U1998" s="8"/>
    </row>
    <row r="1999" spans="1:34" ht="13" customHeight="1">
      <c r="A1999" s="8" t="s">
        <v>10147</v>
      </c>
      <c r="B1999" s="16">
        <v>31</v>
      </c>
      <c r="C1999" s="8" t="s">
        <v>20</v>
      </c>
      <c r="D1999" s="8" t="s">
        <v>37</v>
      </c>
      <c r="E1999" s="8" t="s">
        <v>10148</v>
      </c>
      <c r="F1999" s="17">
        <v>41763</v>
      </c>
      <c r="G1999" s="8" t="s">
        <v>10149</v>
      </c>
      <c r="H1999" s="8" t="s">
        <v>2589</v>
      </c>
      <c r="I1999" s="8" t="s">
        <v>57</v>
      </c>
      <c r="J1999" s="16" t="s">
        <v>10150</v>
      </c>
      <c r="K1999" s="2" t="s">
        <v>10076</v>
      </c>
      <c r="L1999" s="8" t="s">
        <v>10151</v>
      </c>
      <c r="M1999" s="8" t="s">
        <v>27</v>
      </c>
      <c r="N1999" s="2" t="s">
        <v>10152</v>
      </c>
      <c r="O1999" s="8" t="s">
        <v>550</v>
      </c>
      <c r="P1999" s="8" t="s">
        <v>401</v>
      </c>
      <c r="Q1999" s="12" t="s">
        <v>10153</v>
      </c>
      <c r="R1999" s="8" t="s">
        <v>29</v>
      </c>
      <c r="S1999" s="7" t="s">
        <v>28</v>
      </c>
      <c r="T1999" s="6"/>
      <c r="U1999" s="8"/>
    </row>
    <row r="2000" spans="1:34" ht="13" customHeight="1">
      <c r="A2000" s="8" t="s">
        <v>10159</v>
      </c>
      <c r="B2000" s="16" t="s">
        <v>10160</v>
      </c>
      <c r="C2000" s="8" t="s">
        <v>20</v>
      </c>
      <c r="D2000" s="8" t="s">
        <v>85</v>
      </c>
      <c r="E2000" s="8" t="s">
        <v>10161</v>
      </c>
      <c r="F2000" s="17">
        <v>41762</v>
      </c>
      <c r="G2000" s="8" t="s">
        <v>10162</v>
      </c>
      <c r="H2000" s="8" t="s">
        <v>925</v>
      </c>
      <c r="I2000" s="8" t="s">
        <v>195</v>
      </c>
      <c r="J2000" s="16" t="s">
        <v>10163</v>
      </c>
      <c r="K2000" s="2" t="s">
        <v>467</v>
      </c>
      <c r="L2000" s="8" t="s">
        <v>4995</v>
      </c>
      <c r="M2000" s="8" t="s">
        <v>27</v>
      </c>
      <c r="N2000" s="2" t="s">
        <v>10164</v>
      </c>
      <c r="O2000" s="8" t="s">
        <v>29</v>
      </c>
      <c r="P2000" s="8" t="s">
        <v>401</v>
      </c>
      <c r="Q2000" s="12" t="s">
        <v>10165</v>
      </c>
      <c r="R2000" s="8" t="s">
        <v>100</v>
      </c>
      <c r="S2000" s="7" t="s">
        <v>28</v>
      </c>
      <c r="T2000" s="6"/>
      <c r="U2000" s="8"/>
      <c r="Y2000" s="8"/>
      <c r="Z2000" s="8"/>
      <c r="AA2000" s="8"/>
      <c r="AB2000" s="8"/>
      <c r="AC2000" s="8"/>
      <c r="AD2000" s="8"/>
      <c r="AE2000" s="8"/>
      <c r="AF2000" s="8"/>
      <c r="AG2000" s="8"/>
      <c r="AH2000" s="8"/>
    </row>
    <row r="2001" spans="1:34" ht="13" customHeight="1">
      <c r="A2001" s="8" t="s">
        <v>10154</v>
      </c>
      <c r="B2001" s="16">
        <v>44</v>
      </c>
      <c r="C2001" s="8" t="s">
        <v>20</v>
      </c>
      <c r="D2001" s="8" t="s">
        <v>85</v>
      </c>
      <c r="E2001" s="8" t="s">
        <v>10155</v>
      </c>
      <c r="F2001" s="17">
        <v>41762</v>
      </c>
      <c r="G2001" s="8" t="s">
        <v>10156</v>
      </c>
      <c r="H2001" s="8" t="s">
        <v>459</v>
      </c>
      <c r="I2001" s="8" t="s">
        <v>25</v>
      </c>
      <c r="J2001" s="16" t="s">
        <v>10157</v>
      </c>
      <c r="K2001" s="2" t="s">
        <v>5944</v>
      </c>
      <c r="L2001" s="8" t="s">
        <v>460</v>
      </c>
      <c r="M2001" s="8" t="s">
        <v>3386</v>
      </c>
      <c r="N2001" s="2" t="s">
        <v>10158</v>
      </c>
      <c r="O2001" s="8" t="s">
        <v>1013</v>
      </c>
      <c r="P2001" s="8" t="s">
        <v>401</v>
      </c>
      <c r="Q2001" s="12" t="str">
        <f>HYPERLINK("http://www.ksla.com/story/25422732/shreveport-police-confirm-man-who-fought-officers-has-died?clienttype=generic&amp;mobilecgbypass&amp;utm_content=buffer598c5&amp;utm_medium=social&amp;utm_source=twitter.com&amp;utm_campaign=buffer","http://www.ksla.com/story/25422732/shreveport-police-confirm-man-who-fought-officers-has-died?clienttype=generic&amp;mobilecgbypass&amp;utm_content=buffer598c5&amp;utm_medium=social&amp;utm_source=twitter.com&amp;utm_campaign=buffer")</f>
        <v>http://www.ksla.com/story/25422732/shreveport-police-confirm-man-who-fought-officers-has-died?clienttype=generic&amp;mobilecgbypass&amp;utm_content=buffer598c5&amp;utm_medium=social&amp;utm_source=twitter.com&amp;utm_campaign=buffer</v>
      </c>
      <c r="R2001" s="8" t="s">
        <v>967</v>
      </c>
      <c r="S2001" s="7" t="s">
        <v>18</v>
      </c>
      <c r="T2001" s="6"/>
      <c r="U2001" s="8"/>
    </row>
    <row r="2002" spans="1:34" ht="13" customHeight="1">
      <c r="A2002" s="8" t="s">
        <v>10166</v>
      </c>
      <c r="B2002" s="16">
        <v>33</v>
      </c>
      <c r="C2002" s="8" t="s">
        <v>20</v>
      </c>
      <c r="D2002" s="8" t="s">
        <v>85</v>
      </c>
      <c r="E2002" s="8" t="s">
        <v>10167</v>
      </c>
      <c r="F2002" s="17">
        <v>41761</v>
      </c>
      <c r="G2002" s="8" t="s">
        <v>10168</v>
      </c>
      <c r="H2002" s="8" t="s">
        <v>2165</v>
      </c>
      <c r="I2002" s="8" t="s">
        <v>438</v>
      </c>
      <c r="J2002" s="16" t="s">
        <v>3862</v>
      </c>
      <c r="K2002" s="2" t="s">
        <v>9821</v>
      </c>
      <c r="L2002" s="8" t="s">
        <v>3863</v>
      </c>
      <c r="M2002" s="8" t="s">
        <v>27</v>
      </c>
      <c r="N2002" s="2" t="s">
        <v>10169</v>
      </c>
      <c r="O2002" s="8" t="s">
        <v>550</v>
      </c>
      <c r="P2002" s="8" t="s">
        <v>401</v>
      </c>
      <c r="Q2002" s="12" t="s">
        <v>10170</v>
      </c>
      <c r="R2002" s="8" t="s">
        <v>555</v>
      </c>
      <c r="S2002" s="7" t="s">
        <v>28</v>
      </c>
      <c r="T2002" s="6"/>
      <c r="U2002" s="8"/>
    </row>
    <row r="2003" spans="1:34" ht="13" customHeight="1">
      <c r="A2003" s="8" t="s">
        <v>10171</v>
      </c>
      <c r="B2003" s="16">
        <v>39</v>
      </c>
      <c r="C2003" s="8" t="s">
        <v>20</v>
      </c>
      <c r="D2003" s="8" t="s">
        <v>85</v>
      </c>
      <c r="E2003" s="8" t="s">
        <v>10172</v>
      </c>
      <c r="F2003" s="17">
        <v>41761</v>
      </c>
      <c r="G2003" s="8" t="s">
        <v>10173</v>
      </c>
      <c r="H2003" s="8" t="s">
        <v>10174</v>
      </c>
      <c r="I2003" s="8" t="s">
        <v>57</v>
      </c>
      <c r="J2003" s="16" t="s">
        <v>10175</v>
      </c>
      <c r="K2003" s="2" t="s">
        <v>10176</v>
      </c>
      <c r="L2003" s="8" t="s">
        <v>10177</v>
      </c>
      <c r="M2003" s="8" t="s">
        <v>27</v>
      </c>
      <c r="N2003" s="2" t="s">
        <v>10178</v>
      </c>
      <c r="O2003" s="8" t="s">
        <v>550</v>
      </c>
      <c r="P2003" s="8" t="s">
        <v>401</v>
      </c>
      <c r="Q2003" s="12" t="s">
        <v>10179</v>
      </c>
      <c r="R2003" s="8" t="s">
        <v>100</v>
      </c>
      <c r="S2003" s="7" t="s">
        <v>28</v>
      </c>
      <c r="T2003" s="6"/>
      <c r="U2003" s="8"/>
    </row>
    <row r="2004" spans="1:34" ht="13" customHeight="1">
      <c r="A2004" s="8" t="s">
        <v>10180</v>
      </c>
      <c r="B2004" s="16">
        <v>29</v>
      </c>
      <c r="C2004" s="8" t="s">
        <v>20</v>
      </c>
      <c r="D2004" s="8" t="s">
        <v>37</v>
      </c>
      <c r="F2004" s="17">
        <v>41761</v>
      </c>
      <c r="G2004" s="8" t="s">
        <v>10181</v>
      </c>
      <c r="H2004" s="8" t="s">
        <v>653</v>
      </c>
      <c r="I2004" s="8" t="s">
        <v>62</v>
      </c>
      <c r="J2004" s="16" t="s">
        <v>10182</v>
      </c>
      <c r="K2004" s="2" t="s">
        <v>654</v>
      </c>
      <c r="L2004" s="8" t="s">
        <v>655</v>
      </c>
      <c r="M2004" s="8" t="s">
        <v>27</v>
      </c>
      <c r="N2004" s="2" t="s">
        <v>10183</v>
      </c>
      <c r="O2004" s="8" t="s">
        <v>1013</v>
      </c>
      <c r="P2004" s="8" t="s">
        <v>401</v>
      </c>
      <c r="Q2004" s="12" t="s">
        <v>10184</v>
      </c>
      <c r="R2004" s="8" t="s">
        <v>100</v>
      </c>
      <c r="S2004" s="7" t="s">
        <v>28</v>
      </c>
      <c r="T2004" s="6"/>
      <c r="U2004" s="8"/>
    </row>
    <row r="2005" spans="1:34" ht="13" customHeight="1">
      <c r="A2005" s="8" t="s">
        <v>10185</v>
      </c>
      <c r="B2005" s="16">
        <v>50</v>
      </c>
      <c r="C2005" s="8" t="s">
        <v>20</v>
      </c>
      <c r="D2005" s="8" t="s">
        <v>30</v>
      </c>
      <c r="F2005" s="17">
        <v>41760</v>
      </c>
      <c r="G2005" s="8" t="s">
        <v>10186</v>
      </c>
      <c r="H2005" s="8" t="s">
        <v>10187</v>
      </c>
      <c r="I2005" s="8" t="s">
        <v>438</v>
      </c>
      <c r="J2005" s="16" t="s">
        <v>10188</v>
      </c>
      <c r="K2005" s="2" t="s">
        <v>9821</v>
      </c>
      <c r="L2005" s="8" t="s">
        <v>10189</v>
      </c>
      <c r="M2005" s="8" t="s">
        <v>27</v>
      </c>
      <c r="N2005" s="2" t="s">
        <v>10190</v>
      </c>
      <c r="O2005" s="8" t="s">
        <v>550</v>
      </c>
      <c r="P2005" s="8" t="s">
        <v>401</v>
      </c>
      <c r="Q2005" s="12" t="s">
        <v>10191</v>
      </c>
      <c r="R2005" s="8" t="s">
        <v>555</v>
      </c>
      <c r="S2005" s="7" t="s">
        <v>28</v>
      </c>
      <c r="T2005" s="6"/>
      <c r="U2005" s="8"/>
    </row>
    <row r="2006" spans="1:34" ht="13" customHeight="1">
      <c r="A2006" s="8" t="s">
        <v>10192</v>
      </c>
      <c r="B2006" s="16">
        <v>31</v>
      </c>
      <c r="C2006" s="8" t="s">
        <v>20</v>
      </c>
      <c r="D2006" s="8" t="s">
        <v>85</v>
      </c>
      <c r="E2006" s="8" t="s">
        <v>10193</v>
      </c>
      <c r="F2006" s="17">
        <v>41759</v>
      </c>
      <c r="G2006" s="8" t="s">
        <v>10194</v>
      </c>
      <c r="H2006" s="8" t="s">
        <v>890</v>
      </c>
      <c r="I2006" s="8" t="s">
        <v>438</v>
      </c>
      <c r="J2006" s="16" t="s">
        <v>10195</v>
      </c>
      <c r="K2006" s="2" t="s">
        <v>890</v>
      </c>
      <c r="L2006" s="8" t="s">
        <v>3889</v>
      </c>
      <c r="M2006" s="8" t="s">
        <v>27</v>
      </c>
      <c r="N2006" s="2" t="s">
        <v>10196</v>
      </c>
      <c r="O2006" s="8" t="s">
        <v>29</v>
      </c>
      <c r="P2006" s="8" t="s">
        <v>401</v>
      </c>
      <c r="Q2006" s="12" t="s">
        <v>10197</v>
      </c>
      <c r="R2006" s="8" t="s">
        <v>555</v>
      </c>
      <c r="S2006" s="7" t="s">
        <v>28</v>
      </c>
      <c r="T2006" s="6"/>
      <c r="U2006" s="8"/>
    </row>
    <row r="2007" spans="1:34" ht="13" customHeight="1">
      <c r="A2007" s="8" t="s">
        <v>10198</v>
      </c>
      <c r="B2007" s="16">
        <v>47</v>
      </c>
      <c r="C2007" s="8" t="s">
        <v>20</v>
      </c>
      <c r="D2007" s="8" t="s">
        <v>37</v>
      </c>
      <c r="E2007" s="8" t="s">
        <v>10199</v>
      </c>
      <c r="F2007" s="17">
        <v>41759</v>
      </c>
      <c r="G2007" s="8" t="s">
        <v>10200</v>
      </c>
      <c r="H2007" s="8" t="s">
        <v>2662</v>
      </c>
      <c r="I2007" s="8" t="s">
        <v>117</v>
      </c>
      <c r="J2007" s="16" t="s">
        <v>10201</v>
      </c>
      <c r="K2007" s="2" t="s">
        <v>420</v>
      </c>
      <c r="L2007" s="8" t="s">
        <v>2663</v>
      </c>
      <c r="M2007" s="8" t="s">
        <v>27</v>
      </c>
      <c r="N2007" s="2" t="s">
        <v>10202</v>
      </c>
      <c r="O2007" s="8" t="s">
        <v>550</v>
      </c>
      <c r="P2007" s="8" t="s">
        <v>401</v>
      </c>
      <c r="Q2007" s="12" t="s">
        <v>10203</v>
      </c>
      <c r="R2007" s="8" t="s">
        <v>555</v>
      </c>
      <c r="S2007" s="7" t="s">
        <v>28</v>
      </c>
      <c r="T2007" s="6"/>
      <c r="U2007" s="8"/>
    </row>
    <row r="2008" spans="1:34" ht="13" customHeight="1">
      <c r="A2008" s="8" t="s">
        <v>10204</v>
      </c>
      <c r="B2008" s="16">
        <v>22</v>
      </c>
      <c r="C2008" s="8" t="s">
        <v>20</v>
      </c>
      <c r="D2008" s="8" t="s">
        <v>85</v>
      </c>
      <c r="E2008" s="8" t="s">
        <v>10205</v>
      </c>
      <c r="F2008" s="17">
        <v>41758</v>
      </c>
      <c r="G2008" s="8" t="s">
        <v>10206</v>
      </c>
      <c r="H2008" s="8" t="s">
        <v>10207</v>
      </c>
      <c r="I2008" s="8" t="s">
        <v>366</v>
      </c>
      <c r="J2008" s="16" t="s">
        <v>5987</v>
      </c>
      <c r="K2008" s="2" t="s">
        <v>3167</v>
      </c>
      <c r="L2008" s="8" t="s">
        <v>10208</v>
      </c>
      <c r="M2008" s="8" t="s">
        <v>27</v>
      </c>
      <c r="N2008" s="2" t="s">
        <v>10209</v>
      </c>
      <c r="O2008" s="8" t="s">
        <v>550</v>
      </c>
      <c r="P2008" s="8" t="s">
        <v>401</v>
      </c>
      <c r="Q2008" s="12" t="s">
        <v>10210</v>
      </c>
      <c r="R2008" s="8" t="s">
        <v>100</v>
      </c>
      <c r="S2008" s="7" t="s">
        <v>28</v>
      </c>
      <c r="T2008" s="6"/>
      <c r="U2008" s="8"/>
    </row>
    <row r="2009" spans="1:34" ht="13" customHeight="1">
      <c r="A2009" s="8" t="s">
        <v>10211</v>
      </c>
      <c r="B2009" s="16">
        <v>26</v>
      </c>
      <c r="C2009" s="8" t="s">
        <v>20</v>
      </c>
      <c r="D2009" s="8" t="s">
        <v>48</v>
      </c>
      <c r="F2009" s="17">
        <v>41758</v>
      </c>
      <c r="G2009" s="8" t="s">
        <v>10212</v>
      </c>
      <c r="H2009" s="8" t="s">
        <v>98</v>
      </c>
      <c r="I2009" s="8" t="s">
        <v>45</v>
      </c>
      <c r="J2009" s="16" t="s">
        <v>10213</v>
      </c>
      <c r="K2009" s="2" t="s">
        <v>98</v>
      </c>
      <c r="L2009" s="8" t="s">
        <v>414</v>
      </c>
      <c r="M2009" s="8" t="s">
        <v>27</v>
      </c>
      <c r="N2009" s="2" t="s">
        <v>10214</v>
      </c>
      <c r="O2009" s="8" t="s">
        <v>4714</v>
      </c>
      <c r="P2009" s="8" t="s">
        <v>401</v>
      </c>
      <c r="Q2009" s="12" t="s">
        <v>10215</v>
      </c>
      <c r="R2009" s="8" t="s">
        <v>100</v>
      </c>
      <c r="S2009" s="7" t="s">
        <v>28</v>
      </c>
      <c r="T2009" s="6"/>
      <c r="U2009" s="8"/>
    </row>
    <row r="2010" spans="1:34" ht="13" customHeight="1">
      <c r="A2010" s="8" t="s">
        <v>10220</v>
      </c>
      <c r="B2010" s="16">
        <v>46</v>
      </c>
      <c r="C2010" s="8" t="s">
        <v>20</v>
      </c>
      <c r="D2010" s="8" t="s">
        <v>30</v>
      </c>
      <c r="F2010" s="17">
        <v>41758</v>
      </c>
      <c r="G2010" s="8" t="s">
        <v>10221</v>
      </c>
      <c r="H2010" s="8" t="s">
        <v>657</v>
      </c>
      <c r="I2010" s="8" t="s">
        <v>269</v>
      </c>
      <c r="J2010" s="16" t="s">
        <v>8352</v>
      </c>
      <c r="K2010" s="2" t="s">
        <v>570</v>
      </c>
      <c r="L2010" s="8" t="s">
        <v>571</v>
      </c>
      <c r="M2010" s="8" t="s">
        <v>27</v>
      </c>
      <c r="N2010" s="2" t="s">
        <v>10222</v>
      </c>
      <c r="O2010" s="8" t="s">
        <v>1013</v>
      </c>
      <c r="P2010" s="8" t="s">
        <v>401</v>
      </c>
      <c r="Q2010" s="12" t="s">
        <v>10223</v>
      </c>
      <c r="R2010" s="8" t="s">
        <v>555</v>
      </c>
      <c r="S2010" s="7" t="s">
        <v>28</v>
      </c>
      <c r="T2010" s="6"/>
      <c r="U2010" s="8"/>
    </row>
    <row r="2011" spans="1:34" ht="13" customHeight="1">
      <c r="A2011" s="8" t="s">
        <v>3267</v>
      </c>
      <c r="B2011" s="16" t="s">
        <v>29</v>
      </c>
      <c r="C2011" s="8" t="s">
        <v>20</v>
      </c>
      <c r="D2011" s="8" t="s">
        <v>30</v>
      </c>
      <c r="F2011" s="17">
        <v>41758</v>
      </c>
      <c r="G2011" s="8" t="s">
        <v>10216</v>
      </c>
      <c r="H2011" s="8" t="s">
        <v>444</v>
      </c>
      <c r="I2011" s="8" t="s">
        <v>57</v>
      </c>
      <c r="J2011" s="16" t="s">
        <v>10217</v>
      </c>
      <c r="K2011" s="2" t="s">
        <v>1132</v>
      </c>
      <c r="L2011" s="8" t="s">
        <v>2182</v>
      </c>
      <c r="M2011" s="8" t="s">
        <v>27</v>
      </c>
      <c r="N2011" s="2" t="s">
        <v>10218</v>
      </c>
      <c r="O2011" s="8" t="s">
        <v>1013</v>
      </c>
      <c r="P2011" s="8" t="s">
        <v>401</v>
      </c>
      <c r="Q2011" s="12" t="s">
        <v>10219</v>
      </c>
      <c r="R2011" s="8" t="s">
        <v>100</v>
      </c>
      <c r="S2011" s="7" t="s">
        <v>28</v>
      </c>
      <c r="T2011" s="6"/>
      <c r="U2011" s="8"/>
    </row>
    <row r="2012" spans="1:34" ht="13" customHeight="1">
      <c r="A2012" s="8" t="s">
        <v>10224</v>
      </c>
      <c r="B2012" s="16">
        <v>37</v>
      </c>
      <c r="C2012" s="8" t="s">
        <v>20</v>
      </c>
      <c r="D2012" s="8" t="s">
        <v>37</v>
      </c>
      <c r="E2012" s="8" t="s">
        <v>10225</v>
      </c>
      <c r="F2012" s="17">
        <v>41758</v>
      </c>
      <c r="G2012" s="8" t="s">
        <v>10226</v>
      </c>
      <c r="H2012" s="8" t="s">
        <v>841</v>
      </c>
      <c r="I2012" s="8" t="s">
        <v>303</v>
      </c>
      <c r="J2012" s="16" t="s">
        <v>2356</v>
      </c>
      <c r="K2012" s="2" t="s">
        <v>841</v>
      </c>
      <c r="L2012" s="8" t="s">
        <v>842</v>
      </c>
      <c r="M2012" s="8" t="s">
        <v>27</v>
      </c>
      <c r="N2012" s="2" t="s">
        <v>10227</v>
      </c>
      <c r="O2012" s="8" t="s">
        <v>400</v>
      </c>
      <c r="P2012" s="8" t="s">
        <v>401</v>
      </c>
      <c r="Q2012" s="12" t="s">
        <v>10228</v>
      </c>
      <c r="R2012" s="8" t="s">
        <v>100</v>
      </c>
      <c r="S2012" s="7" t="s">
        <v>28</v>
      </c>
      <c r="T2012" s="6"/>
      <c r="U2012" s="8"/>
    </row>
    <row r="2013" spans="1:34" ht="13" customHeight="1">
      <c r="A2013" s="8" t="s">
        <v>10229</v>
      </c>
      <c r="B2013" s="16">
        <v>27</v>
      </c>
      <c r="C2013" s="8" t="s">
        <v>114</v>
      </c>
      <c r="D2013" s="8" t="s">
        <v>37</v>
      </c>
      <c r="E2013" s="8" t="s">
        <v>10230</v>
      </c>
      <c r="F2013" s="17">
        <v>41758</v>
      </c>
      <c r="G2013" s="8" t="s">
        <v>10231</v>
      </c>
      <c r="H2013" s="8" t="s">
        <v>10232</v>
      </c>
      <c r="I2013" s="8" t="s">
        <v>671</v>
      </c>
      <c r="J2013" s="16" t="s">
        <v>10233</v>
      </c>
      <c r="K2013" s="2" t="s">
        <v>5786</v>
      </c>
      <c r="L2013" s="8" t="s">
        <v>10234</v>
      </c>
      <c r="M2013" s="8" t="s">
        <v>27</v>
      </c>
      <c r="N2013" s="2" t="s">
        <v>10235</v>
      </c>
      <c r="O2013" s="8" t="s">
        <v>1013</v>
      </c>
      <c r="P2013" s="8" t="s">
        <v>401</v>
      </c>
      <c r="Q2013" s="12" t="s">
        <v>10236</v>
      </c>
      <c r="R2013" s="8" t="s">
        <v>29</v>
      </c>
      <c r="S2013" s="7" t="s">
        <v>18</v>
      </c>
      <c r="T2013" s="6"/>
      <c r="U2013" s="8"/>
    </row>
    <row r="2014" spans="1:34" ht="13" customHeight="1">
      <c r="A2014" s="8" t="s">
        <v>10237</v>
      </c>
      <c r="B2014" s="16">
        <v>53</v>
      </c>
      <c r="C2014" s="8" t="s">
        <v>20</v>
      </c>
      <c r="D2014" s="8" t="s">
        <v>37</v>
      </c>
      <c r="E2014" s="8" t="s">
        <v>10238</v>
      </c>
      <c r="F2014" s="17">
        <v>41757</v>
      </c>
      <c r="G2014" s="8" t="s">
        <v>10239</v>
      </c>
      <c r="H2014" s="8" t="s">
        <v>9812</v>
      </c>
      <c r="I2014" s="8" t="s">
        <v>45</v>
      </c>
      <c r="J2014" s="16" t="s">
        <v>10240</v>
      </c>
      <c r="K2014" s="2" t="s">
        <v>5271</v>
      </c>
      <c r="L2014" s="8" t="s">
        <v>10241</v>
      </c>
      <c r="M2014" s="8" t="s">
        <v>27</v>
      </c>
      <c r="N2014" s="2" t="s">
        <v>10242</v>
      </c>
      <c r="O2014" s="8" t="s">
        <v>550</v>
      </c>
      <c r="P2014" s="8" t="s">
        <v>401</v>
      </c>
      <c r="Q2014" s="12" t="s">
        <v>10243</v>
      </c>
      <c r="R2014" s="8" t="s">
        <v>555</v>
      </c>
      <c r="S2014" s="7" t="s">
        <v>28</v>
      </c>
      <c r="T2014" s="6"/>
      <c r="U2014" s="8"/>
    </row>
    <row r="2015" spans="1:34" ht="13" customHeight="1">
      <c r="A2015" s="8" t="s">
        <v>10244</v>
      </c>
      <c r="B2015" s="16">
        <v>55</v>
      </c>
      <c r="C2015" s="8" t="s">
        <v>20</v>
      </c>
      <c r="D2015" s="8" t="s">
        <v>37</v>
      </c>
      <c r="F2015" s="17">
        <v>41757</v>
      </c>
      <c r="G2015" s="8" t="s">
        <v>10245</v>
      </c>
      <c r="H2015" s="8" t="s">
        <v>10246</v>
      </c>
      <c r="I2015" s="8" t="s">
        <v>117</v>
      </c>
      <c r="J2015" s="16" t="s">
        <v>10247</v>
      </c>
      <c r="K2015" s="2" t="s">
        <v>7561</v>
      </c>
      <c r="L2015" s="8" t="s">
        <v>10248</v>
      </c>
      <c r="M2015" s="8" t="s">
        <v>27</v>
      </c>
      <c r="N2015" s="2" t="s">
        <v>10249</v>
      </c>
      <c r="O2015" s="8" t="s">
        <v>550</v>
      </c>
      <c r="P2015" s="8" t="s">
        <v>401</v>
      </c>
      <c r="Q2015" s="12" t="str">
        <f>HYPERLINK("http://m.union-bulletin.com/news/2014/apr/29/update-investigation-continues-athena-mans-fatal-s/?templates=mobile","http://m.union-bulletin.com/news/2014/apr/29/update-investigation-continues-athena-mans-fatal-s/?templates=mobile")</f>
        <v>http://m.union-bulletin.com/news/2014/apr/29/update-investigation-continues-athena-mans-fatal-s/?templates=mobile</v>
      </c>
      <c r="R2015" s="8" t="s">
        <v>100</v>
      </c>
      <c r="S2015" s="7" t="s">
        <v>28</v>
      </c>
      <c r="T2015" s="6"/>
      <c r="U2015" s="8"/>
      <c r="Y2015" s="8"/>
      <c r="Z2015" s="8"/>
      <c r="AA2015" s="8"/>
      <c r="AB2015" s="8"/>
      <c r="AC2015" s="8"/>
      <c r="AD2015" s="8"/>
      <c r="AE2015" s="8"/>
      <c r="AF2015" s="8"/>
      <c r="AG2015" s="8"/>
      <c r="AH2015" s="8"/>
    </row>
    <row r="2016" spans="1:34" ht="13" customHeight="1">
      <c r="A2016" s="8" t="s">
        <v>10250</v>
      </c>
      <c r="B2016" s="16" t="s">
        <v>10251</v>
      </c>
      <c r="C2016" s="8" t="s">
        <v>20</v>
      </c>
      <c r="D2016" s="8" t="s">
        <v>85</v>
      </c>
      <c r="E2016" s="8" t="str">
        <f>HYPERLINK("http://www.news-graphic.com/image_5c8d94e0-b110-11e2-af2b-001a4bcf887a.html","http://www.news-graphic.com/image_5c8d94e0-b110-11e2-af2b-001a4bcf887a.html")</f>
        <v>http://www.news-graphic.com/image_5c8d94e0-b110-11e2-af2b-001a4bcf887a.html</v>
      </c>
      <c r="F2016" s="17">
        <v>41756</v>
      </c>
      <c r="G2016" s="8" t="s">
        <v>10252</v>
      </c>
      <c r="H2016" s="8" t="s">
        <v>8647</v>
      </c>
      <c r="I2016" s="8" t="s">
        <v>315</v>
      </c>
      <c r="J2016" s="16" t="s">
        <v>10253</v>
      </c>
      <c r="K2016" s="2" t="s">
        <v>7097</v>
      </c>
      <c r="L2016" s="8" t="s">
        <v>10254</v>
      </c>
      <c r="M2016" s="8" t="s">
        <v>27</v>
      </c>
      <c r="N2016" s="2" t="s">
        <v>10255</v>
      </c>
      <c r="O2016" s="8" t="s">
        <v>29</v>
      </c>
      <c r="P2016" s="8" t="s">
        <v>401</v>
      </c>
      <c r="Q2016" s="12" t="s">
        <v>10256</v>
      </c>
      <c r="R2016" s="8" t="s">
        <v>29</v>
      </c>
      <c r="S2016" s="7" t="s">
        <v>28</v>
      </c>
      <c r="T2016" s="6"/>
      <c r="U2016" s="8"/>
    </row>
    <row r="2017" spans="1:34" ht="13" customHeight="1">
      <c r="A2017" s="8" t="s">
        <v>10257</v>
      </c>
      <c r="B2017" s="16">
        <v>36</v>
      </c>
      <c r="C2017" s="8" t="s">
        <v>20</v>
      </c>
      <c r="D2017" s="8" t="s">
        <v>37</v>
      </c>
      <c r="E2017" s="8" t="s">
        <v>10258</v>
      </c>
      <c r="F2017" s="17">
        <v>41756</v>
      </c>
      <c r="G2017" s="8" t="s">
        <v>10259</v>
      </c>
      <c r="H2017" s="8" t="s">
        <v>489</v>
      </c>
      <c r="I2017" s="8" t="s">
        <v>45</v>
      </c>
      <c r="J2017" s="16" t="s">
        <v>6378</v>
      </c>
      <c r="K2017" s="2" t="s">
        <v>98</v>
      </c>
      <c r="L2017" s="8" t="s">
        <v>490</v>
      </c>
      <c r="M2017" s="8" t="s">
        <v>27</v>
      </c>
      <c r="N2017" s="2" t="s">
        <v>10260</v>
      </c>
      <c r="O2017" s="8" t="s">
        <v>1013</v>
      </c>
      <c r="P2017" s="8" t="s">
        <v>401</v>
      </c>
      <c r="Q2017" s="12" t="s">
        <v>10261</v>
      </c>
      <c r="R2017" s="8" t="s">
        <v>100</v>
      </c>
      <c r="S2017" s="7" t="s">
        <v>28</v>
      </c>
      <c r="T2017" s="6"/>
      <c r="U2017" s="8"/>
    </row>
    <row r="2018" spans="1:34" ht="13" customHeight="1">
      <c r="A2018" s="8" t="s">
        <v>10262</v>
      </c>
      <c r="B2018" s="16">
        <v>27</v>
      </c>
      <c r="C2018" s="8" t="s">
        <v>114</v>
      </c>
      <c r="D2018" s="8" t="s">
        <v>30</v>
      </c>
      <c r="F2018" s="17">
        <v>41755</v>
      </c>
      <c r="G2018" s="8" t="s">
        <v>10263</v>
      </c>
      <c r="H2018" s="8" t="s">
        <v>1427</v>
      </c>
      <c r="I2018" s="8" t="s">
        <v>45</v>
      </c>
      <c r="J2018" s="16" t="s">
        <v>10264</v>
      </c>
      <c r="K2018" s="2" t="s">
        <v>1427</v>
      </c>
      <c r="L2018" s="8" t="s">
        <v>10265</v>
      </c>
      <c r="M2018" s="8" t="s">
        <v>27</v>
      </c>
      <c r="N2018" s="2" t="s">
        <v>10266</v>
      </c>
      <c r="O2018" s="8" t="s">
        <v>550</v>
      </c>
      <c r="P2018" s="8" t="s">
        <v>401</v>
      </c>
      <c r="Q2018" s="12" t="s">
        <v>10267</v>
      </c>
      <c r="R2018" s="8" t="s">
        <v>100</v>
      </c>
      <c r="S2018" s="7" t="s">
        <v>28</v>
      </c>
      <c r="T2018" s="6"/>
      <c r="U2018" s="8"/>
    </row>
    <row r="2019" spans="1:34" ht="13" customHeight="1">
      <c r="A2019" s="8" t="s">
        <v>10268</v>
      </c>
      <c r="B2019" s="16">
        <v>19</v>
      </c>
      <c r="C2019" s="8" t="s">
        <v>114</v>
      </c>
      <c r="D2019" s="8" t="s">
        <v>37</v>
      </c>
      <c r="E2019" s="8" t="s">
        <v>10269</v>
      </c>
      <c r="F2019" s="17">
        <v>41755</v>
      </c>
      <c r="G2019" s="8" t="s">
        <v>10270</v>
      </c>
      <c r="H2019" s="8" t="s">
        <v>10271</v>
      </c>
      <c r="I2019" s="8" t="s">
        <v>315</v>
      </c>
      <c r="J2019" s="16" t="s">
        <v>10272</v>
      </c>
      <c r="K2019" s="2" t="s">
        <v>2865</v>
      </c>
      <c r="L2019" s="8" t="s">
        <v>10273</v>
      </c>
      <c r="M2019" s="8" t="s">
        <v>27</v>
      </c>
      <c r="N2019" s="2" t="s">
        <v>10274</v>
      </c>
      <c r="O2019" s="8" t="s">
        <v>1013</v>
      </c>
      <c r="P2019" s="8" t="s">
        <v>401</v>
      </c>
      <c r="Q2019" s="12" t="s">
        <v>10275</v>
      </c>
      <c r="R2019" s="8" t="s">
        <v>100</v>
      </c>
      <c r="S2019" s="7" t="s">
        <v>379</v>
      </c>
      <c r="T2019" s="6"/>
      <c r="U2019" s="8"/>
    </row>
    <row r="2020" spans="1:34" ht="13" customHeight="1">
      <c r="A2020" s="8" t="s">
        <v>10287</v>
      </c>
      <c r="B2020" s="16">
        <v>20</v>
      </c>
      <c r="C2020" s="8" t="s">
        <v>20</v>
      </c>
      <c r="D2020" s="8" t="s">
        <v>85</v>
      </c>
      <c r="E2020" s="8" t="s">
        <v>10288</v>
      </c>
      <c r="F2020" s="17">
        <v>41754</v>
      </c>
      <c r="G2020" s="8" t="s">
        <v>10289</v>
      </c>
      <c r="H2020" s="8" t="s">
        <v>2761</v>
      </c>
      <c r="I2020" s="8" t="s">
        <v>671</v>
      </c>
      <c r="J2020" s="16" t="s">
        <v>2762</v>
      </c>
      <c r="K2020" s="2" t="s">
        <v>2763</v>
      </c>
      <c r="L2020" s="8" t="s">
        <v>2764</v>
      </c>
      <c r="M2020" s="8" t="s">
        <v>27</v>
      </c>
      <c r="N2020" s="2" t="s">
        <v>10290</v>
      </c>
      <c r="O2020" s="8" t="s">
        <v>1013</v>
      </c>
      <c r="P2020" s="8" t="s">
        <v>401</v>
      </c>
      <c r="Q2020" s="12" t="str">
        <f>HYPERLINK("http://www.wtok.com/news/headlines/Update-on-Emmanuel-Wooten-Search-256704901.html","http://www.wtok.com/news/headlines/Update-on-Emmanuel-Wooten-Search-256704901.html")</f>
        <v>http://www.wtok.com/news/headlines/Update-on-Emmanuel-Wooten-Search-256704901.html</v>
      </c>
      <c r="R2020" s="8" t="s">
        <v>100</v>
      </c>
      <c r="S2020" s="7" t="s">
        <v>28</v>
      </c>
      <c r="T2020" s="6"/>
      <c r="U2020" s="8"/>
    </row>
    <row r="2021" spans="1:34" ht="13" customHeight="1">
      <c r="A2021" s="8" t="s">
        <v>10282</v>
      </c>
      <c r="B2021" s="16">
        <v>86</v>
      </c>
      <c r="C2021" s="8" t="s">
        <v>20</v>
      </c>
      <c r="D2021" s="8" t="s">
        <v>85</v>
      </c>
      <c r="E2021" s="8" t="s">
        <v>10283</v>
      </c>
      <c r="F2021" s="17">
        <v>41754</v>
      </c>
      <c r="G2021" s="8" t="s">
        <v>10284</v>
      </c>
      <c r="H2021" s="8" t="s">
        <v>87</v>
      </c>
      <c r="I2021" s="8" t="s">
        <v>44</v>
      </c>
      <c r="J2021" s="16" t="s">
        <v>7884</v>
      </c>
      <c r="K2021" s="2" t="s">
        <v>88</v>
      </c>
      <c r="L2021" s="8" t="s">
        <v>89</v>
      </c>
      <c r="M2021" s="8" t="s">
        <v>27</v>
      </c>
      <c r="N2021" s="2" t="s">
        <v>10285</v>
      </c>
      <c r="O2021" s="8" t="s">
        <v>1013</v>
      </c>
      <c r="P2021" s="8" t="s">
        <v>401</v>
      </c>
      <c r="Q2021" s="12" t="s">
        <v>10286</v>
      </c>
      <c r="R2021" s="8" t="s">
        <v>100</v>
      </c>
      <c r="S2021" s="7" t="s">
        <v>28</v>
      </c>
      <c r="T2021" s="6"/>
      <c r="U2021" s="8"/>
    </row>
    <row r="2022" spans="1:34" ht="13" customHeight="1">
      <c r="A2022" s="8" t="s">
        <v>10276</v>
      </c>
      <c r="B2022" s="16">
        <v>43</v>
      </c>
      <c r="C2022" s="8" t="s">
        <v>20</v>
      </c>
      <c r="D2022" s="8" t="s">
        <v>85</v>
      </c>
      <c r="E2022" s="8" t="s">
        <v>10277</v>
      </c>
      <c r="F2022" s="17">
        <v>41754</v>
      </c>
      <c r="G2022" s="8" t="s">
        <v>10278</v>
      </c>
      <c r="H2022" s="8" t="s">
        <v>10279</v>
      </c>
      <c r="I2022" s="8" t="s">
        <v>671</v>
      </c>
      <c r="J2022" s="16">
        <v>39120</v>
      </c>
      <c r="K2022" s="2" t="s">
        <v>1927</v>
      </c>
      <c r="L2022" s="8" t="s">
        <v>10280</v>
      </c>
      <c r="M2022" s="8" t="s">
        <v>391</v>
      </c>
      <c r="N2022" s="2" t="s">
        <v>10281</v>
      </c>
      <c r="O2022" s="8" t="s">
        <v>1013</v>
      </c>
      <c r="P2022" s="8" t="s">
        <v>401</v>
      </c>
      <c r="Q2022" s="12" t="str">
        <f>HYPERLINK("http://www.natchezdemocrat.com/2014/04/25/man-dies-after-stun-gun-shock-state-agency-inspecting-acso-traffic-stop-death/","http://www.natchezdemocrat.com/2014/04/25/man-dies-after-stun-gun-shock-state-agency-inspecting-acso-traffic-stop-death/")</f>
        <v>http://www.natchezdemocrat.com/2014/04/25/man-dies-after-stun-gun-shock-state-agency-inspecting-acso-traffic-stop-death/</v>
      </c>
      <c r="R2022" s="8" t="s">
        <v>100</v>
      </c>
      <c r="S2022" s="7" t="s">
        <v>18</v>
      </c>
      <c r="T2022" s="6"/>
      <c r="U2022" s="8"/>
      <c r="Y2022" s="8"/>
      <c r="Z2022" s="8"/>
      <c r="AA2022" s="8"/>
      <c r="AB2022" s="8"/>
      <c r="AC2022" s="8"/>
      <c r="AD2022" s="8"/>
      <c r="AE2022" s="8"/>
      <c r="AF2022" s="8"/>
      <c r="AG2022" s="8"/>
      <c r="AH2022" s="8"/>
    </row>
    <row r="2023" spans="1:34" ht="13" customHeight="1">
      <c r="A2023" s="8" t="s">
        <v>10291</v>
      </c>
      <c r="B2023" s="16">
        <v>42</v>
      </c>
      <c r="C2023" s="8" t="s">
        <v>20</v>
      </c>
      <c r="D2023" s="8" t="s">
        <v>48</v>
      </c>
      <c r="F2023" s="17">
        <v>41754</v>
      </c>
      <c r="G2023" s="8" t="s">
        <v>10292</v>
      </c>
      <c r="H2023" s="8" t="s">
        <v>98</v>
      </c>
      <c r="I2023" s="8" t="s">
        <v>45</v>
      </c>
      <c r="J2023" s="16" t="s">
        <v>10293</v>
      </c>
      <c r="K2023" s="2" t="s">
        <v>98</v>
      </c>
      <c r="L2023" s="8" t="s">
        <v>414</v>
      </c>
      <c r="M2023" s="8" t="s">
        <v>27</v>
      </c>
      <c r="N2023" s="2" t="s">
        <v>10294</v>
      </c>
      <c r="O2023" s="8" t="s">
        <v>1013</v>
      </c>
      <c r="P2023" s="8" t="s">
        <v>401</v>
      </c>
      <c r="Q2023" s="12" t="s">
        <v>10295</v>
      </c>
      <c r="R2023" s="8" t="s">
        <v>555</v>
      </c>
      <c r="S2023" s="7" t="s">
        <v>28</v>
      </c>
      <c r="T2023" s="6"/>
      <c r="U2023" s="8"/>
    </row>
    <row r="2024" spans="1:34" ht="13" customHeight="1">
      <c r="A2024" s="8" t="s">
        <v>10303</v>
      </c>
      <c r="B2024" s="16">
        <v>16</v>
      </c>
      <c r="C2024" s="8" t="s">
        <v>20</v>
      </c>
      <c r="D2024" s="8" t="s">
        <v>30</v>
      </c>
      <c r="F2024" s="17">
        <v>41753</v>
      </c>
      <c r="G2024" s="8" t="s">
        <v>10297</v>
      </c>
      <c r="H2024" s="8" t="s">
        <v>10298</v>
      </c>
      <c r="I2024" s="8" t="s">
        <v>45</v>
      </c>
      <c r="J2024" s="16" t="s">
        <v>10299</v>
      </c>
      <c r="K2024" s="2" t="s">
        <v>3219</v>
      </c>
      <c r="L2024" s="8" t="s">
        <v>10300</v>
      </c>
      <c r="M2024" s="8" t="s">
        <v>379</v>
      </c>
      <c r="N2024" s="2" t="s">
        <v>21259</v>
      </c>
      <c r="O2024" s="8" t="s">
        <v>1013</v>
      </c>
      <c r="P2024" s="8" t="s">
        <v>401</v>
      </c>
      <c r="Q2024" s="12" t="s">
        <v>10301</v>
      </c>
      <c r="R2024" s="8" t="s">
        <v>100</v>
      </c>
      <c r="S2024" s="7" t="s">
        <v>18</v>
      </c>
      <c r="T2024" s="6"/>
      <c r="U2024" s="8"/>
    </row>
    <row r="2025" spans="1:34" ht="13" customHeight="1">
      <c r="A2025" s="8" t="s">
        <v>10302</v>
      </c>
      <c r="B2025" s="16">
        <v>16</v>
      </c>
      <c r="C2025" s="8" t="s">
        <v>20</v>
      </c>
      <c r="D2025" s="8" t="s">
        <v>30</v>
      </c>
      <c r="F2025" s="17">
        <v>41753</v>
      </c>
      <c r="G2025" s="8" t="s">
        <v>10297</v>
      </c>
      <c r="H2025" s="8" t="s">
        <v>10298</v>
      </c>
      <c r="I2025" s="8" t="s">
        <v>45</v>
      </c>
      <c r="J2025" s="16" t="s">
        <v>10299</v>
      </c>
      <c r="K2025" s="2" t="s">
        <v>3219</v>
      </c>
      <c r="L2025" s="8" t="s">
        <v>10300</v>
      </c>
      <c r="M2025" s="8" t="s">
        <v>379</v>
      </c>
      <c r="N2025" s="2" t="s">
        <v>21259</v>
      </c>
      <c r="O2025" s="8" t="s">
        <v>1013</v>
      </c>
      <c r="P2025" s="8" t="s">
        <v>401</v>
      </c>
      <c r="Q2025" s="12" t="s">
        <v>10301</v>
      </c>
      <c r="R2025" s="8" t="s">
        <v>100</v>
      </c>
      <c r="S2025" s="7" t="s">
        <v>18</v>
      </c>
      <c r="T2025" s="6"/>
      <c r="U2025" s="8"/>
    </row>
    <row r="2026" spans="1:34" ht="13" customHeight="1">
      <c r="A2026" s="8" t="s">
        <v>10296</v>
      </c>
      <c r="B2026" s="16">
        <v>16</v>
      </c>
      <c r="C2026" s="8" t="s">
        <v>114</v>
      </c>
      <c r="D2026" s="8" t="s">
        <v>30</v>
      </c>
      <c r="F2026" s="17">
        <v>41753</v>
      </c>
      <c r="G2026" s="8" t="s">
        <v>10297</v>
      </c>
      <c r="H2026" s="8" t="s">
        <v>10298</v>
      </c>
      <c r="I2026" s="8" t="s">
        <v>45</v>
      </c>
      <c r="J2026" s="16" t="s">
        <v>10299</v>
      </c>
      <c r="K2026" s="2" t="s">
        <v>3219</v>
      </c>
      <c r="L2026" s="8" t="s">
        <v>10300</v>
      </c>
      <c r="M2026" s="8" t="s">
        <v>379</v>
      </c>
      <c r="N2026" s="2" t="s">
        <v>21259</v>
      </c>
      <c r="O2026" s="8" t="s">
        <v>1013</v>
      </c>
      <c r="P2026" s="8" t="s">
        <v>401</v>
      </c>
      <c r="Q2026" s="12" t="s">
        <v>10301</v>
      </c>
      <c r="R2026" s="8" t="s">
        <v>100</v>
      </c>
      <c r="S2026" s="7" t="s">
        <v>379</v>
      </c>
      <c r="T2026" s="6"/>
      <c r="U2026" s="8"/>
    </row>
    <row r="2027" spans="1:34" ht="13" customHeight="1">
      <c r="A2027" s="8" t="s">
        <v>10304</v>
      </c>
      <c r="B2027" s="16">
        <v>55</v>
      </c>
      <c r="C2027" s="8" t="s">
        <v>114</v>
      </c>
      <c r="D2027" s="8" t="s">
        <v>37</v>
      </c>
      <c r="E2027" s="8" t="s">
        <v>10305</v>
      </c>
      <c r="F2027" s="17">
        <v>41753</v>
      </c>
      <c r="G2027" s="8" t="s">
        <v>10306</v>
      </c>
      <c r="H2027" s="8" t="s">
        <v>1496</v>
      </c>
      <c r="I2027" s="8" t="s">
        <v>32</v>
      </c>
      <c r="J2027" s="16" t="s">
        <v>2113</v>
      </c>
      <c r="K2027" s="2" t="s">
        <v>1496</v>
      </c>
      <c r="L2027" s="8" t="s">
        <v>9543</v>
      </c>
      <c r="M2027" s="8" t="s">
        <v>27</v>
      </c>
      <c r="N2027" s="2" t="s">
        <v>10307</v>
      </c>
      <c r="O2027" s="8" t="s">
        <v>1013</v>
      </c>
      <c r="P2027" s="8" t="s">
        <v>401</v>
      </c>
      <c r="Q2027" s="12" t="s">
        <v>10308</v>
      </c>
      <c r="R2027" s="8" t="s">
        <v>100</v>
      </c>
      <c r="S2027" s="7" t="s">
        <v>379</v>
      </c>
      <c r="T2027" s="6"/>
      <c r="U2027" s="8"/>
    </row>
    <row r="2028" spans="1:34" ht="13" customHeight="1">
      <c r="A2028" s="8" t="s">
        <v>10309</v>
      </c>
      <c r="B2028" s="16">
        <v>26</v>
      </c>
      <c r="C2028" s="8" t="s">
        <v>20</v>
      </c>
      <c r="D2028" s="8" t="s">
        <v>48</v>
      </c>
      <c r="E2028" s="8" t="s">
        <v>10310</v>
      </c>
      <c r="F2028" s="17">
        <v>41752</v>
      </c>
      <c r="G2028" s="8" t="s">
        <v>10311</v>
      </c>
      <c r="H2028" s="8" t="s">
        <v>10312</v>
      </c>
      <c r="I2028" s="8" t="s">
        <v>123</v>
      </c>
      <c r="J2028" s="16" t="s">
        <v>10313</v>
      </c>
      <c r="K2028" s="2" t="s">
        <v>635</v>
      </c>
      <c r="L2028" s="8" t="s">
        <v>1896</v>
      </c>
      <c r="M2028" s="8" t="s">
        <v>27</v>
      </c>
      <c r="N2028" s="2" t="s">
        <v>10314</v>
      </c>
      <c r="O2028" s="8" t="s">
        <v>1013</v>
      </c>
      <c r="P2028" s="8" t="s">
        <v>401</v>
      </c>
      <c r="Q2028" s="12" t="s">
        <v>10315</v>
      </c>
      <c r="R2028" s="8" t="s">
        <v>100</v>
      </c>
      <c r="S2028" s="7" t="s">
        <v>28</v>
      </c>
      <c r="T2028" s="6"/>
      <c r="U2028" s="8"/>
    </row>
    <row r="2029" spans="1:34" ht="13" customHeight="1">
      <c r="A2029" s="8" t="s">
        <v>10324</v>
      </c>
      <c r="B2029" s="16">
        <v>53</v>
      </c>
      <c r="C2029" s="8" t="s">
        <v>20</v>
      </c>
      <c r="D2029" s="8" t="s">
        <v>30</v>
      </c>
      <c r="F2029" s="17">
        <v>41752</v>
      </c>
      <c r="G2029" s="8" t="s">
        <v>10325</v>
      </c>
      <c r="H2029" s="8" t="s">
        <v>10326</v>
      </c>
      <c r="I2029" s="8" t="s">
        <v>981</v>
      </c>
      <c r="J2029" s="16" t="s">
        <v>10327</v>
      </c>
      <c r="K2029" s="2" t="s">
        <v>2073</v>
      </c>
      <c r="L2029" s="8" t="s">
        <v>10328</v>
      </c>
      <c r="M2029" s="8" t="s">
        <v>27</v>
      </c>
      <c r="N2029" s="2" t="s">
        <v>10329</v>
      </c>
      <c r="O2029" s="8" t="s">
        <v>550</v>
      </c>
      <c r="P2029" s="8" t="s">
        <v>401</v>
      </c>
      <c r="Q2029" s="12" t="s">
        <v>10330</v>
      </c>
      <c r="R2029" s="8" t="s">
        <v>100</v>
      </c>
      <c r="S2029" s="7" t="s">
        <v>28</v>
      </c>
      <c r="T2029" s="6"/>
      <c r="U2029" s="8"/>
    </row>
    <row r="2030" spans="1:34" ht="13" customHeight="1">
      <c r="A2030" s="8" t="s">
        <v>10316</v>
      </c>
      <c r="B2030" s="16">
        <v>55</v>
      </c>
      <c r="C2030" s="8" t="s">
        <v>20</v>
      </c>
      <c r="D2030" s="8" t="s">
        <v>30</v>
      </c>
      <c r="F2030" s="17">
        <v>41752</v>
      </c>
      <c r="G2030" s="8" t="s">
        <v>10317</v>
      </c>
      <c r="H2030" s="8" t="s">
        <v>10318</v>
      </c>
      <c r="I2030" s="8" t="s">
        <v>366</v>
      </c>
      <c r="J2030" s="16" t="s">
        <v>10319</v>
      </c>
      <c r="K2030" s="2" t="s">
        <v>10320</v>
      </c>
      <c r="L2030" s="8" t="s">
        <v>10321</v>
      </c>
      <c r="M2030" s="8" t="s">
        <v>27</v>
      </c>
      <c r="N2030" s="2" t="s">
        <v>10322</v>
      </c>
      <c r="O2030" s="8" t="s">
        <v>400</v>
      </c>
      <c r="P2030" s="8" t="s">
        <v>401</v>
      </c>
      <c r="Q2030" s="12" t="s">
        <v>10323</v>
      </c>
      <c r="R2030" s="8" t="s">
        <v>555</v>
      </c>
      <c r="S2030" s="7" t="s">
        <v>28</v>
      </c>
      <c r="T2030" s="6"/>
      <c r="U2030" s="8"/>
    </row>
    <row r="2031" spans="1:34" ht="13" customHeight="1">
      <c r="A2031" s="8" t="s">
        <v>10345</v>
      </c>
      <c r="B2031" s="16">
        <v>26</v>
      </c>
      <c r="C2031" s="8" t="s">
        <v>20</v>
      </c>
      <c r="D2031" s="8" t="s">
        <v>37</v>
      </c>
      <c r="E2031" s="8" t="s">
        <v>10346</v>
      </c>
      <c r="F2031" s="17">
        <v>41751</v>
      </c>
      <c r="G2031" s="8" t="s">
        <v>10347</v>
      </c>
      <c r="H2031" s="8" t="s">
        <v>565</v>
      </c>
      <c r="I2031" s="8" t="s">
        <v>73</v>
      </c>
      <c r="J2031" s="16" t="s">
        <v>10348</v>
      </c>
      <c r="K2031" s="2" t="s">
        <v>10349</v>
      </c>
      <c r="L2031" s="8" t="s">
        <v>10350</v>
      </c>
      <c r="M2031" s="8" t="s">
        <v>27</v>
      </c>
      <c r="N2031" s="2" t="s">
        <v>10351</v>
      </c>
      <c r="O2031" s="8" t="s">
        <v>1013</v>
      </c>
      <c r="P2031" s="8" t="s">
        <v>401</v>
      </c>
      <c r="Q2031" s="12" t="s">
        <v>10352</v>
      </c>
      <c r="R2031" s="8" t="s">
        <v>100</v>
      </c>
      <c r="S2031" s="7" t="s">
        <v>28</v>
      </c>
      <c r="T2031" s="6"/>
      <c r="U2031" s="8"/>
    </row>
    <row r="2032" spans="1:34" ht="13" customHeight="1">
      <c r="A2032" s="8" t="s">
        <v>10338</v>
      </c>
      <c r="B2032" s="16" t="s">
        <v>29</v>
      </c>
      <c r="C2032" s="8" t="s">
        <v>20</v>
      </c>
      <c r="D2032" s="8" t="s">
        <v>37</v>
      </c>
      <c r="E2032" s="8" t="s">
        <v>10339</v>
      </c>
      <c r="F2032" s="17">
        <v>41751</v>
      </c>
      <c r="G2032" s="8" t="s">
        <v>10340</v>
      </c>
      <c r="H2032" s="8" t="s">
        <v>2324</v>
      </c>
      <c r="I2032" s="8" t="s">
        <v>44</v>
      </c>
      <c r="J2032" s="16" t="s">
        <v>10341</v>
      </c>
      <c r="K2032" s="2" t="s">
        <v>993</v>
      </c>
      <c r="L2032" s="8" t="s">
        <v>10342</v>
      </c>
      <c r="M2032" s="8" t="s">
        <v>27</v>
      </c>
      <c r="N2032" s="2" t="s">
        <v>10343</v>
      </c>
      <c r="O2032" s="8" t="s">
        <v>400</v>
      </c>
      <c r="P2032" s="8" t="s">
        <v>401</v>
      </c>
      <c r="Q2032" s="12" t="s">
        <v>10344</v>
      </c>
      <c r="R2032" s="8" t="s">
        <v>967</v>
      </c>
      <c r="S2032" s="7" t="s">
        <v>28</v>
      </c>
      <c r="T2032" s="6"/>
      <c r="U2032" s="8"/>
    </row>
    <row r="2033" spans="1:34" ht="13" customHeight="1">
      <c r="A2033" s="8" t="s">
        <v>10331</v>
      </c>
      <c r="B2033" s="16">
        <v>53</v>
      </c>
      <c r="C2033" s="8" t="s">
        <v>20</v>
      </c>
      <c r="D2033" s="8" t="s">
        <v>37</v>
      </c>
      <c r="F2033" s="17">
        <v>41751</v>
      </c>
      <c r="G2033" s="8" t="s">
        <v>10332</v>
      </c>
      <c r="H2033" s="8" t="s">
        <v>10333</v>
      </c>
      <c r="I2033" s="8" t="s">
        <v>94</v>
      </c>
      <c r="J2033" s="16" t="s">
        <v>10334</v>
      </c>
      <c r="K2033" s="2" t="s">
        <v>6142</v>
      </c>
      <c r="L2033" s="8" t="s">
        <v>10335</v>
      </c>
      <c r="M2033" s="8" t="s">
        <v>27</v>
      </c>
      <c r="N2033" s="2" t="s">
        <v>10336</v>
      </c>
      <c r="O2033" s="8" t="s">
        <v>1013</v>
      </c>
      <c r="P2033" s="8" t="s">
        <v>401</v>
      </c>
      <c r="Q2033" s="12" t="s">
        <v>10337</v>
      </c>
      <c r="R2033" s="8" t="s">
        <v>100</v>
      </c>
      <c r="S2033" s="7" t="s">
        <v>18</v>
      </c>
      <c r="T2033" s="6"/>
      <c r="U2033" s="8"/>
      <c r="Y2033" s="8"/>
      <c r="Z2033" s="8"/>
      <c r="AA2033" s="8"/>
      <c r="AB2033" s="8"/>
      <c r="AC2033" s="8"/>
      <c r="AD2033" s="8"/>
      <c r="AE2033" s="8"/>
      <c r="AF2033" s="8"/>
      <c r="AG2033" s="8"/>
      <c r="AH2033" s="8"/>
    </row>
    <row r="2034" spans="1:34" ht="13" customHeight="1">
      <c r="A2034" s="8" t="s">
        <v>10353</v>
      </c>
      <c r="B2034" s="16">
        <v>29</v>
      </c>
      <c r="C2034" s="8" t="s">
        <v>20</v>
      </c>
      <c r="D2034" s="8" t="s">
        <v>85</v>
      </c>
      <c r="E2034" s="8" t="s">
        <v>10354</v>
      </c>
      <c r="F2034" s="17">
        <v>41750</v>
      </c>
      <c r="G2034" s="8" t="s">
        <v>10355</v>
      </c>
      <c r="H2034" s="8" t="s">
        <v>10356</v>
      </c>
      <c r="I2034" s="8" t="s">
        <v>404</v>
      </c>
      <c r="J2034" s="16" t="s">
        <v>10357</v>
      </c>
      <c r="K2034" s="2" t="s">
        <v>1639</v>
      </c>
      <c r="L2034" s="8" t="s">
        <v>1640</v>
      </c>
      <c r="M2034" s="8" t="s">
        <v>27</v>
      </c>
      <c r="N2034" s="2" t="s">
        <v>10358</v>
      </c>
      <c r="O2034" s="8" t="s">
        <v>550</v>
      </c>
      <c r="P2034" s="8" t="s">
        <v>401</v>
      </c>
      <c r="Q2034" s="12" t="str">
        <f>HYPERLINK("http://triblive.com/news/allegheny/6036085-74/zappala-officer-police#axzz3Gj9fLtSM","http://triblive.com/news/allegheny/6036085-74/zappala-officer-police#axzz3Gj9fLtSM")</f>
        <v>http://triblive.com/news/allegheny/6036085-74/zappala-officer-police#axzz3Gj9fLtSM</v>
      </c>
      <c r="R2034" s="8" t="s">
        <v>100</v>
      </c>
      <c r="S2034" s="7" t="s">
        <v>28</v>
      </c>
      <c r="T2034" s="6"/>
      <c r="U2034" s="8"/>
      <c r="V2034" s="8"/>
      <c r="W2034" s="8"/>
      <c r="X2034" s="8"/>
    </row>
    <row r="2035" spans="1:34" ht="13" customHeight="1">
      <c r="A2035" s="8" t="s">
        <v>10359</v>
      </c>
      <c r="B2035" s="16">
        <v>25</v>
      </c>
      <c r="C2035" s="8" t="s">
        <v>20</v>
      </c>
      <c r="D2035" s="8" t="s">
        <v>945</v>
      </c>
      <c r="E2035" s="8" t="s">
        <v>10360</v>
      </c>
      <c r="F2035" s="17">
        <v>41750</v>
      </c>
      <c r="G2035" s="8" t="s">
        <v>10361</v>
      </c>
      <c r="H2035" s="8" t="s">
        <v>239</v>
      </c>
      <c r="I2035" s="8" t="s">
        <v>240</v>
      </c>
      <c r="J2035" s="16" t="s">
        <v>10362</v>
      </c>
      <c r="K2035" s="2" t="s">
        <v>613</v>
      </c>
      <c r="L2035" s="8" t="s">
        <v>5671</v>
      </c>
      <c r="M2035" s="8" t="s">
        <v>27</v>
      </c>
      <c r="N2035" s="2" t="s">
        <v>10363</v>
      </c>
      <c r="O2035" s="8" t="s">
        <v>400</v>
      </c>
      <c r="P2035" s="8" t="s">
        <v>401</v>
      </c>
      <c r="Q2035" s="12" t="s">
        <v>10364</v>
      </c>
      <c r="R2035" s="8" t="s">
        <v>100</v>
      </c>
      <c r="S2035" s="7" t="s">
        <v>28</v>
      </c>
      <c r="T2035" s="6"/>
      <c r="U2035" s="8"/>
    </row>
    <row r="2036" spans="1:34" ht="13" customHeight="1">
      <c r="A2036" s="8" t="s">
        <v>10385</v>
      </c>
      <c r="B2036" s="16" t="s">
        <v>10386</v>
      </c>
      <c r="C2036" s="8" t="s">
        <v>114</v>
      </c>
      <c r="D2036" s="8" t="s">
        <v>37</v>
      </c>
      <c r="E2036" s="8" t="s">
        <v>10387</v>
      </c>
      <c r="F2036" s="17">
        <v>41750</v>
      </c>
      <c r="G2036" s="8" t="s">
        <v>10388</v>
      </c>
      <c r="H2036" s="8" t="s">
        <v>925</v>
      </c>
      <c r="I2036" s="8" t="s">
        <v>195</v>
      </c>
      <c r="J2036" s="16" t="s">
        <v>8487</v>
      </c>
      <c r="K2036" s="2" t="s">
        <v>467</v>
      </c>
      <c r="L2036" s="8" t="s">
        <v>4995</v>
      </c>
      <c r="M2036" s="8" t="s">
        <v>27</v>
      </c>
      <c r="N2036" s="2" t="s">
        <v>10389</v>
      </c>
      <c r="O2036" s="8" t="s">
        <v>400</v>
      </c>
      <c r="P2036" s="8" t="s">
        <v>401</v>
      </c>
      <c r="Q2036" s="12" t="s">
        <v>10165</v>
      </c>
      <c r="R2036" s="8" t="s">
        <v>100</v>
      </c>
      <c r="S2036" s="7" t="s">
        <v>28</v>
      </c>
      <c r="T2036" s="6"/>
      <c r="U2036" s="8"/>
      <c r="Y2036" s="8"/>
      <c r="Z2036" s="8"/>
      <c r="AA2036" s="8"/>
      <c r="AB2036" s="8"/>
      <c r="AC2036" s="8"/>
      <c r="AD2036" s="8"/>
      <c r="AE2036" s="8"/>
      <c r="AF2036" s="8"/>
      <c r="AG2036" s="8"/>
      <c r="AH2036" s="8"/>
    </row>
    <row r="2037" spans="1:34" ht="13" customHeight="1">
      <c r="A2037" s="8" t="s">
        <v>10371</v>
      </c>
      <c r="B2037" s="16">
        <v>30</v>
      </c>
      <c r="C2037" s="8" t="s">
        <v>20</v>
      </c>
      <c r="D2037" s="8" t="s">
        <v>37</v>
      </c>
      <c r="E2037" s="8" t="s">
        <v>10372</v>
      </c>
      <c r="F2037" s="17">
        <v>41750</v>
      </c>
      <c r="G2037" s="8" t="s">
        <v>10373</v>
      </c>
      <c r="H2037" s="8" t="s">
        <v>285</v>
      </c>
      <c r="I2037" s="8" t="s">
        <v>73</v>
      </c>
      <c r="J2037" s="16" t="s">
        <v>10374</v>
      </c>
      <c r="K2037" s="2" t="s">
        <v>285</v>
      </c>
      <c r="L2037" s="8" t="s">
        <v>286</v>
      </c>
      <c r="M2037" s="8" t="s">
        <v>27</v>
      </c>
      <c r="N2037" s="2" t="s">
        <v>10375</v>
      </c>
      <c r="O2037" s="8" t="s">
        <v>1013</v>
      </c>
      <c r="P2037" s="8" t="s">
        <v>401</v>
      </c>
      <c r="Q2037" s="12" t="s">
        <v>10376</v>
      </c>
      <c r="R2037" s="8" t="s">
        <v>967</v>
      </c>
      <c r="S2037" s="7" t="s">
        <v>28</v>
      </c>
      <c r="T2037" s="6"/>
      <c r="U2037" s="8"/>
    </row>
    <row r="2038" spans="1:34" ht="13" customHeight="1">
      <c r="A2038" s="8" t="s">
        <v>10377</v>
      </c>
      <c r="B2038" s="16">
        <v>56</v>
      </c>
      <c r="C2038" s="8" t="s">
        <v>20</v>
      </c>
      <c r="D2038" s="8" t="s">
        <v>37</v>
      </c>
      <c r="E2038" s="8" t="s">
        <v>10378</v>
      </c>
      <c r="F2038" s="17">
        <v>41750</v>
      </c>
      <c r="G2038" s="8" t="s">
        <v>10379</v>
      </c>
      <c r="H2038" s="8" t="s">
        <v>10380</v>
      </c>
      <c r="I2038" s="8" t="s">
        <v>69</v>
      </c>
      <c r="J2038" s="16" t="s">
        <v>10381</v>
      </c>
      <c r="K2038" s="2" t="s">
        <v>6002</v>
      </c>
      <c r="L2038" s="8" t="s">
        <v>10382</v>
      </c>
      <c r="M2038" s="8" t="s">
        <v>27</v>
      </c>
      <c r="N2038" s="2" t="s">
        <v>10383</v>
      </c>
      <c r="O2038" s="8" t="s">
        <v>550</v>
      </c>
      <c r="P2038" s="8" t="s">
        <v>401</v>
      </c>
      <c r="Q2038" s="12" t="s">
        <v>10384</v>
      </c>
      <c r="R2038" s="8" t="s">
        <v>29</v>
      </c>
      <c r="S2038" s="7" t="s">
        <v>28</v>
      </c>
      <c r="T2038" s="6"/>
      <c r="U2038" s="8"/>
    </row>
    <row r="2039" spans="1:34" ht="13" customHeight="1">
      <c r="A2039" s="8" t="s">
        <v>10365</v>
      </c>
      <c r="B2039" s="16">
        <v>58</v>
      </c>
      <c r="C2039" s="8" t="s">
        <v>20</v>
      </c>
      <c r="D2039" s="8" t="s">
        <v>37</v>
      </c>
      <c r="E2039" s="8" t="s">
        <v>10366</v>
      </c>
      <c r="F2039" s="17">
        <v>41750</v>
      </c>
      <c r="G2039" s="8" t="s">
        <v>10367</v>
      </c>
      <c r="H2039" s="8" t="s">
        <v>1894</v>
      </c>
      <c r="I2039" s="8" t="s">
        <v>45</v>
      </c>
      <c r="J2039" s="16" t="s">
        <v>10368</v>
      </c>
      <c r="K2039" s="2" t="s">
        <v>786</v>
      </c>
      <c r="L2039" s="8" t="s">
        <v>787</v>
      </c>
      <c r="M2039" s="8" t="s">
        <v>27</v>
      </c>
      <c r="N2039" s="2" t="s">
        <v>10369</v>
      </c>
      <c r="O2039" s="8" t="s">
        <v>1013</v>
      </c>
      <c r="P2039" s="8" t="s">
        <v>401</v>
      </c>
      <c r="Q2039" s="12" t="s">
        <v>10370</v>
      </c>
      <c r="R2039" s="8" t="s">
        <v>555</v>
      </c>
      <c r="S2039" s="7" t="s">
        <v>28</v>
      </c>
      <c r="T2039" s="6"/>
      <c r="U2039" s="8"/>
    </row>
    <row r="2040" spans="1:34" ht="13" customHeight="1">
      <c r="A2040" s="8" t="s">
        <v>10390</v>
      </c>
      <c r="B2040" s="16">
        <v>50</v>
      </c>
      <c r="C2040" s="8" t="s">
        <v>114</v>
      </c>
      <c r="D2040" s="8" t="s">
        <v>48</v>
      </c>
      <c r="E2040" s="8" t="s">
        <v>10391</v>
      </c>
      <c r="F2040" s="17">
        <v>41749</v>
      </c>
      <c r="G2040" s="8" t="s">
        <v>10392</v>
      </c>
      <c r="H2040" s="8" t="s">
        <v>87</v>
      </c>
      <c r="I2040" s="8" t="s">
        <v>44</v>
      </c>
      <c r="J2040" s="16" t="s">
        <v>10393</v>
      </c>
      <c r="K2040" s="2" t="s">
        <v>88</v>
      </c>
      <c r="L2040" s="8" t="s">
        <v>89</v>
      </c>
      <c r="M2040" s="8" t="s">
        <v>27</v>
      </c>
      <c r="N2040" s="2" t="s">
        <v>10394</v>
      </c>
      <c r="O2040" s="8" t="s">
        <v>400</v>
      </c>
      <c r="P2040" s="8" t="s">
        <v>401</v>
      </c>
      <c r="Q2040" s="12" t="s">
        <v>10395</v>
      </c>
      <c r="R2040" s="8" t="s">
        <v>29</v>
      </c>
      <c r="S2040" s="7" t="s">
        <v>28</v>
      </c>
      <c r="T2040" s="6"/>
      <c r="U2040" s="8"/>
    </row>
    <row r="2041" spans="1:34" ht="13" customHeight="1">
      <c r="A2041" s="8" t="s">
        <v>10396</v>
      </c>
      <c r="B2041" s="16">
        <v>16</v>
      </c>
      <c r="C2041" s="8" t="s">
        <v>114</v>
      </c>
      <c r="D2041" s="8" t="s">
        <v>48</v>
      </c>
      <c r="F2041" s="17">
        <v>41749</v>
      </c>
      <c r="G2041" s="8" t="s">
        <v>10397</v>
      </c>
      <c r="H2041" s="8" t="s">
        <v>444</v>
      </c>
      <c r="I2041" s="8" t="s">
        <v>57</v>
      </c>
      <c r="J2041" s="16" t="s">
        <v>10398</v>
      </c>
      <c r="K2041" s="2" t="s">
        <v>1132</v>
      </c>
      <c r="L2041" s="8" t="s">
        <v>2182</v>
      </c>
      <c r="M2041" s="8" t="s">
        <v>379</v>
      </c>
      <c r="N2041" s="2" t="s">
        <v>10399</v>
      </c>
      <c r="O2041" s="8" t="s">
        <v>1013</v>
      </c>
      <c r="P2041" s="8" t="s">
        <v>401</v>
      </c>
      <c r="Q2041" s="12" t="s">
        <v>10400</v>
      </c>
      <c r="R2041" s="8" t="s">
        <v>100</v>
      </c>
      <c r="S2041" s="7" t="s">
        <v>18</v>
      </c>
      <c r="T2041" s="6"/>
      <c r="U2041" s="8"/>
    </row>
    <row r="2042" spans="1:34" ht="13" customHeight="1">
      <c r="A2042" s="8" t="s">
        <v>10401</v>
      </c>
      <c r="B2042" s="16">
        <v>14</v>
      </c>
      <c r="C2042" s="8" t="s">
        <v>114</v>
      </c>
      <c r="D2042" s="8" t="s">
        <v>30</v>
      </c>
      <c r="F2042" s="17">
        <v>41749</v>
      </c>
      <c r="G2042" s="8" t="s">
        <v>10397</v>
      </c>
      <c r="H2042" s="8" t="s">
        <v>444</v>
      </c>
      <c r="I2042" s="8" t="s">
        <v>57</v>
      </c>
      <c r="J2042" s="16" t="s">
        <v>10398</v>
      </c>
      <c r="K2042" s="2" t="s">
        <v>1132</v>
      </c>
      <c r="L2042" s="8" t="s">
        <v>2182</v>
      </c>
      <c r="M2042" s="8" t="s">
        <v>379</v>
      </c>
      <c r="N2042" s="2" t="s">
        <v>10399</v>
      </c>
      <c r="O2042" s="8" t="s">
        <v>1013</v>
      </c>
      <c r="P2042" s="8" t="s">
        <v>401</v>
      </c>
      <c r="Q2042" s="12" t="s">
        <v>10400</v>
      </c>
      <c r="R2042" s="8" t="s">
        <v>100</v>
      </c>
      <c r="S2042" s="7" t="s">
        <v>18</v>
      </c>
      <c r="T2042" s="6"/>
      <c r="U2042" s="8"/>
    </row>
    <row r="2043" spans="1:34" ht="13" customHeight="1">
      <c r="A2043" s="8" t="s">
        <v>10402</v>
      </c>
      <c r="B2043" s="16">
        <v>20</v>
      </c>
      <c r="C2043" s="8" t="s">
        <v>20</v>
      </c>
      <c r="D2043" s="8" t="s">
        <v>37</v>
      </c>
      <c r="E2043" s="8" t="s">
        <v>10403</v>
      </c>
      <c r="F2043" s="17">
        <v>41749</v>
      </c>
      <c r="G2043" s="8" t="s">
        <v>10404</v>
      </c>
      <c r="H2043" s="8" t="s">
        <v>6676</v>
      </c>
      <c r="I2043" s="8" t="s">
        <v>73</v>
      </c>
      <c r="J2043" s="16" t="s">
        <v>10405</v>
      </c>
      <c r="K2043" s="2" t="s">
        <v>6676</v>
      </c>
      <c r="L2043" s="8" t="s">
        <v>281</v>
      </c>
      <c r="M2043" s="8" t="s">
        <v>27</v>
      </c>
      <c r="N2043" s="2" t="s">
        <v>21468</v>
      </c>
      <c r="O2043" s="8" t="s">
        <v>1013</v>
      </c>
      <c r="P2043" s="8" t="s">
        <v>401</v>
      </c>
      <c r="Q2043" s="12" t="s">
        <v>10406</v>
      </c>
      <c r="R2043" s="8" t="s">
        <v>100</v>
      </c>
      <c r="S2043" s="7" t="s">
        <v>18</v>
      </c>
      <c r="T2043" s="6"/>
      <c r="U2043" s="8"/>
    </row>
    <row r="2044" spans="1:34" ht="13" customHeight="1">
      <c r="A2044" s="8" t="s">
        <v>10409</v>
      </c>
      <c r="B2044" s="16">
        <v>30</v>
      </c>
      <c r="C2044" s="8" t="s">
        <v>20</v>
      </c>
      <c r="D2044" s="8" t="s">
        <v>37</v>
      </c>
      <c r="F2044" s="17">
        <v>41749</v>
      </c>
      <c r="G2044" s="8" t="s">
        <v>10410</v>
      </c>
      <c r="H2044" s="8" t="s">
        <v>575</v>
      </c>
      <c r="I2044" s="8" t="s">
        <v>73</v>
      </c>
      <c r="J2044" s="16" t="s">
        <v>10411</v>
      </c>
      <c r="K2044" s="2" t="s">
        <v>576</v>
      </c>
      <c r="L2044" s="8" t="s">
        <v>577</v>
      </c>
      <c r="M2044" s="8" t="s">
        <v>27</v>
      </c>
      <c r="N2044" s="2" t="s">
        <v>10412</v>
      </c>
      <c r="O2044" s="8" t="s">
        <v>1013</v>
      </c>
      <c r="P2044" s="8" t="s">
        <v>401</v>
      </c>
      <c r="Q2044" s="12" t="s">
        <v>10413</v>
      </c>
      <c r="R2044" s="8" t="s">
        <v>29</v>
      </c>
      <c r="S2044" s="7" t="s">
        <v>18</v>
      </c>
      <c r="T2044" s="6"/>
      <c r="U2044" s="8"/>
    </row>
    <row r="2045" spans="1:34" ht="13" customHeight="1">
      <c r="A2045" s="8" t="s">
        <v>10407</v>
      </c>
      <c r="B2045" s="16">
        <v>17</v>
      </c>
      <c r="C2045" s="8" t="s">
        <v>20</v>
      </c>
      <c r="D2045" s="8" t="s">
        <v>37</v>
      </c>
      <c r="E2045" s="8" t="s">
        <v>10408</v>
      </c>
      <c r="F2045" s="17">
        <v>41749</v>
      </c>
      <c r="G2045" s="8" t="s">
        <v>10397</v>
      </c>
      <c r="H2045" s="8" t="s">
        <v>444</v>
      </c>
      <c r="I2045" s="8" t="s">
        <v>57</v>
      </c>
      <c r="J2045" s="16" t="s">
        <v>10398</v>
      </c>
      <c r="K2045" s="2" t="s">
        <v>1132</v>
      </c>
      <c r="L2045" s="8" t="s">
        <v>2182</v>
      </c>
      <c r="M2045" s="8" t="s">
        <v>379</v>
      </c>
      <c r="N2045" s="2" t="s">
        <v>10399</v>
      </c>
      <c r="O2045" s="8" t="s">
        <v>1013</v>
      </c>
      <c r="P2045" s="8" t="s">
        <v>401</v>
      </c>
      <c r="Q2045" s="12" t="s">
        <v>10400</v>
      </c>
      <c r="R2045" s="8" t="s">
        <v>100</v>
      </c>
      <c r="S2045" s="7" t="s">
        <v>379</v>
      </c>
      <c r="T2045" s="6"/>
      <c r="U2045" s="8"/>
    </row>
    <row r="2046" spans="1:34" ht="13" customHeight="1">
      <c r="A2046" s="8" t="s">
        <v>3267</v>
      </c>
      <c r="B2046" s="16">
        <v>50</v>
      </c>
      <c r="C2046" s="8" t="s">
        <v>20</v>
      </c>
      <c r="D2046" s="8" t="s">
        <v>48</v>
      </c>
      <c r="F2046" s="17">
        <v>41748</v>
      </c>
      <c r="G2046" s="8" t="s">
        <v>10419</v>
      </c>
      <c r="H2046" s="8" t="s">
        <v>200</v>
      </c>
      <c r="I2046" s="8" t="s">
        <v>45</v>
      </c>
      <c r="J2046" s="16" t="s">
        <v>7131</v>
      </c>
      <c r="K2046" s="2" t="s">
        <v>200</v>
      </c>
      <c r="L2046" s="8" t="s">
        <v>1602</v>
      </c>
      <c r="M2046" s="8" t="s">
        <v>27</v>
      </c>
      <c r="N2046" s="2" t="s">
        <v>10420</v>
      </c>
      <c r="O2046" s="8" t="s">
        <v>1013</v>
      </c>
      <c r="P2046" s="8" t="s">
        <v>401</v>
      </c>
      <c r="Q2046" s="12" t="s">
        <v>10421</v>
      </c>
      <c r="R2046" s="8" t="s">
        <v>29</v>
      </c>
      <c r="S2046" s="7" t="s">
        <v>28</v>
      </c>
      <c r="T2046" s="6"/>
      <c r="U2046" s="8"/>
    </row>
    <row r="2047" spans="1:34" ht="13" customHeight="1">
      <c r="A2047" s="8" t="s">
        <v>10414</v>
      </c>
      <c r="B2047" s="16">
        <v>18</v>
      </c>
      <c r="C2047" s="8" t="s">
        <v>114</v>
      </c>
      <c r="D2047" s="8" t="s">
        <v>48</v>
      </c>
      <c r="F2047" s="17">
        <v>41748</v>
      </c>
      <c r="G2047" s="8" t="s">
        <v>10415</v>
      </c>
      <c r="H2047" s="8" t="s">
        <v>2497</v>
      </c>
      <c r="I2047" s="8" t="s">
        <v>395</v>
      </c>
      <c r="J2047" s="16" t="s">
        <v>10416</v>
      </c>
      <c r="K2047" s="2" t="s">
        <v>2497</v>
      </c>
      <c r="L2047" s="8" t="s">
        <v>3128</v>
      </c>
      <c r="M2047" s="8" t="s">
        <v>27</v>
      </c>
      <c r="N2047" s="2" t="s">
        <v>10417</v>
      </c>
      <c r="O2047" s="8" t="s">
        <v>1013</v>
      </c>
      <c r="P2047" s="8" t="s">
        <v>401</v>
      </c>
      <c r="Q2047" s="12" t="s">
        <v>10418</v>
      </c>
      <c r="R2047" s="8" t="s">
        <v>100</v>
      </c>
      <c r="S2047" s="7" t="s">
        <v>18</v>
      </c>
      <c r="T2047" s="6"/>
      <c r="U2047" s="8"/>
    </row>
    <row r="2048" spans="1:34" ht="13" customHeight="1">
      <c r="A2048" s="8" t="s">
        <v>10422</v>
      </c>
      <c r="B2048" s="16">
        <v>19</v>
      </c>
      <c r="C2048" s="8" t="s">
        <v>20</v>
      </c>
      <c r="D2048" s="8" t="s">
        <v>48</v>
      </c>
      <c r="E2048" s="8" t="s">
        <v>10423</v>
      </c>
      <c r="F2048" s="17">
        <v>41747</v>
      </c>
      <c r="G2048" s="8" t="s">
        <v>10424</v>
      </c>
      <c r="H2048" s="8" t="s">
        <v>10425</v>
      </c>
      <c r="I2048" s="8" t="s">
        <v>45</v>
      </c>
      <c r="J2048" s="16" t="s">
        <v>10426</v>
      </c>
      <c r="K2048" s="2" t="s">
        <v>9959</v>
      </c>
      <c r="L2048" s="8" t="s">
        <v>10427</v>
      </c>
      <c r="M2048" s="8" t="s">
        <v>27</v>
      </c>
      <c r="N2048" s="2" t="s">
        <v>10428</v>
      </c>
      <c r="O2048" s="8" t="s">
        <v>1013</v>
      </c>
      <c r="P2048" s="8" t="s">
        <v>401</v>
      </c>
      <c r="Q2048" s="12" t="s">
        <v>10429</v>
      </c>
      <c r="R2048" s="8" t="s">
        <v>100</v>
      </c>
      <c r="S2048" s="7" t="s">
        <v>35</v>
      </c>
      <c r="T2048" s="6"/>
      <c r="U2048" s="8"/>
    </row>
    <row r="2049" spans="1:39" ht="13" customHeight="1">
      <c r="A2049" s="8" t="s">
        <v>10430</v>
      </c>
      <c r="B2049" s="16">
        <v>16</v>
      </c>
      <c r="C2049" s="8" t="s">
        <v>114</v>
      </c>
      <c r="D2049" s="8" t="s">
        <v>30</v>
      </c>
      <c r="F2049" s="17">
        <v>41747</v>
      </c>
      <c r="G2049" s="8" t="s">
        <v>10431</v>
      </c>
      <c r="H2049" s="8" t="s">
        <v>10432</v>
      </c>
      <c r="I2049" s="8" t="s">
        <v>404</v>
      </c>
      <c r="J2049" s="16" t="s">
        <v>10433</v>
      </c>
      <c r="K2049" s="2" t="s">
        <v>10432</v>
      </c>
      <c r="L2049" s="8" t="s">
        <v>9400</v>
      </c>
      <c r="M2049" s="8" t="s">
        <v>9536</v>
      </c>
      <c r="N2049" s="2" t="s">
        <v>10434</v>
      </c>
      <c r="O2049" s="8" t="s">
        <v>1013</v>
      </c>
      <c r="P2049" s="8" t="s">
        <v>401</v>
      </c>
      <c r="Q2049" s="12" t="s">
        <v>10435</v>
      </c>
      <c r="R2049" s="8" t="s">
        <v>100</v>
      </c>
      <c r="S2049" s="7" t="s">
        <v>379</v>
      </c>
      <c r="T2049" s="6"/>
      <c r="U2049" s="8"/>
    </row>
    <row r="2050" spans="1:39" ht="13" customHeight="1">
      <c r="A2050" s="8" t="s">
        <v>10436</v>
      </c>
      <c r="B2050" s="16">
        <v>35</v>
      </c>
      <c r="C2050" s="8" t="s">
        <v>20</v>
      </c>
      <c r="D2050" s="8" t="s">
        <v>48</v>
      </c>
      <c r="E2050" s="8" t="s">
        <v>10437</v>
      </c>
      <c r="F2050" s="17">
        <v>41746</v>
      </c>
      <c r="G2050" s="8" t="s">
        <v>10438</v>
      </c>
      <c r="H2050" s="8" t="s">
        <v>561</v>
      </c>
      <c r="I2050" s="8" t="s">
        <v>123</v>
      </c>
      <c r="J2050" s="16" t="s">
        <v>6807</v>
      </c>
      <c r="K2050" s="2" t="s">
        <v>562</v>
      </c>
      <c r="L2050" s="8" t="s">
        <v>563</v>
      </c>
      <c r="M2050" s="8" t="s">
        <v>27</v>
      </c>
      <c r="N2050" s="2" t="s">
        <v>10439</v>
      </c>
      <c r="O2050" s="8" t="s">
        <v>1013</v>
      </c>
      <c r="P2050" s="8" t="s">
        <v>401</v>
      </c>
      <c r="Q2050" s="12" t="s">
        <v>10440</v>
      </c>
      <c r="R2050" s="8" t="s">
        <v>100</v>
      </c>
      <c r="S2050" s="7" t="s">
        <v>28</v>
      </c>
      <c r="T2050" s="6"/>
      <c r="U2050" s="8"/>
    </row>
    <row r="2051" spans="1:39" ht="13" customHeight="1">
      <c r="A2051" s="8" t="s">
        <v>10448</v>
      </c>
      <c r="B2051" s="16">
        <v>25</v>
      </c>
      <c r="C2051" s="8" t="s">
        <v>20</v>
      </c>
      <c r="D2051" s="8" t="s">
        <v>37</v>
      </c>
      <c r="E2051" s="8" t="s">
        <v>10449</v>
      </c>
      <c r="F2051" s="17">
        <v>41746</v>
      </c>
      <c r="G2051" s="8" t="s">
        <v>10450</v>
      </c>
      <c r="H2051" s="8" t="s">
        <v>10451</v>
      </c>
      <c r="I2051" s="8" t="s">
        <v>370</v>
      </c>
      <c r="J2051" s="16" t="s">
        <v>10452</v>
      </c>
      <c r="K2051" s="2" t="s">
        <v>1410</v>
      </c>
      <c r="L2051" s="8" t="s">
        <v>10453</v>
      </c>
      <c r="M2051" s="8" t="s">
        <v>27</v>
      </c>
      <c r="N2051" s="2" t="s">
        <v>10454</v>
      </c>
      <c r="O2051" s="8" t="s">
        <v>1013</v>
      </c>
      <c r="P2051" s="8" t="s">
        <v>401</v>
      </c>
      <c r="Q2051" s="12" t="s">
        <v>10455</v>
      </c>
      <c r="R2051" s="8" t="s">
        <v>555</v>
      </c>
      <c r="S2051" s="7" t="s">
        <v>28</v>
      </c>
      <c r="T2051" s="6"/>
      <c r="U2051" s="8"/>
    </row>
    <row r="2052" spans="1:39" ht="13" customHeight="1">
      <c r="A2052" s="8" t="s">
        <v>10456</v>
      </c>
      <c r="B2052" s="16">
        <v>42</v>
      </c>
      <c r="C2052" s="8" t="s">
        <v>114</v>
      </c>
      <c r="D2052" s="8" t="s">
        <v>37</v>
      </c>
      <c r="E2052" s="8" t="s">
        <v>10457</v>
      </c>
      <c r="F2052" s="17">
        <v>41746</v>
      </c>
      <c r="G2052" s="8" t="s">
        <v>10458</v>
      </c>
      <c r="H2052" s="8" t="s">
        <v>216</v>
      </c>
      <c r="I2052" s="8" t="s">
        <v>217</v>
      </c>
      <c r="J2052" s="16" t="s">
        <v>10459</v>
      </c>
      <c r="K2052" s="2" t="s">
        <v>420</v>
      </c>
      <c r="L2052" s="8" t="s">
        <v>218</v>
      </c>
      <c r="M2052" s="8" t="s">
        <v>27</v>
      </c>
      <c r="N2052" s="2" t="s">
        <v>10460</v>
      </c>
      <c r="O2052" s="8" t="s">
        <v>1013</v>
      </c>
      <c r="P2052" s="8" t="s">
        <v>401</v>
      </c>
      <c r="Q2052" s="12" t="s">
        <v>10461</v>
      </c>
      <c r="R2052" s="8" t="s">
        <v>29</v>
      </c>
      <c r="S2052" s="7" t="s">
        <v>28</v>
      </c>
      <c r="T2052" s="6"/>
      <c r="U2052" s="8"/>
    </row>
    <row r="2053" spans="1:39" ht="13" customHeight="1">
      <c r="A2053" s="8" t="s">
        <v>10441</v>
      </c>
      <c r="B2053" s="16">
        <v>57</v>
      </c>
      <c r="C2053" s="8" t="s">
        <v>20</v>
      </c>
      <c r="D2053" s="8" t="s">
        <v>37</v>
      </c>
      <c r="F2053" s="17">
        <v>41746</v>
      </c>
      <c r="G2053" s="8" t="s">
        <v>10442</v>
      </c>
      <c r="H2053" s="8" t="s">
        <v>10443</v>
      </c>
      <c r="I2053" s="8" t="s">
        <v>73</v>
      </c>
      <c r="J2053" s="16" t="s">
        <v>10444</v>
      </c>
      <c r="K2053" s="2" t="s">
        <v>74</v>
      </c>
      <c r="L2053" s="8" t="s">
        <v>10445</v>
      </c>
      <c r="M2053" s="8" t="s">
        <v>27</v>
      </c>
      <c r="N2053" s="2" t="s">
        <v>10446</v>
      </c>
      <c r="O2053" s="8" t="s">
        <v>1013</v>
      </c>
      <c r="P2053" s="8" t="s">
        <v>401</v>
      </c>
      <c r="Q2053" s="12" t="s">
        <v>10447</v>
      </c>
      <c r="R2053" s="8" t="s">
        <v>555</v>
      </c>
      <c r="S2053" s="7" t="s">
        <v>28</v>
      </c>
      <c r="T2053" s="6"/>
      <c r="U2053" s="8"/>
    </row>
    <row r="2054" spans="1:39" ht="13" customHeight="1">
      <c r="A2054" s="8" t="s">
        <v>10462</v>
      </c>
      <c r="B2054" s="16">
        <v>23</v>
      </c>
      <c r="C2054" s="8" t="s">
        <v>20</v>
      </c>
      <c r="D2054" s="8" t="s">
        <v>85</v>
      </c>
      <c r="E2054" s="8" t="s">
        <v>10463</v>
      </c>
      <c r="F2054" s="17">
        <v>41745</v>
      </c>
      <c r="G2054" s="8" t="s">
        <v>10464</v>
      </c>
      <c r="H2054" s="8" t="s">
        <v>10465</v>
      </c>
      <c r="I2054" s="8" t="s">
        <v>431</v>
      </c>
      <c r="J2054" s="16" t="s">
        <v>10466</v>
      </c>
      <c r="K2054" s="2" t="s">
        <v>712</v>
      </c>
      <c r="L2054" s="8" t="s">
        <v>7201</v>
      </c>
      <c r="M2054" s="8" t="s">
        <v>27</v>
      </c>
      <c r="N2054" s="2" t="s">
        <v>10467</v>
      </c>
      <c r="O2054" s="8" t="s">
        <v>1013</v>
      </c>
      <c r="P2054" s="8" t="s">
        <v>401</v>
      </c>
      <c r="Q2054" s="12" t="s">
        <v>10468</v>
      </c>
      <c r="R2054" s="8" t="s">
        <v>100</v>
      </c>
      <c r="S2054" s="7" t="s">
        <v>28</v>
      </c>
      <c r="T2054" s="6"/>
      <c r="U2054" s="8"/>
    </row>
    <row r="2055" spans="1:39" ht="13" customHeight="1">
      <c r="A2055" s="8" t="s">
        <v>10469</v>
      </c>
      <c r="B2055" s="16">
        <v>40</v>
      </c>
      <c r="C2055" s="8" t="s">
        <v>20</v>
      </c>
      <c r="D2055" s="8" t="s">
        <v>37</v>
      </c>
      <c r="E2055" s="8" t="s">
        <v>10470</v>
      </c>
      <c r="F2055" s="17">
        <v>41745</v>
      </c>
      <c r="G2055" s="8" t="s">
        <v>10471</v>
      </c>
      <c r="H2055" s="8" t="s">
        <v>726</v>
      </c>
      <c r="I2055" s="8" t="s">
        <v>73</v>
      </c>
      <c r="J2055" s="16" t="s">
        <v>10472</v>
      </c>
      <c r="K2055" s="2" t="s">
        <v>558</v>
      </c>
      <c r="L2055" s="8" t="s">
        <v>727</v>
      </c>
      <c r="M2055" s="8" t="s">
        <v>3169</v>
      </c>
      <c r="N2055" s="2" t="s">
        <v>10473</v>
      </c>
      <c r="O2055" s="8" t="s">
        <v>4714</v>
      </c>
      <c r="P2055" s="8" t="s">
        <v>401</v>
      </c>
      <c r="Q2055" s="12" t="s">
        <v>10474</v>
      </c>
      <c r="R2055" s="8" t="s">
        <v>29</v>
      </c>
      <c r="S2055" s="7" t="s">
        <v>18</v>
      </c>
      <c r="T2055" s="6"/>
      <c r="U2055" s="8"/>
    </row>
    <row r="2056" spans="1:39" ht="13" customHeight="1">
      <c r="A2056" s="8" t="s">
        <v>10475</v>
      </c>
      <c r="B2056" s="16">
        <v>49</v>
      </c>
      <c r="C2056" s="8" t="s">
        <v>20</v>
      </c>
      <c r="D2056" s="8" t="s">
        <v>37</v>
      </c>
      <c r="E2056" s="8" t="s">
        <v>10476</v>
      </c>
      <c r="F2056" s="17">
        <v>41745</v>
      </c>
      <c r="G2056" s="8" t="s">
        <v>10477</v>
      </c>
      <c r="H2056" s="8" t="s">
        <v>10478</v>
      </c>
      <c r="I2056" s="8" t="s">
        <v>671</v>
      </c>
      <c r="J2056" s="16" t="s">
        <v>10479</v>
      </c>
      <c r="K2056" s="2" t="s">
        <v>5575</v>
      </c>
      <c r="L2056" s="8" t="s">
        <v>10480</v>
      </c>
      <c r="M2056" s="8" t="s">
        <v>27</v>
      </c>
      <c r="N2056" s="2" t="s">
        <v>10481</v>
      </c>
      <c r="O2056" s="8" t="s">
        <v>550</v>
      </c>
      <c r="P2056" s="8" t="s">
        <v>401</v>
      </c>
      <c r="Q2056" s="12" t="s">
        <v>10482</v>
      </c>
      <c r="R2056" s="8" t="s">
        <v>100</v>
      </c>
      <c r="S2056" s="7" t="s">
        <v>28</v>
      </c>
      <c r="T2056" s="6"/>
      <c r="U2056" s="8"/>
    </row>
    <row r="2057" spans="1:39" ht="13" customHeight="1">
      <c r="A2057" s="8" t="s">
        <v>10483</v>
      </c>
      <c r="B2057" s="16">
        <v>52</v>
      </c>
      <c r="C2057" s="8" t="s">
        <v>20</v>
      </c>
      <c r="D2057" s="8" t="s">
        <v>37</v>
      </c>
      <c r="F2057" s="17">
        <v>41745</v>
      </c>
      <c r="G2057" s="8" t="s">
        <v>10484</v>
      </c>
      <c r="H2057" s="8" t="s">
        <v>10485</v>
      </c>
      <c r="I2057" s="8" t="s">
        <v>431</v>
      </c>
      <c r="J2057" s="16" t="s">
        <v>10486</v>
      </c>
      <c r="K2057" s="2" t="s">
        <v>10485</v>
      </c>
      <c r="L2057" s="8" t="s">
        <v>10487</v>
      </c>
      <c r="M2057" s="8" t="s">
        <v>27</v>
      </c>
      <c r="N2057" s="2" t="s">
        <v>10488</v>
      </c>
      <c r="O2057" s="8" t="s">
        <v>1013</v>
      </c>
      <c r="P2057" s="8" t="s">
        <v>401</v>
      </c>
      <c r="Q2057" s="12" t="s">
        <v>10489</v>
      </c>
      <c r="R2057" s="8" t="s">
        <v>29</v>
      </c>
      <c r="S2057" s="7" t="s">
        <v>18</v>
      </c>
      <c r="T2057" s="6"/>
      <c r="U2057" s="8"/>
    </row>
    <row r="2058" spans="1:39" ht="13" customHeight="1">
      <c r="A2058" s="8" t="s">
        <v>10490</v>
      </c>
      <c r="B2058" s="16">
        <v>48</v>
      </c>
      <c r="C2058" s="8" t="s">
        <v>20</v>
      </c>
      <c r="D2058" s="8" t="s">
        <v>85</v>
      </c>
      <c r="E2058" s="8" t="s">
        <v>10491</v>
      </c>
      <c r="F2058" s="17">
        <v>41744</v>
      </c>
      <c r="G2058" s="8" t="s">
        <v>10492</v>
      </c>
      <c r="H2058" s="8" t="s">
        <v>7628</v>
      </c>
      <c r="I2058" s="8" t="s">
        <v>25</v>
      </c>
      <c r="J2058" s="16" t="s">
        <v>7629</v>
      </c>
      <c r="K2058" s="2" t="s">
        <v>10493</v>
      </c>
      <c r="L2058" s="8" t="s">
        <v>10494</v>
      </c>
      <c r="M2058" s="8" t="s">
        <v>27</v>
      </c>
      <c r="N2058" s="2" t="s">
        <v>10495</v>
      </c>
      <c r="O2058" s="8" t="s">
        <v>4714</v>
      </c>
      <c r="P2058" s="8" t="s">
        <v>401</v>
      </c>
      <c r="Q2058" s="12" t="s">
        <v>10496</v>
      </c>
      <c r="R2058" s="8" t="s">
        <v>100</v>
      </c>
      <c r="S2058" s="7" t="s">
        <v>28</v>
      </c>
      <c r="T2058" s="6"/>
      <c r="U2058" s="8"/>
    </row>
    <row r="2059" spans="1:39" ht="13" customHeight="1">
      <c r="A2059" s="8" t="s">
        <v>10497</v>
      </c>
      <c r="B2059" s="16">
        <v>38</v>
      </c>
      <c r="C2059" s="8" t="s">
        <v>20</v>
      </c>
      <c r="D2059" s="8" t="s">
        <v>48</v>
      </c>
      <c r="E2059" s="8" t="s">
        <v>10498</v>
      </c>
      <c r="F2059" s="17">
        <v>41743</v>
      </c>
      <c r="G2059" s="8" t="s">
        <v>10499</v>
      </c>
      <c r="H2059" s="8" t="s">
        <v>4602</v>
      </c>
      <c r="I2059" s="8" t="s">
        <v>857</v>
      </c>
      <c r="J2059" s="16" t="s">
        <v>4603</v>
      </c>
      <c r="K2059" s="2" t="s">
        <v>4604</v>
      </c>
      <c r="L2059" s="8" t="s">
        <v>10500</v>
      </c>
      <c r="M2059" s="8" t="s">
        <v>27</v>
      </c>
      <c r="N2059" s="2" t="s">
        <v>10501</v>
      </c>
      <c r="O2059" s="8" t="s">
        <v>4714</v>
      </c>
      <c r="P2059" s="8" t="s">
        <v>401</v>
      </c>
      <c r="Q2059" s="12" t="s">
        <v>10502</v>
      </c>
      <c r="R2059" s="8" t="s">
        <v>100</v>
      </c>
      <c r="S2059" s="7" t="s">
        <v>18</v>
      </c>
      <c r="T2059" s="6"/>
      <c r="U2059" s="8"/>
    </row>
    <row r="2060" spans="1:39" ht="13" customHeight="1">
      <c r="A2060" s="8" t="s">
        <v>10503</v>
      </c>
      <c r="B2060" s="16">
        <v>45</v>
      </c>
      <c r="C2060" s="8" t="s">
        <v>20</v>
      </c>
      <c r="D2060" s="8" t="s">
        <v>30</v>
      </c>
      <c r="F2060" s="17">
        <v>41743</v>
      </c>
      <c r="G2060" s="8" t="s">
        <v>10504</v>
      </c>
      <c r="H2060" s="8" t="s">
        <v>10505</v>
      </c>
      <c r="I2060" s="8" t="s">
        <v>671</v>
      </c>
      <c r="J2060" s="16" t="s">
        <v>10506</v>
      </c>
      <c r="K2060" s="2" t="s">
        <v>10507</v>
      </c>
      <c r="L2060" s="8" t="s">
        <v>10508</v>
      </c>
      <c r="M2060" s="8" t="s">
        <v>27</v>
      </c>
      <c r="N2060" s="2" t="s">
        <v>10509</v>
      </c>
      <c r="O2060" s="8" t="s">
        <v>1013</v>
      </c>
      <c r="P2060" s="8" t="s">
        <v>401</v>
      </c>
      <c r="Q2060" s="12" t="s">
        <v>10510</v>
      </c>
      <c r="R2060" s="8" t="s">
        <v>555</v>
      </c>
      <c r="S2060" s="7" t="s">
        <v>28</v>
      </c>
      <c r="T2060" s="6"/>
      <c r="U2060" s="8"/>
    </row>
    <row r="2061" spans="1:39" ht="13" customHeight="1">
      <c r="A2061" s="8" t="s">
        <v>10511</v>
      </c>
      <c r="B2061" s="16">
        <v>24</v>
      </c>
      <c r="C2061" s="8" t="s">
        <v>20</v>
      </c>
      <c r="D2061" s="8" t="s">
        <v>37</v>
      </c>
      <c r="E2061" s="8" t="s">
        <v>10512</v>
      </c>
      <c r="F2061" s="17">
        <v>41743</v>
      </c>
      <c r="G2061" s="8" t="s">
        <v>10513</v>
      </c>
      <c r="H2061" s="8" t="s">
        <v>3593</v>
      </c>
      <c r="I2061" s="8" t="s">
        <v>62</v>
      </c>
      <c r="J2061" s="16" t="s">
        <v>7593</v>
      </c>
      <c r="K2061" s="2" t="s">
        <v>3595</v>
      </c>
      <c r="L2061" s="8" t="s">
        <v>3596</v>
      </c>
      <c r="M2061" s="8" t="s">
        <v>27</v>
      </c>
      <c r="N2061" s="2" t="s">
        <v>10514</v>
      </c>
      <c r="O2061" s="8" t="s">
        <v>1013</v>
      </c>
      <c r="P2061" s="8" t="s">
        <v>401</v>
      </c>
      <c r="Q2061" s="12" t="s">
        <v>10515</v>
      </c>
      <c r="R2061" s="8" t="s">
        <v>100</v>
      </c>
      <c r="S2061" s="7" t="s">
        <v>28</v>
      </c>
      <c r="T2061" s="6"/>
      <c r="U2061" s="8"/>
    </row>
    <row r="2062" spans="1:39" ht="13" customHeight="1">
      <c r="A2062" s="8" t="s">
        <v>10516</v>
      </c>
      <c r="B2062" s="16">
        <v>45</v>
      </c>
      <c r="C2062" s="8" t="s">
        <v>20</v>
      </c>
      <c r="D2062" s="8" t="s">
        <v>21</v>
      </c>
      <c r="F2062" s="17">
        <v>41742</v>
      </c>
      <c r="G2062" s="8" t="s">
        <v>10517</v>
      </c>
      <c r="H2062" s="8" t="s">
        <v>98</v>
      </c>
      <c r="I2062" s="8" t="s">
        <v>45</v>
      </c>
      <c r="J2062" s="16" t="s">
        <v>10518</v>
      </c>
      <c r="K2062" s="2" t="s">
        <v>98</v>
      </c>
      <c r="L2062" s="8" t="s">
        <v>99</v>
      </c>
      <c r="M2062" s="8" t="s">
        <v>27</v>
      </c>
      <c r="N2062" s="2" t="s">
        <v>10519</v>
      </c>
      <c r="O2062" s="8" t="s">
        <v>1013</v>
      </c>
      <c r="P2062" s="8" t="s">
        <v>401</v>
      </c>
      <c r="Q2062" s="12" t="s">
        <v>10520</v>
      </c>
      <c r="R2062" s="8" t="s">
        <v>29</v>
      </c>
      <c r="S2062" s="7" t="s">
        <v>28</v>
      </c>
      <c r="T2062" s="6"/>
      <c r="U2062" s="8"/>
      <c r="AI2062" s="8"/>
      <c r="AJ2062" s="8"/>
      <c r="AK2062" s="8"/>
      <c r="AL2062" s="8"/>
      <c r="AM2062" s="8"/>
    </row>
    <row r="2063" spans="1:39" ht="13" customHeight="1">
      <c r="A2063" s="8" t="s">
        <v>10521</v>
      </c>
      <c r="B2063" s="16">
        <v>20</v>
      </c>
      <c r="C2063" s="8" t="s">
        <v>20</v>
      </c>
      <c r="D2063" s="8" t="s">
        <v>85</v>
      </c>
      <c r="E2063" s="8" t="s">
        <v>10522</v>
      </c>
      <c r="F2063" s="17">
        <v>41742</v>
      </c>
      <c r="G2063" s="8" t="s">
        <v>10523</v>
      </c>
      <c r="H2063" s="8" t="s">
        <v>2301</v>
      </c>
      <c r="I2063" s="8" t="s">
        <v>44</v>
      </c>
      <c r="J2063" s="16" t="s">
        <v>2302</v>
      </c>
      <c r="K2063" s="2" t="s">
        <v>88</v>
      </c>
      <c r="L2063" s="8" t="s">
        <v>2303</v>
      </c>
      <c r="M2063" s="8" t="s">
        <v>27</v>
      </c>
      <c r="N2063" s="2" t="s">
        <v>10524</v>
      </c>
      <c r="O2063" s="8" t="s">
        <v>400</v>
      </c>
      <c r="P2063" s="8" t="s">
        <v>401</v>
      </c>
      <c r="Q2063" s="12" t="s">
        <v>10525</v>
      </c>
      <c r="R2063" s="8" t="s">
        <v>100</v>
      </c>
      <c r="S2063" s="7" t="s">
        <v>379</v>
      </c>
      <c r="T2063" s="6"/>
      <c r="U2063" s="8"/>
    </row>
    <row r="2064" spans="1:39" ht="13" customHeight="1">
      <c r="A2064" s="8" t="s">
        <v>10534</v>
      </c>
      <c r="B2064" s="16">
        <v>40</v>
      </c>
      <c r="C2064" s="8" t="s">
        <v>20</v>
      </c>
      <c r="D2064" s="8" t="s">
        <v>48</v>
      </c>
      <c r="E2064" s="8" t="s">
        <v>10535</v>
      </c>
      <c r="F2064" s="17">
        <v>41742</v>
      </c>
      <c r="G2064" s="8" t="s">
        <v>10536</v>
      </c>
      <c r="H2064" s="8" t="s">
        <v>122</v>
      </c>
      <c r="I2064" s="8" t="s">
        <v>123</v>
      </c>
      <c r="J2064" s="16" t="s">
        <v>10537</v>
      </c>
      <c r="K2064" s="2" t="s">
        <v>124</v>
      </c>
      <c r="L2064" s="8" t="s">
        <v>10538</v>
      </c>
      <c r="M2064" s="8" t="s">
        <v>27</v>
      </c>
      <c r="N2064" s="2" t="s">
        <v>10539</v>
      </c>
      <c r="O2064" s="8" t="s">
        <v>550</v>
      </c>
      <c r="P2064" s="8" t="s">
        <v>401</v>
      </c>
      <c r="Q2064" s="12" t="s">
        <v>10540</v>
      </c>
      <c r="R2064" s="8" t="s">
        <v>100</v>
      </c>
      <c r="S2064" s="7" t="s">
        <v>28</v>
      </c>
      <c r="T2064" s="6"/>
      <c r="U2064" s="8"/>
    </row>
    <row r="2065" spans="1:24" ht="13" customHeight="1">
      <c r="A2065" s="8" t="s">
        <v>10526</v>
      </c>
      <c r="B2065" s="16">
        <v>22</v>
      </c>
      <c r="C2065" s="8" t="s">
        <v>20</v>
      </c>
      <c r="D2065" s="8" t="s">
        <v>48</v>
      </c>
      <c r="E2065" s="8" t="s">
        <v>10527</v>
      </c>
      <c r="F2065" s="17">
        <v>41742</v>
      </c>
      <c r="G2065" s="8" t="s">
        <v>10528</v>
      </c>
      <c r="H2065" s="8" t="s">
        <v>10529</v>
      </c>
      <c r="I2065" s="8" t="s">
        <v>41</v>
      </c>
      <c r="J2065" s="16" t="s">
        <v>10530</v>
      </c>
      <c r="K2065" s="2" t="s">
        <v>852</v>
      </c>
      <c r="L2065" s="8" t="s">
        <v>10531</v>
      </c>
      <c r="M2065" s="8" t="s">
        <v>391</v>
      </c>
      <c r="N2065" s="2" t="s">
        <v>10532</v>
      </c>
      <c r="O2065" s="8" t="s">
        <v>550</v>
      </c>
      <c r="P2065" s="8" t="s">
        <v>401</v>
      </c>
      <c r="Q2065" s="12" t="s">
        <v>10533</v>
      </c>
      <c r="R2065" s="8" t="s">
        <v>100</v>
      </c>
      <c r="S2065" s="7" t="s">
        <v>18</v>
      </c>
      <c r="T2065" s="6"/>
      <c r="U2065" s="8"/>
    </row>
    <row r="2066" spans="1:24" ht="13" customHeight="1">
      <c r="A2066" s="8" t="s">
        <v>3267</v>
      </c>
      <c r="B2066" s="16">
        <v>53</v>
      </c>
      <c r="C2066" s="8" t="s">
        <v>114</v>
      </c>
      <c r="D2066" s="8" t="s">
        <v>30</v>
      </c>
      <c r="F2066" s="17">
        <v>41742</v>
      </c>
      <c r="G2066" s="8" t="s">
        <v>10541</v>
      </c>
      <c r="H2066" s="8" t="s">
        <v>609</v>
      </c>
      <c r="I2066" s="8" t="s">
        <v>45</v>
      </c>
      <c r="J2066" s="16" t="s">
        <v>10542</v>
      </c>
      <c r="K2066" s="2" t="s">
        <v>609</v>
      </c>
      <c r="L2066" s="8" t="s">
        <v>3376</v>
      </c>
      <c r="M2066" s="8" t="s">
        <v>27</v>
      </c>
      <c r="N2066" s="2" t="s">
        <v>10543</v>
      </c>
      <c r="O2066" s="8" t="s">
        <v>1013</v>
      </c>
      <c r="P2066" s="8" t="s">
        <v>401</v>
      </c>
      <c r="Q2066" s="12" t="s">
        <v>10544</v>
      </c>
      <c r="R2066" s="8" t="s">
        <v>555</v>
      </c>
      <c r="S2066" s="7" t="s">
        <v>28</v>
      </c>
      <c r="T2066" s="6"/>
      <c r="U2066" s="8"/>
    </row>
    <row r="2067" spans="1:24" ht="13" customHeight="1">
      <c r="A2067" s="8" t="s">
        <v>10545</v>
      </c>
      <c r="B2067" s="16">
        <v>38</v>
      </c>
      <c r="C2067" s="8" t="s">
        <v>20</v>
      </c>
      <c r="D2067" s="8" t="s">
        <v>37</v>
      </c>
      <c r="E2067" s="8" t="s">
        <v>10546</v>
      </c>
      <c r="F2067" s="17">
        <v>41742</v>
      </c>
      <c r="G2067" s="8" t="s">
        <v>10547</v>
      </c>
      <c r="H2067" s="8" t="s">
        <v>10548</v>
      </c>
      <c r="I2067" s="8" t="s">
        <v>240</v>
      </c>
      <c r="J2067" s="16" t="s">
        <v>10549</v>
      </c>
      <c r="K2067" s="2" t="s">
        <v>5037</v>
      </c>
      <c r="L2067" s="8" t="s">
        <v>10550</v>
      </c>
      <c r="M2067" s="8" t="s">
        <v>27</v>
      </c>
      <c r="N2067" s="2" t="s">
        <v>10551</v>
      </c>
      <c r="O2067" s="8" t="s">
        <v>1013</v>
      </c>
      <c r="P2067" s="8" t="s">
        <v>401</v>
      </c>
      <c r="Q2067" s="12" t="s">
        <v>10552</v>
      </c>
      <c r="R2067" s="8" t="s">
        <v>555</v>
      </c>
      <c r="S2067" s="7" t="s">
        <v>28</v>
      </c>
      <c r="T2067" s="6"/>
      <c r="U2067" s="8"/>
    </row>
    <row r="2068" spans="1:24" ht="13" customHeight="1">
      <c r="A2068" s="8" t="s">
        <v>10559</v>
      </c>
      <c r="B2068" s="16">
        <v>67</v>
      </c>
      <c r="C2068" s="8" t="s">
        <v>20</v>
      </c>
      <c r="D2068" s="8" t="s">
        <v>37</v>
      </c>
      <c r="E2068" s="8" t="s">
        <v>10560</v>
      </c>
      <c r="F2068" s="17">
        <v>41742</v>
      </c>
      <c r="G2068" s="8" t="s">
        <v>10561</v>
      </c>
      <c r="H2068" s="8" t="s">
        <v>10562</v>
      </c>
      <c r="I2068" s="8" t="s">
        <v>366</v>
      </c>
      <c r="J2068" s="16" t="s">
        <v>10563</v>
      </c>
      <c r="K2068" s="2" t="s">
        <v>10564</v>
      </c>
      <c r="L2068" s="8" t="s">
        <v>6458</v>
      </c>
      <c r="M2068" s="8" t="s">
        <v>27</v>
      </c>
      <c r="N2068" s="2" t="s">
        <v>10565</v>
      </c>
      <c r="O2068" s="8" t="s">
        <v>550</v>
      </c>
      <c r="P2068" s="8" t="s">
        <v>401</v>
      </c>
      <c r="Q2068" s="12" t="str">
        <f>HYPERLINK("http://www.wwaytv3.com/2014/04/14/updated-sbi-investigating-officer-involved-shooting-pender-county","http://www.wwaytv3.com/2014/04/14/updated-sbi-investigating-officer-involved-shooting-pender-county")</f>
        <v>http://www.wwaytv3.com/2014/04/14/updated-sbi-investigating-officer-involved-shooting-pender-county</v>
      </c>
      <c r="R2068" s="8" t="s">
        <v>100</v>
      </c>
      <c r="S2068" s="7" t="s">
        <v>28</v>
      </c>
      <c r="T2068" s="6"/>
      <c r="U2068" s="8"/>
    </row>
    <row r="2069" spans="1:24" ht="13" customHeight="1">
      <c r="A2069" s="8" t="s">
        <v>10553</v>
      </c>
      <c r="B2069" s="16">
        <v>38</v>
      </c>
      <c r="C2069" s="8" t="s">
        <v>20</v>
      </c>
      <c r="D2069" s="8" t="s">
        <v>37</v>
      </c>
      <c r="E2069" s="8" t="s">
        <v>10554</v>
      </c>
      <c r="F2069" s="17">
        <v>41742</v>
      </c>
      <c r="G2069" s="8" t="s">
        <v>10555</v>
      </c>
      <c r="H2069" s="8" t="s">
        <v>3339</v>
      </c>
      <c r="I2069" s="8" t="s">
        <v>123</v>
      </c>
      <c r="J2069" s="16" t="s">
        <v>10556</v>
      </c>
      <c r="K2069" s="2" t="s">
        <v>635</v>
      </c>
      <c r="L2069" s="8" t="s">
        <v>636</v>
      </c>
      <c r="M2069" s="8" t="s">
        <v>391</v>
      </c>
      <c r="N2069" s="2" t="s">
        <v>10557</v>
      </c>
      <c r="O2069" s="8" t="s">
        <v>1013</v>
      </c>
      <c r="P2069" s="8" t="s">
        <v>401</v>
      </c>
      <c r="Q2069" s="12" t="s">
        <v>10558</v>
      </c>
      <c r="R2069" s="8" t="s">
        <v>967</v>
      </c>
      <c r="S2069" s="7" t="s">
        <v>35</v>
      </c>
      <c r="T2069" s="6"/>
      <c r="U2069" s="8"/>
    </row>
    <row r="2070" spans="1:24" ht="13" customHeight="1">
      <c r="A2070" s="8" t="s">
        <v>10566</v>
      </c>
      <c r="B2070" s="16">
        <v>24</v>
      </c>
      <c r="C2070" s="8" t="s">
        <v>20</v>
      </c>
      <c r="D2070" s="8" t="s">
        <v>48</v>
      </c>
      <c r="E2070" s="8" t="s">
        <v>10567</v>
      </c>
      <c r="F2070" s="17">
        <v>41741</v>
      </c>
      <c r="G2070" s="8" t="s">
        <v>10568</v>
      </c>
      <c r="H2070" s="8" t="s">
        <v>6288</v>
      </c>
      <c r="I2070" s="8" t="s">
        <v>303</v>
      </c>
      <c r="J2070" s="16" t="s">
        <v>10569</v>
      </c>
      <c r="K2070" s="2" t="s">
        <v>6288</v>
      </c>
      <c r="L2070" s="8" t="s">
        <v>10570</v>
      </c>
      <c r="M2070" s="8" t="s">
        <v>27</v>
      </c>
      <c r="N2070" s="2" t="s">
        <v>10571</v>
      </c>
      <c r="O2070" s="8" t="s">
        <v>400</v>
      </c>
      <c r="P2070" s="8" t="s">
        <v>401</v>
      </c>
      <c r="Q2070" s="12" t="s">
        <v>10572</v>
      </c>
      <c r="R2070" s="8" t="s">
        <v>29</v>
      </c>
      <c r="S2070" s="7" t="s">
        <v>28</v>
      </c>
      <c r="T2070" s="6"/>
      <c r="U2070" s="8"/>
      <c r="V2070" s="8"/>
      <c r="W2070" s="8"/>
      <c r="X2070" s="8"/>
    </row>
    <row r="2071" spans="1:24" ht="13" customHeight="1">
      <c r="A2071" s="8" t="s">
        <v>10580</v>
      </c>
      <c r="B2071" s="16">
        <v>41</v>
      </c>
      <c r="C2071" s="8" t="s">
        <v>20</v>
      </c>
      <c r="D2071" s="8" t="s">
        <v>37</v>
      </c>
      <c r="F2071" s="17">
        <v>41741</v>
      </c>
      <c r="G2071" s="8" t="s">
        <v>10581</v>
      </c>
      <c r="H2071" s="8" t="s">
        <v>10582</v>
      </c>
      <c r="I2071" s="8" t="s">
        <v>315</v>
      </c>
      <c r="J2071" s="16" t="s">
        <v>10583</v>
      </c>
      <c r="K2071" s="2" t="s">
        <v>10584</v>
      </c>
      <c r="L2071" s="8" t="s">
        <v>10585</v>
      </c>
      <c r="M2071" s="8" t="s">
        <v>27</v>
      </c>
      <c r="N2071" s="2" t="s">
        <v>10586</v>
      </c>
      <c r="O2071" s="8" t="s">
        <v>550</v>
      </c>
      <c r="P2071" s="8" t="s">
        <v>401</v>
      </c>
      <c r="Q2071" s="12" t="s">
        <v>10587</v>
      </c>
      <c r="R2071" s="8" t="s">
        <v>967</v>
      </c>
      <c r="S2071" s="7" t="s">
        <v>28</v>
      </c>
      <c r="T2071" s="6"/>
      <c r="U2071" s="8"/>
    </row>
    <row r="2072" spans="1:24" ht="13" customHeight="1">
      <c r="A2072" s="8" t="s">
        <v>10573</v>
      </c>
      <c r="B2072" s="16">
        <v>66</v>
      </c>
      <c r="C2072" s="8" t="s">
        <v>20</v>
      </c>
      <c r="D2072" s="8" t="s">
        <v>37</v>
      </c>
      <c r="E2072" s="8" t="s">
        <v>10574</v>
      </c>
      <c r="F2072" s="17">
        <v>41741</v>
      </c>
      <c r="G2072" s="8" t="s">
        <v>10575</v>
      </c>
      <c r="H2072" s="8" t="s">
        <v>10576</v>
      </c>
      <c r="I2072" s="8" t="s">
        <v>4399</v>
      </c>
      <c r="J2072" s="16" t="s">
        <v>10577</v>
      </c>
      <c r="K2072" s="2" t="s">
        <v>3167</v>
      </c>
      <c r="L2072" s="8" t="s">
        <v>6535</v>
      </c>
      <c r="M2072" s="8" t="s">
        <v>27</v>
      </c>
      <c r="N2072" s="2" t="s">
        <v>10578</v>
      </c>
      <c r="O2072" s="8" t="s">
        <v>550</v>
      </c>
      <c r="P2072" s="8" t="s">
        <v>401</v>
      </c>
      <c r="Q2072" s="12" t="s">
        <v>10579</v>
      </c>
      <c r="R2072" s="8" t="s">
        <v>555</v>
      </c>
      <c r="S2072" s="7" t="s">
        <v>28</v>
      </c>
      <c r="T2072" s="6"/>
      <c r="U2072" s="8"/>
      <c r="V2072" s="8"/>
      <c r="W2072" s="8"/>
      <c r="X2072" s="8"/>
    </row>
    <row r="2073" spans="1:24" ht="13" customHeight="1">
      <c r="A2073" s="8" t="s">
        <v>10588</v>
      </c>
      <c r="B2073" s="16">
        <v>86</v>
      </c>
      <c r="C2073" s="8" t="s">
        <v>20</v>
      </c>
      <c r="D2073" s="8" t="s">
        <v>37</v>
      </c>
      <c r="F2073" s="17">
        <v>41741</v>
      </c>
      <c r="G2073" s="8" t="s">
        <v>10589</v>
      </c>
      <c r="H2073" s="8" t="s">
        <v>757</v>
      </c>
      <c r="I2073" s="8" t="s">
        <v>423</v>
      </c>
      <c r="J2073" s="16" t="s">
        <v>10590</v>
      </c>
      <c r="K2073" s="2" t="s">
        <v>2686</v>
      </c>
      <c r="L2073" s="8" t="s">
        <v>582</v>
      </c>
      <c r="M2073" s="8" t="s">
        <v>27</v>
      </c>
      <c r="N2073" s="2" t="s">
        <v>10591</v>
      </c>
      <c r="O2073" s="8" t="s">
        <v>400</v>
      </c>
      <c r="P2073" s="8" t="s">
        <v>401</v>
      </c>
      <c r="Q2073" s="12" t="s">
        <v>10592</v>
      </c>
      <c r="R2073" s="8" t="s">
        <v>100</v>
      </c>
      <c r="S2073" s="7" t="s">
        <v>28</v>
      </c>
      <c r="T2073" s="6"/>
      <c r="U2073" s="8"/>
    </row>
    <row r="2074" spans="1:24" ht="13" customHeight="1">
      <c r="A2074" s="8" t="s">
        <v>10593</v>
      </c>
      <c r="B2074" s="16">
        <v>55</v>
      </c>
      <c r="C2074" s="8" t="s">
        <v>20</v>
      </c>
      <c r="D2074" s="8" t="s">
        <v>85</v>
      </c>
      <c r="E2074" s="8" t="s">
        <v>10594</v>
      </c>
      <c r="F2074" s="17">
        <v>41740</v>
      </c>
      <c r="G2074" s="8" t="s">
        <v>10595</v>
      </c>
      <c r="H2074" s="8" t="s">
        <v>10596</v>
      </c>
      <c r="I2074" s="8" t="s">
        <v>62</v>
      </c>
      <c r="J2074" s="16" t="s">
        <v>10597</v>
      </c>
      <c r="K2074" s="2" t="s">
        <v>4218</v>
      </c>
      <c r="L2074" s="8" t="s">
        <v>10598</v>
      </c>
      <c r="M2074" s="8" t="s">
        <v>3169</v>
      </c>
      <c r="N2074" s="2" t="s">
        <v>10599</v>
      </c>
      <c r="O2074" s="8" t="s">
        <v>1790</v>
      </c>
      <c r="P2074" s="8" t="s">
        <v>1162</v>
      </c>
      <c r="Q2074" s="12" t="str">
        <f>HYPERLINK("http://www.miamiherald.com/news/local/crime/article2176191.html","http://www.miamiherald.com/news/local/crime/article2176191.html")</f>
        <v>http://www.miamiherald.com/news/local/crime/article2176191.html</v>
      </c>
      <c r="R2074" s="8" t="s">
        <v>100</v>
      </c>
      <c r="S2074" s="7" t="s">
        <v>18</v>
      </c>
      <c r="T2074" s="6"/>
      <c r="U2074" s="8"/>
    </row>
    <row r="2075" spans="1:24" ht="13" customHeight="1">
      <c r="A2075" s="8" t="s">
        <v>10605</v>
      </c>
      <c r="B2075" s="16">
        <v>24</v>
      </c>
      <c r="C2075" s="8" t="s">
        <v>20</v>
      </c>
      <c r="D2075" s="8" t="s">
        <v>85</v>
      </c>
      <c r="E2075" s="8" t="s">
        <v>10606</v>
      </c>
      <c r="F2075" s="17">
        <v>41740</v>
      </c>
      <c r="G2075" s="8" t="s">
        <v>10607</v>
      </c>
      <c r="H2075" s="8" t="s">
        <v>8270</v>
      </c>
      <c r="I2075" s="8" t="s">
        <v>173</v>
      </c>
      <c r="J2075" s="16" t="s">
        <v>10608</v>
      </c>
      <c r="K2075" s="2" t="s">
        <v>1560</v>
      </c>
      <c r="L2075" s="8" t="s">
        <v>10609</v>
      </c>
      <c r="M2075" s="8" t="s">
        <v>391</v>
      </c>
      <c r="N2075" s="2" t="s">
        <v>10610</v>
      </c>
      <c r="O2075" s="8" t="s">
        <v>1161</v>
      </c>
      <c r="P2075" s="8" t="s">
        <v>1162</v>
      </c>
      <c r="Q2075" s="12" t="s">
        <v>10611</v>
      </c>
      <c r="R2075" s="8" t="s">
        <v>100</v>
      </c>
      <c r="S2075" s="7" t="s">
        <v>18</v>
      </c>
      <c r="T2075" s="6"/>
      <c r="U2075" s="8"/>
    </row>
    <row r="2076" spans="1:24" ht="13" customHeight="1">
      <c r="A2076" s="8" t="s">
        <v>10600</v>
      </c>
      <c r="B2076" s="16">
        <v>34</v>
      </c>
      <c r="C2076" s="8" t="s">
        <v>20</v>
      </c>
      <c r="D2076" s="8" t="s">
        <v>85</v>
      </c>
      <c r="E2076" s="8" t="s">
        <v>10601</v>
      </c>
      <c r="F2076" s="17">
        <v>41740</v>
      </c>
      <c r="G2076" s="8" t="s">
        <v>10602</v>
      </c>
      <c r="H2076" s="8" t="s">
        <v>1594</v>
      </c>
      <c r="I2076" s="8" t="s">
        <v>52</v>
      </c>
      <c r="J2076" s="16" t="s">
        <v>1595</v>
      </c>
      <c r="K2076" s="2" t="s">
        <v>1596</v>
      </c>
      <c r="L2076" s="8" t="s">
        <v>405</v>
      </c>
      <c r="M2076" s="8" t="s">
        <v>27</v>
      </c>
      <c r="N2076" s="2" t="s">
        <v>10603</v>
      </c>
      <c r="O2076" s="8" t="s">
        <v>550</v>
      </c>
      <c r="P2076" s="8" t="s">
        <v>401</v>
      </c>
      <c r="Q2076" s="12" t="s">
        <v>10604</v>
      </c>
      <c r="R2076" s="8" t="s">
        <v>100</v>
      </c>
      <c r="S2076" s="7" t="s">
        <v>379</v>
      </c>
      <c r="T2076" s="6"/>
      <c r="U2076" s="8"/>
    </row>
    <row r="2077" spans="1:24" ht="13" customHeight="1">
      <c r="A2077" s="8" t="s">
        <v>10612</v>
      </c>
      <c r="B2077" s="16">
        <v>26</v>
      </c>
      <c r="C2077" s="8" t="s">
        <v>20</v>
      </c>
      <c r="D2077" s="8" t="s">
        <v>48</v>
      </c>
      <c r="F2077" s="17">
        <v>41740</v>
      </c>
      <c r="G2077" s="8" t="s">
        <v>10613</v>
      </c>
      <c r="H2077" s="8" t="s">
        <v>87</v>
      </c>
      <c r="I2077" s="8" t="s">
        <v>44</v>
      </c>
      <c r="J2077" s="16" t="s">
        <v>8358</v>
      </c>
      <c r="K2077" s="2" t="s">
        <v>88</v>
      </c>
      <c r="L2077" s="8" t="s">
        <v>89</v>
      </c>
      <c r="M2077" s="8" t="s">
        <v>379</v>
      </c>
      <c r="N2077" s="2" t="s">
        <v>10614</v>
      </c>
      <c r="O2077" s="8" t="s">
        <v>1013</v>
      </c>
      <c r="P2077" s="8" t="s">
        <v>401</v>
      </c>
      <c r="Q2077" s="12" t="s">
        <v>10615</v>
      </c>
      <c r="R2077" s="8" t="s">
        <v>100</v>
      </c>
      <c r="S2077" s="7" t="s">
        <v>379</v>
      </c>
      <c r="T2077" s="6"/>
      <c r="U2077" s="8"/>
    </row>
    <row r="2078" spans="1:24" ht="13" customHeight="1">
      <c r="A2078" s="8" t="s">
        <v>10622</v>
      </c>
      <c r="B2078" s="16">
        <v>32</v>
      </c>
      <c r="C2078" s="8" t="s">
        <v>20</v>
      </c>
      <c r="D2078" s="8" t="s">
        <v>37</v>
      </c>
      <c r="E2078" s="8" t="s">
        <v>10623</v>
      </c>
      <c r="F2078" s="17">
        <v>41740</v>
      </c>
      <c r="G2078" s="8" t="s">
        <v>10624</v>
      </c>
      <c r="H2078" s="8" t="s">
        <v>634</v>
      </c>
      <c r="I2078" s="8" t="s">
        <v>123</v>
      </c>
      <c r="J2078" s="16" t="s">
        <v>10625</v>
      </c>
      <c r="K2078" s="2" t="s">
        <v>635</v>
      </c>
      <c r="L2078" s="8" t="s">
        <v>636</v>
      </c>
      <c r="M2078" s="8" t="s">
        <v>27</v>
      </c>
      <c r="N2078" s="2" t="s">
        <v>10626</v>
      </c>
      <c r="O2078" s="8" t="s">
        <v>1013</v>
      </c>
      <c r="P2078" s="8" t="s">
        <v>401</v>
      </c>
      <c r="Q2078" s="12" t="s">
        <v>10627</v>
      </c>
      <c r="R2078" s="8" t="s">
        <v>100</v>
      </c>
      <c r="S2078" s="7" t="s">
        <v>28</v>
      </c>
      <c r="T2078" s="6"/>
      <c r="U2078" s="8"/>
      <c r="V2078" s="8"/>
      <c r="W2078" s="8"/>
      <c r="X2078" s="8"/>
    </row>
    <row r="2079" spans="1:24" ht="13" customHeight="1">
      <c r="A2079" s="8" t="s">
        <v>10628</v>
      </c>
      <c r="B2079" s="16">
        <v>45</v>
      </c>
      <c r="C2079" s="8" t="s">
        <v>20</v>
      </c>
      <c r="D2079" s="8" t="s">
        <v>37</v>
      </c>
      <c r="E2079" s="8" t="s">
        <v>10629</v>
      </c>
      <c r="F2079" s="17">
        <v>41740</v>
      </c>
      <c r="G2079" s="8" t="s">
        <v>10630</v>
      </c>
      <c r="H2079" s="8" t="s">
        <v>10631</v>
      </c>
      <c r="I2079" s="8" t="s">
        <v>173</v>
      </c>
      <c r="J2079" s="16" t="s">
        <v>10632</v>
      </c>
      <c r="K2079" s="2" t="s">
        <v>1579</v>
      </c>
      <c r="L2079" s="8" t="s">
        <v>10633</v>
      </c>
      <c r="M2079" s="8" t="s">
        <v>27</v>
      </c>
      <c r="N2079" s="2" t="s">
        <v>10634</v>
      </c>
      <c r="O2079" s="8" t="s">
        <v>550</v>
      </c>
      <c r="P2079" s="8" t="s">
        <v>401</v>
      </c>
      <c r="Q2079" s="12" t="s">
        <v>10635</v>
      </c>
      <c r="R2079" s="8" t="s">
        <v>29</v>
      </c>
      <c r="S2079" s="7" t="s">
        <v>28</v>
      </c>
      <c r="T2079" s="6"/>
      <c r="U2079" s="8"/>
      <c r="V2079" s="8"/>
      <c r="W2079" s="8"/>
      <c r="X2079" s="8"/>
    </row>
    <row r="2080" spans="1:24" ht="13" customHeight="1">
      <c r="A2080" s="8" t="s">
        <v>10616</v>
      </c>
      <c r="B2080" s="16">
        <v>53</v>
      </c>
      <c r="C2080" s="8" t="s">
        <v>20</v>
      </c>
      <c r="D2080" s="8" t="s">
        <v>37</v>
      </c>
      <c r="E2080" s="8" t="s">
        <v>10617</v>
      </c>
      <c r="F2080" s="17">
        <v>41740</v>
      </c>
      <c r="G2080" s="8" t="s">
        <v>10618</v>
      </c>
      <c r="H2080" s="8" t="s">
        <v>5472</v>
      </c>
      <c r="I2080" s="8" t="s">
        <v>62</v>
      </c>
      <c r="J2080" s="16" t="s">
        <v>10619</v>
      </c>
      <c r="K2080" s="2" t="s">
        <v>5473</v>
      </c>
      <c r="L2080" s="8" t="s">
        <v>5474</v>
      </c>
      <c r="M2080" s="8" t="s">
        <v>27</v>
      </c>
      <c r="N2080" s="2" t="s">
        <v>10620</v>
      </c>
      <c r="O2080" s="8" t="s">
        <v>1013</v>
      </c>
      <c r="P2080" s="8" t="s">
        <v>401</v>
      </c>
      <c r="Q2080" s="12" t="s">
        <v>10621</v>
      </c>
      <c r="R2080" s="8" t="s">
        <v>100</v>
      </c>
      <c r="S2080" s="7" t="s">
        <v>28</v>
      </c>
      <c r="T2080" s="6"/>
      <c r="U2080" s="8"/>
    </row>
    <row r="2081" spans="1:24" ht="13" customHeight="1">
      <c r="A2081" s="8" t="s">
        <v>10643</v>
      </c>
      <c r="B2081" s="16">
        <v>23</v>
      </c>
      <c r="C2081" s="8" t="s">
        <v>20</v>
      </c>
      <c r="D2081" s="8" t="s">
        <v>37</v>
      </c>
      <c r="F2081" s="17">
        <v>41739</v>
      </c>
      <c r="G2081" s="8" t="s">
        <v>10644</v>
      </c>
      <c r="H2081" s="8" t="s">
        <v>10645</v>
      </c>
      <c r="I2081" s="8" t="s">
        <v>45</v>
      </c>
      <c r="J2081" s="16" t="s">
        <v>10646</v>
      </c>
      <c r="K2081" s="2" t="s">
        <v>200</v>
      </c>
      <c r="L2081" s="8" t="s">
        <v>1602</v>
      </c>
      <c r="M2081" s="8" t="s">
        <v>27</v>
      </c>
      <c r="N2081" s="2" t="s">
        <v>10647</v>
      </c>
      <c r="O2081" s="8" t="s">
        <v>1013</v>
      </c>
      <c r="P2081" s="8" t="s">
        <v>401</v>
      </c>
      <c r="Q2081" s="12" t="s">
        <v>10648</v>
      </c>
      <c r="R2081" s="8" t="s">
        <v>29</v>
      </c>
      <c r="S2081" s="7" t="s">
        <v>28</v>
      </c>
      <c r="T2081" s="6"/>
      <c r="U2081" s="8"/>
    </row>
    <row r="2082" spans="1:24" ht="13" customHeight="1">
      <c r="A2082" s="8" t="s">
        <v>10649</v>
      </c>
      <c r="B2082" s="16">
        <v>30</v>
      </c>
      <c r="C2082" s="8" t="s">
        <v>20</v>
      </c>
      <c r="D2082" s="8" t="s">
        <v>37</v>
      </c>
      <c r="E2082" s="8" t="s">
        <v>10650</v>
      </c>
      <c r="F2082" s="17">
        <v>41739</v>
      </c>
      <c r="G2082" s="8" t="s">
        <v>10651</v>
      </c>
      <c r="H2082" s="8" t="s">
        <v>685</v>
      </c>
      <c r="I2082" s="8" t="s">
        <v>363</v>
      </c>
      <c r="J2082" s="16" t="s">
        <v>10652</v>
      </c>
      <c r="K2082" s="2" t="s">
        <v>686</v>
      </c>
      <c r="L2082" s="8" t="s">
        <v>687</v>
      </c>
      <c r="M2082" s="8" t="s">
        <v>27</v>
      </c>
      <c r="N2082" s="2" t="s">
        <v>10653</v>
      </c>
      <c r="O2082" s="8" t="s">
        <v>1013</v>
      </c>
      <c r="P2082" s="8" t="s">
        <v>401</v>
      </c>
      <c r="Q2082" s="12" t="str">
        <f>HYPERLINK("http://www.kansas.com/2014/04/10/3396426/man-dead-after-officer-involved.html","http://www.kansas.com/2014/04/10/3396426/man-dead-after-officer-involved.html")</f>
        <v>http://www.kansas.com/2014/04/10/3396426/man-dead-after-officer-involved.html</v>
      </c>
      <c r="R2082" s="8" t="s">
        <v>555</v>
      </c>
      <c r="S2082" s="7" t="s">
        <v>28</v>
      </c>
      <c r="T2082" s="6"/>
      <c r="U2082" s="8"/>
      <c r="V2082" s="8"/>
      <c r="W2082" s="8"/>
      <c r="X2082" s="8"/>
    </row>
    <row r="2083" spans="1:24" ht="13" customHeight="1">
      <c r="A2083" s="8" t="s">
        <v>10636</v>
      </c>
      <c r="B2083" s="16">
        <v>30</v>
      </c>
      <c r="C2083" s="8" t="s">
        <v>20</v>
      </c>
      <c r="D2083" s="8" t="s">
        <v>37</v>
      </c>
      <c r="E2083" s="8" t="s">
        <v>10637</v>
      </c>
      <c r="F2083" s="17">
        <v>41739</v>
      </c>
      <c r="G2083" s="8" t="s">
        <v>10638</v>
      </c>
      <c r="H2083" s="8" t="s">
        <v>10639</v>
      </c>
      <c r="I2083" s="8" t="s">
        <v>45</v>
      </c>
      <c r="J2083" s="16" t="s">
        <v>10640</v>
      </c>
      <c r="K2083" s="2" t="s">
        <v>98</v>
      </c>
      <c r="L2083" s="8" t="s">
        <v>414</v>
      </c>
      <c r="M2083" s="8" t="s">
        <v>27</v>
      </c>
      <c r="N2083" s="2" t="s">
        <v>10641</v>
      </c>
      <c r="O2083" s="8" t="s">
        <v>1013</v>
      </c>
      <c r="P2083" s="8" t="s">
        <v>401</v>
      </c>
      <c r="Q2083" s="12" t="s">
        <v>10642</v>
      </c>
      <c r="R2083" s="8" t="s">
        <v>100</v>
      </c>
      <c r="S2083" s="7" t="s">
        <v>18</v>
      </c>
      <c r="T2083" s="6"/>
      <c r="U2083" s="8"/>
    </row>
    <row r="2084" spans="1:24" ht="13" customHeight="1">
      <c r="A2084" s="8" t="s">
        <v>10654</v>
      </c>
      <c r="B2084" s="16">
        <v>29</v>
      </c>
      <c r="C2084" s="8" t="s">
        <v>20</v>
      </c>
      <c r="D2084" s="8" t="s">
        <v>48</v>
      </c>
      <c r="F2084" s="17">
        <v>41738</v>
      </c>
      <c r="G2084" s="8" t="s">
        <v>10655</v>
      </c>
      <c r="H2084" s="8" t="s">
        <v>3440</v>
      </c>
      <c r="I2084" s="8" t="s">
        <v>45</v>
      </c>
      <c r="J2084" s="16" t="s">
        <v>10656</v>
      </c>
      <c r="K2084" s="2" t="s">
        <v>3442</v>
      </c>
      <c r="L2084" s="8" t="s">
        <v>3443</v>
      </c>
      <c r="M2084" s="8" t="s">
        <v>27</v>
      </c>
      <c r="N2084" s="2" t="s">
        <v>10657</v>
      </c>
      <c r="O2084" s="8" t="s">
        <v>1013</v>
      </c>
      <c r="P2084" s="8" t="s">
        <v>401</v>
      </c>
      <c r="Q2084" s="12" t="s">
        <v>10658</v>
      </c>
      <c r="R2084" s="8" t="s">
        <v>100</v>
      </c>
      <c r="S2084" s="7" t="s">
        <v>28</v>
      </c>
      <c r="T2084" s="6"/>
      <c r="U2084" s="8"/>
    </row>
    <row r="2085" spans="1:24" ht="13" customHeight="1">
      <c r="A2085" s="8" t="s">
        <v>10669</v>
      </c>
      <c r="B2085" s="16">
        <v>28</v>
      </c>
      <c r="C2085" s="8" t="s">
        <v>20</v>
      </c>
      <c r="D2085" s="8" t="s">
        <v>37</v>
      </c>
      <c r="E2085" s="8" t="str">
        <f>HYPERLINK("http://www.wrhi.com/2014/04/officer-involved-shooting-in-york-county-leaves-one-man-dead-91986","http://www.wrhi.com/2014/04/officer-involved-shooting-in-york-county-leaves-one-man-dead-91986")</f>
        <v>http://www.wrhi.com/2014/04/officer-involved-shooting-in-york-county-leaves-one-man-dead-91986</v>
      </c>
      <c r="F2085" s="17">
        <v>41737</v>
      </c>
      <c r="G2085" s="8" t="s">
        <v>10670</v>
      </c>
      <c r="H2085" s="8" t="s">
        <v>10671</v>
      </c>
      <c r="I2085" s="8" t="s">
        <v>32</v>
      </c>
      <c r="J2085" s="16" t="s">
        <v>10672</v>
      </c>
      <c r="K2085" s="2" t="s">
        <v>1608</v>
      </c>
      <c r="L2085" s="8" t="s">
        <v>10673</v>
      </c>
      <c r="M2085" s="8" t="s">
        <v>27</v>
      </c>
      <c r="N2085" s="2" t="s">
        <v>10674</v>
      </c>
      <c r="O2085" s="8" t="s">
        <v>1013</v>
      </c>
      <c r="P2085" s="8" t="s">
        <v>401</v>
      </c>
      <c r="Q2085" s="12" t="str">
        <f>HYPERLINK("http://www.charlotteobserver.com/2014/04/09/4830144_experts-weigh-in-on-york-county.html#.VD2-WVewUSc","http://www.charlotteobserver.com/2014/04/09/4830144_experts-weigh-in-on-york-county.html#.VD2-WVewUSc")</f>
        <v>http://www.charlotteobserver.com/2014/04/09/4830144_experts-weigh-in-on-york-county.html#.VD2-WVewUSc</v>
      </c>
      <c r="R2085" s="8" t="s">
        <v>555</v>
      </c>
      <c r="S2085" s="7" t="s">
        <v>28</v>
      </c>
      <c r="T2085" s="6"/>
      <c r="U2085" s="8"/>
    </row>
    <row r="2086" spans="1:24" ht="13" customHeight="1">
      <c r="A2086" s="8" t="s">
        <v>10663</v>
      </c>
      <c r="B2086" s="16">
        <v>40</v>
      </c>
      <c r="C2086" s="8" t="s">
        <v>20</v>
      </c>
      <c r="D2086" s="8" t="s">
        <v>37</v>
      </c>
      <c r="E2086" s="8" t="s">
        <v>10664</v>
      </c>
      <c r="F2086" s="17">
        <v>41737</v>
      </c>
      <c r="G2086" s="8" t="s">
        <v>10665</v>
      </c>
      <c r="H2086" s="8" t="s">
        <v>657</v>
      </c>
      <c r="I2086" s="8" t="s">
        <v>269</v>
      </c>
      <c r="J2086" s="16" t="s">
        <v>10666</v>
      </c>
      <c r="K2086" s="2" t="s">
        <v>570</v>
      </c>
      <c r="L2086" s="8" t="s">
        <v>571</v>
      </c>
      <c r="M2086" s="8" t="s">
        <v>27</v>
      </c>
      <c r="N2086" s="2" t="s">
        <v>10667</v>
      </c>
      <c r="O2086" s="8" t="s">
        <v>1013</v>
      </c>
      <c r="P2086" s="8" t="s">
        <v>401</v>
      </c>
      <c r="Q2086" s="12" t="s">
        <v>10668</v>
      </c>
      <c r="R2086" s="8" t="s">
        <v>555</v>
      </c>
      <c r="S2086" s="7" t="s">
        <v>28</v>
      </c>
      <c r="T2086" s="6"/>
      <c r="U2086" s="8"/>
    </row>
    <row r="2087" spans="1:24" ht="13" customHeight="1">
      <c r="A2087" s="8" t="s">
        <v>10659</v>
      </c>
      <c r="B2087" s="16">
        <v>66</v>
      </c>
      <c r="C2087" s="8" t="s">
        <v>20</v>
      </c>
      <c r="D2087" s="8" t="s">
        <v>37</v>
      </c>
      <c r="F2087" s="17">
        <v>41737</v>
      </c>
      <c r="G2087" s="8" t="s">
        <v>10660</v>
      </c>
      <c r="H2087" s="8" t="s">
        <v>5265</v>
      </c>
      <c r="I2087" s="8" t="s">
        <v>62</v>
      </c>
      <c r="J2087" s="16" t="s">
        <v>2406</v>
      </c>
      <c r="K2087" s="2" t="s">
        <v>2407</v>
      </c>
      <c r="L2087" s="8" t="s">
        <v>5524</v>
      </c>
      <c r="M2087" s="8" t="s">
        <v>27</v>
      </c>
      <c r="N2087" s="2" t="s">
        <v>10661</v>
      </c>
      <c r="O2087" s="8" t="s">
        <v>1013</v>
      </c>
      <c r="P2087" s="8" t="s">
        <v>401</v>
      </c>
      <c r="Q2087" s="12" t="s">
        <v>10662</v>
      </c>
      <c r="R2087" s="8" t="s">
        <v>100</v>
      </c>
      <c r="S2087" s="7" t="s">
        <v>28</v>
      </c>
      <c r="T2087" s="6"/>
      <c r="U2087" s="8"/>
    </row>
    <row r="2088" spans="1:24" ht="13" customHeight="1">
      <c r="A2088" s="8" t="s">
        <v>10675</v>
      </c>
      <c r="B2088" s="16">
        <v>29</v>
      </c>
      <c r="C2088" s="8" t="s">
        <v>20</v>
      </c>
      <c r="D2088" s="8" t="s">
        <v>85</v>
      </c>
      <c r="E2088" s="8" t="s">
        <v>10676</v>
      </c>
      <c r="F2088" s="17">
        <v>41736</v>
      </c>
      <c r="G2088" s="8" t="s">
        <v>10677</v>
      </c>
      <c r="H2088" s="8" t="s">
        <v>98</v>
      </c>
      <c r="I2088" s="8" t="s">
        <v>45</v>
      </c>
      <c r="J2088" s="16" t="s">
        <v>10678</v>
      </c>
      <c r="K2088" s="2" t="s">
        <v>98</v>
      </c>
      <c r="L2088" s="8" t="s">
        <v>99</v>
      </c>
      <c r="M2088" s="8" t="s">
        <v>27</v>
      </c>
      <c r="N2088" s="2" t="s">
        <v>10679</v>
      </c>
      <c r="O2088" s="8" t="s">
        <v>1013</v>
      </c>
      <c r="P2088" s="8" t="s">
        <v>401</v>
      </c>
      <c r="Q2088" s="12" t="s">
        <v>10680</v>
      </c>
      <c r="R2088" s="8" t="s">
        <v>29</v>
      </c>
      <c r="S2088" s="7" t="s">
        <v>28</v>
      </c>
      <c r="T2088" s="6"/>
      <c r="U2088" s="8"/>
    </row>
    <row r="2089" spans="1:24" ht="13" customHeight="1">
      <c r="A2089" s="8" t="s">
        <v>10681</v>
      </c>
      <c r="B2089" s="16">
        <v>31</v>
      </c>
      <c r="C2089" s="8" t="s">
        <v>20</v>
      </c>
      <c r="D2089" s="8" t="s">
        <v>85</v>
      </c>
      <c r="E2089" s="8" t="s">
        <v>10682</v>
      </c>
      <c r="F2089" s="17">
        <v>41736</v>
      </c>
      <c r="G2089" s="8" t="s">
        <v>10683</v>
      </c>
      <c r="H2089" s="8" t="s">
        <v>61</v>
      </c>
      <c r="I2089" s="8" t="s">
        <v>62</v>
      </c>
      <c r="J2089" s="16" t="s">
        <v>10684</v>
      </c>
      <c r="K2089" s="2" t="s">
        <v>5354</v>
      </c>
      <c r="L2089" s="8" t="s">
        <v>63</v>
      </c>
      <c r="M2089" s="8" t="s">
        <v>27</v>
      </c>
      <c r="N2089" s="2" t="s">
        <v>10685</v>
      </c>
      <c r="O2089" s="8" t="s">
        <v>550</v>
      </c>
      <c r="P2089" s="8" t="s">
        <v>401</v>
      </c>
      <c r="Q2089" s="12" t="str">
        <f>HYPERLINK("http://www.palmbeachpost.com/news/news/pbso-investigating-officer-involved-shooting-in-su/nfTT5/","http://www.palmbeachpost.com/news/news/pbso-investigating-officer-involved-shooting-in-su/nfTT5/")</f>
        <v>http://www.palmbeachpost.com/news/news/pbso-investigating-officer-involved-shooting-in-su/nfTT5/</v>
      </c>
      <c r="R2089" s="8" t="s">
        <v>100</v>
      </c>
      <c r="S2089" s="7" t="s">
        <v>28</v>
      </c>
      <c r="T2089" s="6"/>
      <c r="U2089" s="8"/>
    </row>
    <row r="2090" spans="1:24" ht="13" customHeight="1">
      <c r="A2090" s="8" t="s">
        <v>10686</v>
      </c>
      <c r="B2090" s="16">
        <v>21</v>
      </c>
      <c r="C2090" s="8" t="s">
        <v>20</v>
      </c>
      <c r="D2090" s="8" t="s">
        <v>48</v>
      </c>
      <c r="E2090" s="8" t="s">
        <v>10687</v>
      </c>
      <c r="F2090" s="17">
        <v>41736</v>
      </c>
      <c r="G2090" s="8" t="s">
        <v>10688</v>
      </c>
      <c r="H2090" s="8" t="s">
        <v>87</v>
      </c>
      <c r="I2090" s="8" t="s">
        <v>44</v>
      </c>
      <c r="J2090" s="16" t="s">
        <v>8507</v>
      </c>
      <c r="K2090" s="2" t="s">
        <v>88</v>
      </c>
      <c r="L2090" s="8" t="s">
        <v>89</v>
      </c>
      <c r="M2090" s="8" t="s">
        <v>27</v>
      </c>
      <c r="N2090" s="2" t="s">
        <v>10689</v>
      </c>
      <c r="O2090" s="8" t="s">
        <v>400</v>
      </c>
      <c r="P2090" s="8" t="s">
        <v>401</v>
      </c>
      <c r="Q2090" s="12" t="s">
        <v>10690</v>
      </c>
      <c r="R2090" s="8" t="s">
        <v>100</v>
      </c>
      <c r="S2090" s="7" t="s">
        <v>28</v>
      </c>
      <c r="T2090" s="6"/>
      <c r="U2090" s="8"/>
    </row>
    <row r="2091" spans="1:24" ht="13" customHeight="1">
      <c r="A2091" s="8" t="s">
        <v>3267</v>
      </c>
      <c r="B2091" s="16">
        <v>24</v>
      </c>
      <c r="C2091" s="8" t="s">
        <v>20</v>
      </c>
      <c r="D2091" s="8" t="s">
        <v>30</v>
      </c>
      <c r="F2091" s="17">
        <v>41736</v>
      </c>
      <c r="G2091" s="8" t="s">
        <v>10691</v>
      </c>
      <c r="H2091" s="8" t="s">
        <v>896</v>
      </c>
      <c r="I2091" s="8" t="s">
        <v>45</v>
      </c>
      <c r="J2091" s="16" t="s">
        <v>10692</v>
      </c>
      <c r="K2091" s="2" t="s">
        <v>156</v>
      </c>
      <c r="L2091" s="8" t="s">
        <v>10693</v>
      </c>
      <c r="M2091" s="8" t="s">
        <v>27</v>
      </c>
      <c r="N2091" s="2" t="s">
        <v>10694</v>
      </c>
      <c r="O2091" s="8" t="s">
        <v>1013</v>
      </c>
      <c r="P2091" s="8" t="s">
        <v>401</v>
      </c>
      <c r="Q2091" s="12" t="s">
        <v>10695</v>
      </c>
      <c r="R2091" s="8" t="s">
        <v>100</v>
      </c>
      <c r="S2091" s="7" t="s">
        <v>28</v>
      </c>
      <c r="T2091" s="6"/>
      <c r="U2091" s="8"/>
    </row>
    <row r="2092" spans="1:24" ht="13" customHeight="1">
      <c r="A2092" s="8" t="s">
        <v>10696</v>
      </c>
      <c r="B2092" s="16">
        <v>36</v>
      </c>
      <c r="C2092" s="8" t="s">
        <v>20</v>
      </c>
      <c r="D2092" s="8" t="s">
        <v>37</v>
      </c>
      <c r="E2092" s="8" t="s">
        <v>10697</v>
      </c>
      <c r="F2092" s="17">
        <v>41736</v>
      </c>
      <c r="G2092" s="8" t="s">
        <v>10698</v>
      </c>
      <c r="H2092" s="8" t="s">
        <v>10699</v>
      </c>
      <c r="I2092" s="8" t="s">
        <v>44</v>
      </c>
      <c r="J2092" s="16" t="s">
        <v>10700</v>
      </c>
      <c r="K2092" s="2" t="s">
        <v>1259</v>
      </c>
      <c r="L2092" s="8" t="s">
        <v>10701</v>
      </c>
      <c r="M2092" s="8" t="s">
        <v>27</v>
      </c>
      <c r="N2092" s="2" t="s">
        <v>10702</v>
      </c>
      <c r="O2092" s="8" t="s">
        <v>550</v>
      </c>
      <c r="P2092" s="8" t="s">
        <v>401</v>
      </c>
      <c r="Q2092" s="12" t="s">
        <v>10703</v>
      </c>
      <c r="R2092" s="8" t="s">
        <v>100</v>
      </c>
      <c r="S2092" s="7" t="s">
        <v>28</v>
      </c>
      <c r="T2092" s="6"/>
      <c r="U2092" s="8"/>
    </row>
    <row r="2093" spans="1:24" ht="13" customHeight="1">
      <c r="A2093" s="8" t="s">
        <v>10704</v>
      </c>
      <c r="B2093" s="16">
        <v>33</v>
      </c>
      <c r="C2093" s="8" t="s">
        <v>20</v>
      </c>
      <c r="D2093" s="8" t="s">
        <v>30</v>
      </c>
      <c r="F2093" s="17">
        <v>41735</v>
      </c>
      <c r="G2093" s="8" t="s">
        <v>10705</v>
      </c>
      <c r="H2093" s="8" t="s">
        <v>118</v>
      </c>
      <c r="I2093" s="8" t="s">
        <v>3685</v>
      </c>
      <c r="J2093" s="16" t="s">
        <v>10706</v>
      </c>
      <c r="K2093" s="2" t="s">
        <v>3687</v>
      </c>
      <c r="L2093" s="8" t="s">
        <v>19723</v>
      </c>
      <c r="M2093" s="8" t="s">
        <v>27</v>
      </c>
      <c r="N2093" s="2" t="s">
        <v>10707</v>
      </c>
      <c r="O2093" s="8" t="s">
        <v>1013</v>
      </c>
      <c r="P2093" s="8" t="s">
        <v>401</v>
      </c>
      <c r="Q2093" s="12" t="s">
        <v>10708</v>
      </c>
      <c r="R2093" s="8" t="s">
        <v>100</v>
      </c>
      <c r="S2093" s="7" t="s">
        <v>28</v>
      </c>
      <c r="T2093" s="6"/>
      <c r="U2093" s="8"/>
    </row>
    <row r="2094" spans="1:24" ht="13" customHeight="1">
      <c r="A2094" s="8" t="s">
        <v>10721</v>
      </c>
      <c r="B2094" s="16">
        <v>23</v>
      </c>
      <c r="C2094" s="8" t="s">
        <v>20</v>
      </c>
      <c r="D2094" s="8" t="s">
        <v>37</v>
      </c>
      <c r="E2094" s="8" t="s">
        <v>10722</v>
      </c>
      <c r="F2094" s="17">
        <v>41735</v>
      </c>
      <c r="G2094" s="8" t="s">
        <v>10723</v>
      </c>
      <c r="H2094" s="8" t="s">
        <v>252</v>
      </c>
      <c r="I2094" s="8" t="s">
        <v>217</v>
      </c>
      <c r="J2094" s="16" t="s">
        <v>10724</v>
      </c>
      <c r="K2094" s="2" t="s">
        <v>2165</v>
      </c>
      <c r="L2094" s="8" t="s">
        <v>10725</v>
      </c>
      <c r="M2094" s="8" t="s">
        <v>379</v>
      </c>
      <c r="N2094" s="2" t="s">
        <v>10726</v>
      </c>
      <c r="O2094" s="8" t="s">
        <v>1161</v>
      </c>
      <c r="P2094" s="8" t="s">
        <v>1162</v>
      </c>
      <c r="Q2094" s="12" t="s">
        <v>10727</v>
      </c>
      <c r="R2094" s="8" t="s">
        <v>100</v>
      </c>
      <c r="S2094" s="7" t="s">
        <v>18</v>
      </c>
      <c r="T2094" s="6"/>
      <c r="U2094" s="8"/>
    </row>
    <row r="2095" spans="1:24" ht="13" customHeight="1">
      <c r="A2095" s="8" t="s">
        <v>10715</v>
      </c>
      <c r="B2095" s="16">
        <v>34</v>
      </c>
      <c r="C2095" s="8" t="s">
        <v>20</v>
      </c>
      <c r="D2095" s="8" t="s">
        <v>37</v>
      </c>
      <c r="E2095" s="8" t="s">
        <v>10716</v>
      </c>
      <c r="F2095" s="17">
        <v>41735</v>
      </c>
      <c r="G2095" s="8" t="s">
        <v>10717</v>
      </c>
      <c r="H2095" s="8" t="s">
        <v>10718</v>
      </c>
      <c r="I2095" s="8" t="s">
        <v>73</v>
      </c>
      <c r="J2095" s="16" t="s">
        <v>10719</v>
      </c>
      <c r="K2095" s="2" t="s">
        <v>1059</v>
      </c>
      <c r="L2095" s="8" t="s">
        <v>9760</v>
      </c>
      <c r="M2095" s="8" t="s">
        <v>27</v>
      </c>
      <c r="N2095" s="2" t="s">
        <v>10720</v>
      </c>
      <c r="O2095" s="8" t="s">
        <v>1013</v>
      </c>
      <c r="P2095" s="8" t="s">
        <v>401</v>
      </c>
      <c r="Q2095" s="12" t="str">
        <f>HYPERLINK("http://www.click2houston.com/news/man-killed-after-pulling-gun-on-deputies-serving-warrant/25349872","http://www.click2houston.com/news/man-killed-after-pulling-gun-on-deputies-serving-warrant/25349872")</f>
        <v>http://www.click2houston.com/news/man-killed-after-pulling-gun-on-deputies-serving-warrant/25349872</v>
      </c>
      <c r="R2095" s="8" t="s">
        <v>100</v>
      </c>
      <c r="S2095" s="7" t="s">
        <v>28</v>
      </c>
      <c r="T2095" s="6"/>
      <c r="U2095" s="8"/>
    </row>
    <row r="2096" spans="1:24" ht="13" customHeight="1">
      <c r="A2096" s="8" t="s">
        <v>10709</v>
      </c>
      <c r="B2096" s="16">
        <v>48</v>
      </c>
      <c r="C2096" s="8" t="s">
        <v>20</v>
      </c>
      <c r="D2096" s="8" t="s">
        <v>37</v>
      </c>
      <c r="F2096" s="17">
        <v>41735</v>
      </c>
      <c r="G2096" s="8" t="s">
        <v>10710</v>
      </c>
      <c r="H2096" s="8" t="s">
        <v>2990</v>
      </c>
      <c r="I2096" s="8" t="s">
        <v>45</v>
      </c>
      <c r="J2096" s="16" t="s">
        <v>10711</v>
      </c>
      <c r="K2096" s="2" t="s">
        <v>2680</v>
      </c>
      <c r="L2096" s="8" t="s">
        <v>10712</v>
      </c>
      <c r="M2096" s="8" t="s">
        <v>14474</v>
      </c>
      <c r="N2096" s="2" t="s">
        <v>10713</v>
      </c>
      <c r="O2096" s="8" t="s">
        <v>1013</v>
      </c>
      <c r="P2096" s="8" t="s">
        <v>401</v>
      </c>
      <c r="Q2096" s="12" t="s">
        <v>10714</v>
      </c>
      <c r="R2096" s="8" t="s">
        <v>100</v>
      </c>
      <c r="S2096" s="7" t="s">
        <v>18</v>
      </c>
      <c r="T2096" s="6"/>
      <c r="U2096" s="8"/>
    </row>
    <row r="2097" spans="1:21" ht="13" customHeight="1">
      <c r="A2097" s="8" t="s">
        <v>10734</v>
      </c>
      <c r="B2097" s="16">
        <v>24</v>
      </c>
      <c r="C2097" s="8" t="s">
        <v>20</v>
      </c>
      <c r="D2097" s="8" t="s">
        <v>85</v>
      </c>
      <c r="E2097" s="8" t="s">
        <v>10735</v>
      </c>
      <c r="F2097" s="17">
        <v>41734</v>
      </c>
      <c r="G2097" s="8" t="s">
        <v>10736</v>
      </c>
      <c r="H2097" s="8" t="s">
        <v>761</v>
      </c>
      <c r="I2097" s="8" t="s">
        <v>52</v>
      </c>
      <c r="J2097" s="16" t="s">
        <v>10737</v>
      </c>
      <c r="K2097" s="2" t="s">
        <v>2387</v>
      </c>
      <c r="L2097" s="8" t="s">
        <v>762</v>
      </c>
      <c r="M2097" s="8" t="s">
        <v>27</v>
      </c>
      <c r="N2097" s="2" t="s">
        <v>10738</v>
      </c>
      <c r="O2097" s="8" t="s">
        <v>1013</v>
      </c>
      <c r="P2097" s="8" t="s">
        <v>401</v>
      </c>
      <c r="Q2097" s="12" t="str">
        <f>HYPERLINK("http://www.washingtonpost.com/local/crime/man-killed-in-police-shooting-in-prince-georges-county/2014/04/05/114eb076-bcc3-11e3-b195-dd0c1174052c_allComments.html?ctab=all","http://www.washingtonpost.com/local/crime/man-killed-in-police-shooting-in-prince-georges-county/2014/04/05/114eb076-bcc3-11e3-b195-dd0c1174052c_allComments.html?ctab=all")</f>
        <v>http://www.washingtonpost.com/local/crime/man-killed-in-police-shooting-in-prince-georges-county/2014/04/05/114eb076-bcc3-11e3-b195-dd0c1174052c_allComments.html?ctab=all</v>
      </c>
      <c r="R2097" s="8" t="s">
        <v>100</v>
      </c>
      <c r="S2097" s="7" t="s">
        <v>28</v>
      </c>
      <c r="T2097" s="6"/>
      <c r="U2097" s="8"/>
    </row>
    <row r="2098" spans="1:21" ht="13" customHeight="1">
      <c r="A2098" s="8" t="s">
        <v>10728</v>
      </c>
      <c r="B2098" s="16">
        <v>38</v>
      </c>
      <c r="C2098" s="8" t="s">
        <v>20</v>
      </c>
      <c r="D2098" s="8" t="s">
        <v>85</v>
      </c>
      <c r="E2098" s="8" t="s">
        <v>10729</v>
      </c>
      <c r="F2098" s="17">
        <v>41734</v>
      </c>
      <c r="G2098" s="8" t="s">
        <v>10730</v>
      </c>
      <c r="H2098" s="8" t="s">
        <v>1701</v>
      </c>
      <c r="I2098" s="8" t="s">
        <v>46</v>
      </c>
      <c r="J2098" s="16" t="s">
        <v>10731</v>
      </c>
      <c r="K2098" s="2" t="s">
        <v>1703</v>
      </c>
      <c r="L2098" s="8" t="s">
        <v>3245</v>
      </c>
      <c r="M2098" s="8" t="s">
        <v>27</v>
      </c>
      <c r="N2098" s="2" t="s">
        <v>10732</v>
      </c>
      <c r="O2098" s="8" t="s">
        <v>29</v>
      </c>
      <c r="P2098" s="8" t="s">
        <v>401</v>
      </c>
      <c r="Q2098" s="12" t="s">
        <v>10733</v>
      </c>
      <c r="R2098" s="8" t="s">
        <v>100</v>
      </c>
      <c r="S2098" s="7" t="s">
        <v>28</v>
      </c>
      <c r="T2098" s="6"/>
      <c r="U2098" s="8"/>
    </row>
    <row r="2099" spans="1:21" ht="13" customHeight="1">
      <c r="A2099" s="8" t="s">
        <v>10739</v>
      </c>
      <c r="B2099" s="16">
        <v>24</v>
      </c>
      <c r="C2099" s="8" t="s">
        <v>20</v>
      </c>
      <c r="D2099" s="8" t="s">
        <v>48</v>
      </c>
      <c r="F2099" s="17">
        <v>41733</v>
      </c>
      <c r="G2099" s="8" t="s">
        <v>10740</v>
      </c>
      <c r="H2099" s="8" t="s">
        <v>98</v>
      </c>
      <c r="I2099" s="8" t="s">
        <v>45</v>
      </c>
      <c r="J2099" s="16" t="s">
        <v>10741</v>
      </c>
      <c r="K2099" s="2" t="s">
        <v>98</v>
      </c>
      <c r="L2099" s="8" t="s">
        <v>99</v>
      </c>
      <c r="M2099" s="8" t="s">
        <v>27</v>
      </c>
      <c r="N2099" s="2" t="s">
        <v>10742</v>
      </c>
      <c r="O2099" s="8" t="s">
        <v>1013</v>
      </c>
      <c r="P2099" s="8" t="s">
        <v>401</v>
      </c>
      <c r="Q2099" s="12" t="s">
        <v>10743</v>
      </c>
      <c r="R2099" s="8" t="s">
        <v>555</v>
      </c>
      <c r="S2099" s="7" t="s">
        <v>28</v>
      </c>
      <c r="T2099" s="6"/>
      <c r="U2099" s="8"/>
    </row>
    <row r="2100" spans="1:21" ht="13" customHeight="1">
      <c r="A2100" s="8" t="s">
        <v>10744</v>
      </c>
      <c r="B2100" s="16">
        <v>35</v>
      </c>
      <c r="C2100" s="8" t="s">
        <v>20</v>
      </c>
      <c r="D2100" s="8" t="s">
        <v>48</v>
      </c>
      <c r="F2100" s="17">
        <v>41733</v>
      </c>
      <c r="G2100" s="8" t="s">
        <v>10745</v>
      </c>
      <c r="H2100" s="8" t="s">
        <v>10746</v>
      </c>
      <c r="I2100" s="8" t="s">
        <v>10747</v>
      </c>
      <c r="J2100" s="16" t="s">
        <v>10748</v>
      </c>
      <c r="K2100" s="2" t="s">
        <v>10576</v>
      </c>
      <c r="L2100" s="8" t="s">
        <v>10749</v>
      </c>
      <c r="M2100" s="8" t="s">
        <v>27</v>
      </c>
      <c r="N2100" s="2" t="s">
        <v>10750</v>
      </c>
      <c r="O2100" s="8" t="s">
        <v>29</v>
      </c>
      <c r="P2100" s="8" t="s">
        <v>401</v>
      </c>
      <c r="Q2100" s="12" t="s">
        <v>10751</v>
      </c>
      <c r="R2100" s="8" t="s">
        <v>100</v>
      </c>
      <c r="S2100" s="7" t="s">
        <v>28</v>
      </c>
      <c r="T2100" s="6"/>
      <c r="U2100" s="8"/>
    </row>
    <row r="2101" spans="1:21" ht="13" customHeight="1">
      <c r="A2101" s="8" t="s">
        <v>10752</v>
      </c>
      <c r="B2101" s="16">
        <v>26</v>
      </c>
      <c r="C2101" s="8" t="s">
        <v>20</v>
      </c>
      <c r="D2101" s="8" t="s">
        <v>37</v>
      </c>
      <c r="E2101" s="8" t="s">
        <v>10753</v>
      </c>
      <c r="F2101" s="17">
        <v>41733</v>
      </c>
      <c r="G2101" s="8" t="s">
        <v>10754</v>
      </c>
      <c r="H2101" s="8" t="s">
        <v>285</v>
      </c>
      <c r="I2101" s="8" t="s">
        <v>73</v>
      </c>
      <c r="J2101" s="16" t="s">
        <v>10755</v>
      </c>
      <c r="K2101" s="2" t="s">
        <v>285</v>
      </c>
      <c r="L2101" s="8" t="s">
        <v>286</v>
      </c>
      <c r="M2101" s="8" t="s">
        <v>27</v>
      </c>
      <c r="N2101" s="2" t="s">
        <v>10756</v>
      </c>
      <c r="O2101" s="8" t="s">
        <v>1013</v>
      </c>
      <c r="P2101" s="8" t="s">
        <v>401</v>
      </c>
      <c r="Q2101" s="12" t="s">
        <v>10757</v>
      </c>
      <c r="R2101" s="8" t="s">
        <v>100</v>
      </c>
      <c r="S2101" s="7" t="s">
        <v>28</v>
      </c>
      <c r="T2101" s="6"/>
      <c r="U2101" s="8"/>
    </row>
    <row r="2102" spans="1:21" ht="13" customHeight="1">
      <c r="A2102" s="8" t="s">
        <v>10758</v>
      </c>
      <c r="B2102" s="16">
        <v>52</v>
      </c>
      <c r="C2102" s="8" t="s">
        <v>20</v>
      </c>
      <c r="D2102" s="8" t="s">
        <v>37</v>
      </c>
      <c r="E2102" s="8" t="s">
        <v>10759</v>
      </c>
      <c r="F2102" s="17">
        <v>41733</v>
      </c>
      <c r="G2102" s="8" t="s">
        <v>10760</v>
      </c>
      <c r="H2102" s="8" t="s">
        <v>2163</v>
      </c>
      <c r="I2102" s="8" t="s">
        <v>94</v>
      </c>
      <c r="J2102" s="16" t="s">
        <v>6852</v>
      </c>
      <c r="K2102" s="2" t="s">
        <v>2165</v>
      </c>
      <c r="L2102" s="8" t="s">
        <v>2166</v>
      </c>
      <c r="M2102" s="8" t="s">
        <v>27</v>
      </c>
      <c r="N2102" s="2" t="s">
        <v>10761</v>
      </c>
      <c r="O2102" s="8" t="s">
        <v>1013</v>
      </c>
      <c r="P2102" s="8" t="s">
        <v>401</v>
      </c>
      <c r="Q2102" s="12" t="str">
        <f>HYPERLINK("http://whnt.com/2014/04/04/breaking-huntsville-police-confirm-officer-shot-residents-being-evacuated/","http://whnt.com/2014/04/04/breaking-huntsville-police-confirm-officer-shot-residents-being-evacuated/")</f>
        <v>http://whnt.com/2014/04/04/breaking-huntsville-police-confirm-officer-shot-residents-being-evacuated/</v>
      </c>
      <c r="R2102" s="8" t="s">
        <v>100</v>
      </c>
      <c r="S2102" s="7" t="s">
        <v>28</v>
      </c>
      <c r="T2102" s="6"/>
      <c r="U2102" s="8"/>
    </row>
    <row r="2103" spans="1:21" ht="13" customHeight="1">
      <c r="A2103" s="8" t="s">
        <v>10762</v>
      </c>
      <c r="B2103" s="16">
        <v>45</v>
      </c>
      <c r="C2103" s="8" t="s">
        <v>20</v>
      </c>
      <c r="D2103" s="8" t="s">
        <v>85</v>
      </c>
      <c r="E2103" s="8" t="s">
        <v>10763</v>
      </c>
      <c r="F2103" s="17">
        <v>41732</v>
      </c>
      <c r="G2103" s="8" t="s">
        <v>10764</v>
      </c>
      <c r="H2103" s="8" t="s">
        <v>5446</v>
      </c>
      <c r="I2103" s="8" t="s">
        <v>319</v>
      </c>
      <c r="J2103" s="16" t="s">
        <v>7036</v>
      </c>
      <c r="K2103" s="2" t="s">
        <v>10765</v>
      </c>
      <c r="L2103" s="8" t="s">
        <v>10766</v>
      </c>
      <c r="M2103" s="8" t="s">
        <v>3386</v>
      </c>
      <c r="N2103" s="2" t="s">
        <v>10767</v>
      </c>
      <c r="O2103" s="8" t="s">
        <v>1013</v>
      </c>
      <c r="P2103" s="8" t="s">
        <v>401</v>
      </c>
      <c r="Q2103" s="12" t="s">
        <v>10768</v>
      </c>
      <c r="R2103" s="8" t="s">
        <v>967</v>
      </c>
      <c r="S2103" s="7" t="s">
        <v>18</v>
      </c>
      <c r="T2103" s="6"/>
      <c r="U2103" s="8"/>
    </row>
    <row r="2104" spans="1:21" ht="13" customHeight="1">
      <c r="A2104" s="8" t="s">
        <v>10769</v>
      </c>
      <c r="B2104" s="16">
        <v>28</v>
      </c>
      <c r="C2104" s="8" t="s">
        <v>114</v>
      </c>
      <c r="D2104" s="8" t="s">
        <v>30</v>
      </c>
      <c r="F2104" s="17">
        <v>41732</v>
      </c>
      <c r="G2104" s="8" t="s">
        <v>10770</v>
      </c>
      <c r="H2104" s="8" t="s">
        <v>2833</v>
      </c>
      <c r="I2104" s="8" t="s">
        <v>52</v>
      </c>
      <c r="J2104" s="16" t="s">
        <v>2834</v>
      </c>
      <c r="K2104" s="2" t="s">
        <v>118</v>
      </c>
      <c r="L2104" s="8" t="s">
        <v>10771</v>
      </c>
      <c r="M2104" s="8" t="s">
        <v>379</v>
      </c>
      <c r="N2104" s="2" t="s">
        <v>10772</v>
      </c>
      <c r="O2104" s="8" t="s">
        <v>3400</v>
      </c>
      <c r="P2104" s="8" t="s">
        <v>401</v>
      </c>
      <c r="Q2104" s="12" t="s">
        <v>10773</v>
      </c>
      <c r="R2104" s="8" t="s">
        <v>100</v>
      </c>
      <c r="S2104" s="7" t="s">
        <v>18</v>
      </c>
      <c r="T2104" s="6"/>
      <c r="U2104" s="8"/>
    </row>
    <row r="2105" spans="1:21" ht="13" customHeight="1">
      <c r="A2105" s="8" t="s">
        <v>10775</v>
      </c>
      <c r="B2105" s="16">
        <v>26</v>
      </c>
      <c r="C2105" s="8" t="s">
        <v>20</v>
      </c>
      <c r="D2105" s="8" t="s">
        <v>37</v>
      </c>
      <c r="E2105" s="8" t="s">
        <v>10776</v>
      </c>
      <c r="F2105" s="17">
        <v>41732</v>
      </c>
      <c r="G2105" s="8" t="s">
        <v>10777</v>
      </c>
      <c r="H2105" s="8" t="s">
        <v>1211</v>
      </c>
      <c r="I2105" s="8" t="s">
        <v>303</v>
      </c>
      <c r="J2105" s="16" t="s">
        <v>10778</v>
      </c>
      <c r="K2105" s="2" t="s">
        <v>1212</v>
      </c>
      <c r="L2105" s="8" t="s">
        <v>1213</v>
      </c>
      <c r="M2105" s="8" t="s">
        <v>27</v>
      </c>
      <c r="N2105" s="2" t="s">
        <v>10779</v>
      </c>
      <c r="O2105" s="8" t="s">
        <v>1013</v>
      </c>
      <c r="P2105" s="8" t="s">
        <v>401</v>
      </c>
      <c r="Q2105" s="12" t="s">
        <v>10780</v>
      </c>
      <c r="R2105" s="8" t="s">
        <v>100</v>
      </c>
      <c r="S2105" s="7" t="s">
        <v>28</v>
      </c>
      <c r="T2105" s="6"/>
      <c r="U2105" s="8"/>
    </row>
    <row r="2106" spans="1:21" ht="13" customHeight="1">
      <c r="A2106" s="8" t="s">
        <v>10781</v>
      </c>
      <c r="B2106" s="16">
        <v>41</v>
      </c>
      <c r="C2106" s="8" t="s">
        <v>20</v>
      </c>
      <c r="D2106" s="8" t="s">
        <v>37</v>
      </c>
      <c r="E2106" s="8" t="s">
        <v>10782</v>
      </c>
      <c r="F2106" s="17">
        <v>41732</v>
      </c>
      <c r="G2106" s="8" t="s">
        <v>10783</v>
      </c>
      <c r="H2106" s="8" t="s">
        <v>10784</v>
      </c>
      <c r="I2106" s="8" t="s">
        <v>319</v>
      </c>
      <c r="J2106" s="16" t="s">
        <v>10785</v>
      </c>
      <c r="K2106" s="2" t="s">
        <v>420</v>
      </c>
      <c r="L2106" s="8" t="s">
        <v>10786</v>
      </c>
      <c r="M2106" s="8" t="s">
        <v>27</v>
      </c>
      <c r="N2106" s="2" t="s">
        <v>10787</v>
      </c>
      <c r="O2106" s="8" t="s">
        <v>1013</v>
      </c>
      <c r="P2106" s="8" t="s">
        <v>401</v>
      </c>
      <c r="Q2106" s="12" t="s">
        <v>10788</v>
      </c>
      <c r="R2106" s="8" t="s">
        <v>100</v>
      </c>
      <c r="S2106" s="7" t="s">
        <v>18</v>
      </c>
      <c r="T2106" s="6"/>
      <c r="U2106" s="8"/>
    </row>
    <row r="2107" spans="1:21" ht="13" customHeight="1">
      <c r="A2107" s="8" t="s">
        <v>10789</v>
      </c>
      <c r="B2107" s="16">
        <v>22</v>
      </c>
      <c r="C2107" s="8" t="s">
        <v>20</v>
      </c>
      <c r="D2107" s="8" t="s">
        <v>85</v>
      </c>
      <c r="E2107" s="8" t="s">
        <v>10790</v>
      </c>
      <c r="F2107" s="17">
        <v>41731</v>
      </c>
      <c r="G2107" s="8" t="s">
        <v>10791</v>
      </c>
      <c r="H2107" s="8" t="s">
        <v>2460</v>
      </c>
      <c r="I2107" s="8" t="s">
        <v>173</v>
      </c>
      <c r="J2107" s="16" t="s">
        <v>2461</v>
      </c>
      <c r="K2107" s="2" t="s">
        <v>1328</v>
      </c>
      <c r="L2107" s="8" t="s">
        <v>1329</v>
      </c>
      <c r="M2107" s="8" t="s">
        <v>27</v>
      </c>
      <c r="N2107" s="2" t="s">
        <v>10792</v>
      </c>
      <c r="O2107" s="8" t="s">
        <v>1013</v>
      </c>
      <c r="P2107" s="8" t="s">
        <v>401</v>
      </c>
      <c r="Q2107" s="12" t="str">
        <f>HYPERLINK("http://www.wsbtv.com/news/news/local/officer-injured-suspect-killed-lawrenceville-apart/nfQTQ/","http://www.wsbtv.com/news/news/local/officer-injured-suspect-killed-lawrenceville-apart/nfQTQ/")</f>
        <v>http://www.wsbtv.com/news/news/local/officer-injured-suspect-killed-lawrenceville-apart/nfQTQ/</v>
      </c>
      <c r="R2107" s="8" t="s">
        <v>100</v>
      </c>
      <c r="S2107" s="7" t="s">
        <v>28</v>
      </c>
      <c r="T2107" s="6"/>
      <c r="U2107" s="8"/>
    </row>
    <row r="2108" spans="1:21" ht="13" customHeight="1">
      <c r="A2108" s="8" t="s">
        <v>10803</v>
      </c>
      <c r="B2108" s="16">
        <v>28</v>
      </c>
      <c r="C2108" s="8" t="s">
        <v>20</v>
      </c>
      <c r="D2108" s="8" t="s">
        <v>37</v>
      </c>
      <c r="E2108" s="8" t="s">
        <v>10804</v>
      </c>
      <c r="F2108" s="17">
        <v>41731</v>
      </c>
      <c r="G2108" s="8" t="s">
        <v>10805</v>
      </c>
      <c r="H2108" s="8" t="s">
        <v>10806</v>
      </c>
      <c r="I2108" s="8" t="s">
        <v>62</v>
      </c>
      <c r="J2108" s="16" t="s">
        <v>10807</v>
      </c>
      <c r="K2108" s="2" t="s">
        <v>5354</v>
      </c>
      <c r="L2108" s="8" t="s">
        <v>10808</v>
      </c>
      <c r="M2108" s="8" t="s">
        <v>27</v>
      </c>
      <c r="N2108" s="2" t="s">
        <v>10809</v>
      </c>
      <c r="O2108" s="8" t="s">
        <v>1013</v>
      </c>
      <c r="P2108" s="8" t="s">
        <v>401</v>
      </c>
      <c r="Q2108" s="12" t="s">
        <v>10810</v>
      </c>
      <c r="R2108" s="8" t="s">
        <v>100</v>
      </c>
      <c r="S2108" s="7" t="s">
        <v>28</v>
      </c>
      <c r="T2108" s="6"/>
      <c r="U2108" s="8"/>
    </row>
    <row r="2109" spans="1:21" ht="13" customHeight="1">
      <c r="A2109" s="8" t="s">
        <v>10793</v>
      </c>
      <c r="B2109" s="16">
        <v>23</v>
      </c>
      <c r="C2109" s="8" t="s">
        <v>20</v>
      </c>
      <c r="D2109" s="8" t="s">
        <v>37</v>
      </c>
      <c r="E2109" s="8" t="s">
        <v>10794</v>
      </c>
      <c r="F2109" s="17">
        <v>41731</v>
      </c>
      <c r="G2109" s="8" t="s">
        <v>10795</v>
      </c>
      <c r="H2109" s="8" t="s">
        <v>10796</v>
      </c>
      <c r="I2109" s="8" t="s">
        <v>32</v>
      </c>
      <c r="J2109" s="16" t="s">
        <v>10797</v>
      </c>
      <c r="K2109" s="2" t="s">
        <v>10798</v>
      </c>
      <c r="L2109" s="8" t="s">
        <v>10799</v>
      </c>
      <c r="M2109" s="8" t="s">
        <v>379</v>
      </c>
      <c r="N2109" s="2" t="s">
        <v>10800</v>
      </c>
      <c r="O2109" s="8" t="s">
        <v>1013</v>
      </c>
      <c r="P2109" s="8" t="s">
        <v>401</v>
      </c>
      <c r="Q2109" s="12" t="s">
        <v>10801</v>
      </c>
      <c r="R2109" s="8" t="s">
        <v>100</v>
      </c>
      <c r="S2109" s="7" t="s">
        <v>18</v>
      </c>
      <c r="T2109" s="6"/>
      <c r="U2109" s="8"/>
    </row>
    <row r="2110" spans="1:21" ht="13" customHeight="1">
      <c r="A2110" s="8" t="s">
        <v>10802</v>
      </c>
      <c r="B2110" s="16">
        <v>27</v>
      </c>
      <c r="C2110" s="8" t="s">
        <v>114</v>
      </c>
      <c r="D2110" s="8" t="s">
        <v>37</v>
      </c>
      <c r="E2110" s="8" t="s">
        <v>10794</v>
      </c>
      <c r="F2110" s="17">
        <v>41731</v>
      </c>
      <c r="G2110" s="8" t="s">
        <v>10795</v>
      </c>
      <c r="H2110" s="8" t="s">
        <v>10796</v>
      </c>
      <c r="I2110" s="8" t="s">
        <v>32</v>
      </c>
      <c r="J2110" s="16" t="s">
        <v>10797</v>
      </c>
      <c r="K2110" s="2" t="s">
        <v>10798</v>
      </c>
      <c r="L2110" s="8" t="s">
        <v>10799</v>
      </c>
      <c r="M2110" s="8" t="s">
        <v>379</v>
      </c>
      <c r="N2110" s="2" t="s">
        <v>10800</v>
      </c>
      <c r="O2110" s="8" t="s">
        <v>1013</v>
      </c>
      <c r="P2110" s="8" t="s">
        <v>401</v>
      </c>
      <c r="Q2110" s="12" t="s">
        <v>10801</v>
      </c>
      <c r="R2110" s="8" t="s">
        <v>100</v>
      </c>
      <c r="S2110" s="7" t="s">
        <v>18</v>
      </c>
      <c r="T2110" s="6"/>
      <c r="U2110" s="8"/>
    </row>
    <row r="2111" spans="1:21" ht="13" customHeight="1">
      <c r="A2111" s="8" t="s">
        <v>10811</v>
      </c>
      <c r="B2111" s="16">
        <v>44</v>
      </c>
      <c r="C2111" s="8" t="s">
        <v>114</v>
      </c>
      <c r="D2111" s="8" t="s">
        <v>48</v>
      </c>
      <c r="E2111" s="8" t="s">
        <v>10812</v>
      </c>
      <c r="F2111" s="17">
        <v>41730</v>
      </c>
      <c r="G2111" s="8" t="s">
        <v>10813</v>
      </c>
      <c r="H2111" s="8" t="s">
        <v>974</v>
      </c>
      <c r="I2111" s="8" t="s">
        <v>195</v>
      </c>
      <c r="J2111" s="16" t="s">
        <v>10814</v>
      </c>
      <c r="K2111" s="2" t="s">
        <v>467</v>
      </c>
      <c r="L2111" s="8" t="s">
        <v>10815</v>
      </c>
      <c r="M2111" s="8" t="s">
        <v>379</v>
      </c>
      <c r="N2111" s="2" t="s">
        <v>10816</v>
      </c>
      <c r="O2111" s="8" t="s">
        <v>1161</v>
      </c>
      <c r="P2111" s="8" t="s">
        <v>1162</v>
      </c>
      <c r="Q2111" s="12" t="s">
        <v>10817</v>
      </c>
      <c r="R2111" s="8" t="s">
        <v>100</v>
      </c>
      <c r="S2111" s="7" t="s">
        <v>18</v>
      </c>
      <c r="T2111" s="6"/>
      <c r="U2111" s="8"/>
    </row>
    <row r="2112" spans="1:21" ht="13" customHeight="1">
      <c r="A2112" s="8" t="s">
        <v>10818</v>
      </c>
      <c r="B2112" s="16">
        <v>74</v>
      </c>
      <c r="C2112" s="8" t="s">
        <v>114</v>
      </c>
      <c r="D2112" s="8" t="s">
        <v>30</v>
      </c>
      <c r="F2112" s="17">
        <v>41729</v>
      </c>
      <c r="G2112" s="8" t="s">
        <v>10819</v>
      </c>
      <c r="H2112" s="8" t="s">
        <v>1243</v>
      </c>
      <c r="I2112" s="8" t="s">
        <v>173</v>
      </c>
      <c r="J2112" s="16" t="s">
        <v>10820</v>
      </c>
      <c r="K2112" s="2" t="s">
        <v>1341</v>
      </c>
      <c r="L2112" s="8" t="s">
        <v>1342</v>
      </c>
      <c r="M2112" s="8" t="s">
        <v>27</v>
      </c>
      <c r="N2112" s="2" t="s">
        <v>10821</v>
      </c>
      <c r="O2112" s="8" t="s">
        <v>1013</v>
      </c>
      <c r="P2112" s="8" t="s">
        <v>401</v>
      </c>
      <c r="Q2112" s="12" t="s">
        <v>10822</v>
      </c>
      <c r="R2112" s="8" t="s">
        <v>555</v>
      </c>
      <c r="S2112" s="7" t="s">
        <v>28</v>
      </c>
      <c r="T2112" s="6"/>
      <c r="U2112" s="8"/>
    </row>
    <row r="2113" spans="1:39" ht="13" customHeight="1">
      <c r="A2113" s="8" t="s">
        <v>10831</v>
      </c>
      <c r="B2113" s="16">
        <v>43</v>
      </c>
      <c r="C2113" s="8" t="s">
        <v>20</v>
      </c>
      <c r="D2113" s="8" t="s">
        <v>37</v>
      </c>
      <c r="E2113" s="8" t="s">
        <v>10832</v>
      </c>
      <c r="F2113" s="17">
        <v>41729</v>
      </c>
      <c r="G2113" s="8" t="s">
        <v>10833</v>
      </c>
      <c r="H2113" s="8" t="s">
        <v>10834</v>
      </c>
      <c r="I2113" s="8" t="s">
        <v>423</v>
      </c>
      <c r="J2113" s="16">
        <v>13790</v>
      </c>
      <c r="K2113" s="2" t="s">
        <v>10835</v>
      </c>
      <c r="L2113" s="8" t="s">
        <v>10836</v>
      </c>
      <c r="M2113" s="8" t="s">
        <v>27</v>
      </c>
      <c r="N2113" s="2" t="s">
        <v>10837</v>
      </c>
      <c r="P2113" s="8" t="s">
        <v>401</v>
      </c>
      <c r="Q2113" s="12" t="str">
        <f>HYPERLINK("http://www.washingtonpost.com/national/police-officer-fatally-shot-in-upstate-new-york/2014/03/31/ad349cc6-b8f4-11e3-80de-2ff8801f27af_story.html","http://www.washingtonpost.com/national/police-officer-fatally-shot-in-upstate-new-york/2014/03/31/ad349cc6-b8f4-11e3-80de-2ff8801f27af_story.html")</f>
        <v>http://www.washingtonpost.com/national/police-officer-fatally-shot-in-upstate-new-york/2014/03/31/ad349cc6-b8f4-11e3-80de-2ff8801f27af_story.html</v>
      </c>
      <c r="R2113" s="8" t="s">
        <v>555</v>
      </c>
      <c r="S2113" s="7" t="s">
        <v>28</v>
      </c>
      <c r="T2113" s="6"/>
      <c r="U2113" s="8"/>
    </row>
    <row r="2114" spans="1:39" ht="13" customHeight="1">
      <c r="A2114" s="8" t="s">
        <v>10823</v>
      </c>
      <c r="B2114" s="16">
        <v>28</v>
      </c>
      <c r="C2114" s="8" t="s">
        <v>114</v>
      </c>
      <c r="D2114" s="8" t="s">
        <v>37</v>
      </c>
      <c r="E2114" s="8" t="s">
        <v>10824</v>
      </c>
      <c r="F2114" s="17">
        <v>41729</v>
      </c>
      <c r="G2114" s="8" t="s">
        <v>10825</v>
      </c>
      <c r="H2114" s="8" t="s">
        <v>10826</v>
      </c>
      <c r="I2114" s="8" t="s">
        <v>366</v>
      </c>
      <c r="J2114" s="16" t="s">
        <v>10827</v>
      </c>
      <c r="K2114" s="2" t="s">
        <v>1867</v>
      </c>
      <c r="L2114" s="8" t="s">
        <v>10828</v>
      </c>
      <c r="M2114" s="8" t="s">
        <v>379</v>
      </c>
      <c r="N2114" s="2" t="s">
        <v>10829</v>
      </c>
      <c r="O2114" s="8" t="s">
        <v>1013</v>
      </c>
      <c r="P2114" s="8" t="s">
        <v>401</v>
      </c>
      <c r="Q2114" s="12" t="s">
        <v>10830</v>
      </c>
      <c r="R2114" s="8" t="s">
        <v>100</v>
      </c>
      <c r="S2114" s="7" t="s">
        <v>18</v>
      </c>
      <c r="T2114" s="6"/>
      <c r="U2114" s="8"/>
    </row>
    <row r="2115" spans="1:39" ht="13" customHeight="1">
      <c r="A2115" s="8" t="s">
        <v>10838</v>
      </c>
      <c r="B2115" s="16">
        <v>20</v>
      </c>
      <c r="C2115" s="8" t="s">
        <v>20</v>
      </c>
      <c r="D2115" s="8" t="s">
        <v>85</v>
      </c>
      <c r="E2115" s="8" t="s">
        <v>10839</v>
      </c>
      <c r="F2115" s="17">
        <v>41728</v>
      </c>
      <c r="G2115" s="8" t="s">
        <v>10840</v>
      </c>
      <c r="H2115" s="8" t="s">
        <v>1290</v>
      </c>
      <c r="I2115" s="8" t="s">
        <v>173</v>
      </c>
      <c r="J2115" s="16" t="s">
        <v>10841</v>
      </c>
      <c r="K2115" s="2" t="s">
        <v>10842</v>
      </c>
      <c r="L2115" s="8" t="s">
        <v>10843</v>
      </c>
      <c r="M2115" s="8" t="s">
        <v>27</v>
      </c>
      <c r="N2115" s="2" t="s">
        <v>10844</v>
      </c>
      <c r="O2115" s="8" t="s">
        <v>1013</v>
      </c>
      <c r="P2115" s="8" t="s">
        <v>401</v>
      </c>
      <c r="Q2115" s="12" t="s">
        <v>21469</v>
      </c>
      <c r="R2115" s="8" t="s">
        <v>100</v>
      </c>
      <c r="S2115" s="7" t="s">
        <v>18</v>
      </c>
      <c r="T2115" s="6"/>
      <c r="U2115" s="8"/>
    </row>
    <row r="2116" spans="1:39" ht="13" customHeight="1">
      <c r="A2116" s="8" t="s">
        <v>10845</v>
      </c>
      <c r="B2116" s="16">
        <v>20</v>
      </c>
      <c r="C2116" s="8" t="s">
        <v>20</v>
      </c>
      <c r="D2116" s="8" t="s">
        <v>85</v>
      </c>
      <c r="E2116" s="8" t="s">
        <v>10846</v>
      </c>
      <c r="F2116" s="17">
        <v>41727</v>
      </c>
      <c r="G2116" s="8" t="s">
        <v>10847</v>
      </c>
      <c r="H2116" s="8" t="s">
        <v>87</v>
      </c>
      <c r="I2116" s="8" t="s">
        <v>44</v>
      </c>
      <c r="J2116" s="16" t="s">
        <v>1681</v>
      </c>
      <c r="K2116" s="2" t="s">
        <v>88</v>
      </c>
      <c r="L2116" s="8" t="s">
        <v>89</v>
      </c>
      <c r="M2116" s="8" t="s">
        <v>27</v>
      </c>
      <c r="N2116" s="2" t="s">
        <v>10848</v>
      </c>
      <c r="O2116" s="8" t="s">
        <v>1013</v>
      </c>
      <c r="P2116" s="8" t="s">
        <v>401</v>
      </c>
      <c r="Q2116" s="12" t="str">
        <f>HYPERLINK("http://www.myfoxchicago.com/story/25108986/raason-shaw-man-shot-to-death-by-police-in-woodlawn","http://www.myfoxchicago.com/story/25108986/raason-shaw-man-shot-to-death-by-police-in-woodlawn")</f>
        <v>http://www.myfoxchicago.com/story/25108986/raason-shaw-man-shot-to-death-by-police-in-woodlawn</v>
      </c>
      <c r="R2116" s="8" t="s">
        <v>100</v>
      </c>
      <c r="S2116" s="7" t="s">
        <v>28</v>
      </c>
      <c r="T2116" s="6"/>
      <c r="U2116" s="8"/>
    </row>
    <row r="2117" spans="1:39" ht="13" customHeight="1">
      <c r="A2117" s="8" t="s">
        <v>10856</v>
      </c>
      <c r="B2117" s="16">
        <v>25</v>
      </c>
      <c r="C2117" s="8" t="s">
        <v>20</v>
      </c>
      <c r="D2117" s="8" t="s">
        <v>85</v>
      </c>
      <c r="E2117" s="8" t="s">
        <v>10857</v>
      </c>
      <c r="F2117" s="17">
        <v>41726</v>
      </c>
      <c r="G2117" s="8" t="s">
        <v>10858</v>
      </c>
      <c r="H2117" s="8" t="s">
        <v>893</v>
      </c>
      <c r="I2117" s="8" t="s">
        <v>315</v>
      </c>
      <c r="J2117" s="16" t="s">
        <v>10859</v>
      </c>
      <c r="K2117" s="2" t="s">
        <v>1781</v>
      </c>
      <c r="L2117" s="8" t="s">
        <v>894</v>
      </c>
      <c r="M2117" s="8" t="s">
        <v>27</v>
      </c>
      <c r="N2117" s="2" t="s">
        <v>10860</v>
      </c>
      <c r="O2117" s="8" t="s">
        <v>1013</v>
      </c>
      <c r="P2117" s="8" t="s">
        <v>401</v>
      </c>
      <c r="Q2117" s="12" t="s">
        <v>10861</v>
      </c>
      <c r="R2117" s="8" t="s">
        <v>29</v>
      </c>
      <c r="S2117" s="7" t="s">
        <v>28</v>
      </c>
      <c r="T2117" s="6"/>
      <c r="U2117" s="8"/>
    </row>
    <row r="2118" spans="1:39" ht="13" customHeight="1">
      <c r="A2118" s="8" t="s">
        <v>10849</v>
      </c>
      <c r="B2118" s="16">
        <v>35</v>
      </c>
      <c r="C2118" s="8" t="s">
        <v>20</v>
      </c>
      <c r="D2118" s="8" t="s">
        <v>85</v>
      </c>
      <c r="E2118" s="8" t="s">
        <v>10850</v>
      </c>
      <c r="F2118" s="17">
        <v>41726</v>
      </c>
      <c r="G2118" s="8" t="s">
        <v>10851</v>
      </c>
      <c r="H2118" s="8" t="s">
        <v>10852</v>
      </c>
      <c r="I2118" s="8" t="s">
        <v>366</v>
      </c>
      <c r="J2118" s="16" t="s">
        <v>10853</v>
      </c>
      <c r="K2118" s="2" t="s">
        <v>5647</v>
      </c>
      <c r="L2118" s="8" t="s">
        <v>10854</v>
      </c>
      <c r="M2118" s="8" t="s">
        <v>27</v>
      </c>
      <c r="N2118" s="2" t="s">
        <v>10855</v>
      </c>
      <c r="O2118" s="8" t="s">
        <v>1013</v>
      </c>
      <c r="P2118" s="8" t="s">
        <v>401</v>
      </c>
      <c r="Q2118" s="12" t="str">
        <f>HYPERLINK("http://www.wcti12.com/news/city-official-two-officers-injured-one-suspect-dead-in-shooting/25226556","http://www.wcti12.com/news/city-official-two-officers-injured-one-suspect-dead-in-shooting/25226556")</f>
        <v>http://www.wcti12.com/news/city-official-two-officers-injured-one-suspect-dead-in-shooting/25226556</v>
      </c>
      <c r="R2118" s="8" t="s">
        <v>29</v>
      </c>
      <c r="S2118" s="7" t="s">
        <v>28</v>
      </c>
      <c r="T2118" s="6"/>
      <c r="U2118" s="8"/>
    </row>
    <row r="2119" spans="1:39" ht="13" customHeight="1">
      <c r="A2119" s="8" t="s">
        <v>10862</v>
      </c>
      <c r="B2119" s="16">
        <v>35</v>
      </c>
      <c r="C2119" s="8" t="s">
        <v>20</v>
      </c>
      <c r="D2119" s="8" t="s">
        <v>945</v>
      </c>
      <c r="E2119" s="8" t="str">
        <f>HYPERLINK("http://fox13now.com/2014/03/28/2-police-officers-hurt-1-man-dead-after-salt-lake-city-shooting/","http://fox13now.com/2014/03/28/2-police-officers-hurt-1-man-dead-after-salt-lake-city-shooting/")</f>
        <v>http://fox13now.com/2014/03/28/2-police-officers-hurt-1-man-dead-after-salt-lake-city-shooting/</v>
      </c>
      <c r="F2119" s="17">
        <v>41726</v>
      </c>
      <c r="G2119" s="8" t="s">
        <v>10863</v>
      </c>
      <c r="H2119" s="8" t="s">
        <v>239</v>
      </c>
      <c r="I2119" s="8" t="s">
        <v>240</v>
      </c>
      <c r="J2119" s="16" t="s">
        <v>10864</v>
      </c>
      <c r="K2119" s="2" t="s">
        <v>613</v>
      </c>
      <c r="L2119" s="8" t="s">
        <v>10865</v>
      </c>
      <c r="M2119" s="8" t="s">
        <v>27</v>
      </c>
      <c r="N2119" s="2" t="s">
        <v>10866</v>
      </c>
      <c r="O2119" s="8" t="s">
        <v>550</v>
      </c>
      <c r="P2119" s="8" t="s">
        <v>401</v>
      </c>
      <c r="Q2119" s="12" t="s">
        <v>10867</v>
      </c>
      <c r="R2119" s="8" t="s">
        <v>29</v>
      </c>
      <c r="S2119" s="7" t="s">
        <v>28</v>
      </c>
      <c r="T2119" s="6"/>
      <c r="U2119" s="8"/>
    </row>
    <row r="2120" spans="1:39" ht="13" customHeight="1">
      <c r="A2120" s="8" t="s">
        <v>10868</v>
      </c>
      <c r="B2120" s="16">
        <v>40</v>
      </c>
      <c r="C2120" s="8" t="s">
        <v>20</v>
      </c>
      <c r="D2120" s="8" t="s">
        <v>30</v>
      </c>
      <c r="F2120" s="17">
        <v>41726</v>
      </c>
      <c r="G2120" s="8" t="s">
        <v>10869</v>
      </c>
      <c r="H2120" s="8" t="s">
        <v>10870</v>
      </c>
      <c r="I2120" s="8" t="s">
        <v>366</v>
      </c>
      <c r="J2120" s="16" t="s">
        <v>10871</v>
      </c>
      <c r="K2120" s="2" t="s">
        <v>2324</v>
      </c>
      <c r="L2120" s="8" t="s">
        <v>10872</v>
      </c>
      <c r="M2120" s="8" t="s">
        <v>27</v>
      </c>
      <c r="N2120" s="2" t="s">
        <v>10873</v>
      </c>
      <c r="O2120" s="8" t="s">
        <v>1013</v>
      </c>
      <c r="P2120" s="8" t="s">
        <v>401</v>
      </c>
      <c r="Q2120" s="12" t="s">
        <v>10874</v>
      </c>
      <c r="R2120" s="8" t="s">
        <v>29</v>
      </c>
      <c r="S2120" s="7" t="s">
        <v>28</v>
      </c>
      <c r="T2120" s="6"/>
      <c r="U2120" s="8"/>
    </row>
    <row r="2121" spans="1:39" ht="13" customHeight="1">
      <c r="A2121" s="8" t="s">
        <v>10875</v>
      </c>
      <c r="B2121" s="16">
        <v>25</v>
      </c>
      <c r="C2121" s="8" t="s">
        <v>20</v>
      </c>
      <c r="D2121" s="8" t="s">
        <v>37</v>
      </c>
      <c r="F2121" s="17">
        <v>41726</v>
      </c>
      <c r="G2121" s="8" t="s">
        <v>10876</v>
      </c>
      <c r="H2121" s="8" t="s">
        <v>10877</v>
      </c>
      <c r="I2121" s="8" t="s">
        <v>45</v>
      </c>
      <c r="J2121" s="16" t="s">
        <v>10878</v>
      </c>
      <c r="K2121" s="2" t="s">
        <v>309</v>
      </c>
      <c r="L2121" s="8" t="s">
        <v>310</v>
      </c>
      <c r="M2121" s="8" t="s">
        <v>27</v>
      </c>
      <c r="N2121" s="2" t="s">
        <v>10879</v>
      </c>
      <c r="O2121" s="8" t="s">
        <v>1013</v>
      </c>
      <c r="P2121" s="8" t="s">
        <v>401</v>
      </c>
      <c r="Q2121" s="12" t="s">
        <v>10880</v>
      </c>
      <c r="R2121" s="8" t="s">
        <v>29</v>
      </c>
      <c r="S2121" s="7" t="s">
        <v>28</v>
      </c>
      <c r="T2121" s="6"/>
      <c r="U2121" s="8"/>
    </row>
    <row r="2122" spans="1:39" ht="13" customHeight="1">
      <c r="A2122" s="8" t="s">
        <v>10881</v>
      </c>
      <c r="B2122" s="16">
        <v>27</v>
      </c>
      <c r="C2122" s="8" t="s">
        <v>20</v>
      </c>
      <c r="D2122" s="8" t="s">
        <v>85</v>
      </c>
      <c r="F2122" s="17">
        <v>41725</v>
      </c>
      <c r="G2122" s="8" t="s">
        <v>10882</v>
      </c>
      <c r="H2122" s="8" t="s">
        <v>1403</v>
      </c>
      <c r="I2122" s="8" t="s">
        <v>81</v>
      </c>
      <c r="J2122" s="16" t="s">
        <v>7364</v>
      </c>
      <c r="K2122" s="2" t="s">
        <v>1404</v>
      </c>
      <c r="L2122" s="8" t="s">
        <v>1405</v>
      </c>
      <c r="M2122" s="8" t="s">
        <v>27</v>
      </c>
      <c r="N2122" s="2" t="s">
        <v>10883</v>
      </c>
      <c r="O2122" s="8" t="s">
        <v>1013</v>
      </c>
      <c r="P2122" s="8" t="s">
        <v>401</v>
      </c>
      <c r="Q2122" s="12" t="s">
        <v>10884</v>
      </c>
      <c r="R2122" s="8" t="s">
        <v>100</v>
      </c>
      <c r="S2122" s="7" t="s">
        <v>28</v>
      </c>
      <c r="T2122" s="6"/>
      <c r="U2122" s="8"/>
      <c r="Y2122" s="8"/>
      <c r="Z2122" s="8"/>
      <c r="AA2122" s="8"/>
      <c r="AB2122" s="8"/>
      <c r="AC2122" s="8"/>
      <c r="AD2122" s="8"/>
      <c r="AE2122" s="8"/>
      <c r="AF2122" s="8"/>
      <c r="AG2122" s="8"/>
      <c r="AH2122" s="8"/>
    </row>
    <row r="2123" spans="1:39" ht="13" customHeight="1">
      <c r="A2123" s="8" t="s">
        <v>10885</v>
      </c>
      <c r="B2123" s="16">
        <v>19</v>
      </c>
      <c r="C2123" s="8" t="s">
        <v>20</v>
      </c>
      <c r="D2123" s="8" t="s">
        <v>48</v>
      </c>
      <c r="F2123" s="17">
        <v>41725</v>
      </c>
      <c r="G2123" s="8" t="s">
        <v>10886</v>
      </c>
      <c r="H2123" s="8" t="s">
        <v>7984</v>
      </c>
      <c r="I2123" s="8" t="s">
        <v>73</v>
      </c>
      <c r="J2123" s="16" t="s">
        <v>10887</v>
      </c>
      <c r="K2123" s="2" t="s">
        <v>1781</v>
      </c>
      <c r="L2123" s="8" t="s">
        <v>10888</v>
      </c>
      <c r="M2123" s="8" t="s">
        <v>27</v>
      </c>
      <c r="N2123" s="2" t="s">
        <v>21458</v>
      </c>
      <c r="O2123" s="8" t="s">
        <v>550</v>
      </c>
      <c r="P2123" s="8" t="s">
        <v>401</v>
      </c>
      <c r="Q2123" s="12" t="s">
        <v>10889</v>
      </c>
      <c r="R2123" s="8" t="s">
        <v>100</v>
      </c>
      <c r="S2123" s="7" t="s">
        <v>18</v>
      </c>
      <c r="T2123" s="6"/>
      <c r="U2123" s="8"/>
    </row>
    <row r="2124" spans="1:39" ht="13" customHeight="1">
      <c r="A2124" s="8" t="s">
        <v>10890</v>
      </c>
      <c r="B2124" s="16">
        <v>58</v>
      </c>
      <c r="C2124" s="8" t="s">
        <v>20</v>
      </c>
      <c r="D2124" s="8" t="s">
        <v>30</v>
      </c>
      <c r="F2124" s="17">
        <v>41725</v>
      </c>
      <c r="G2124" s="8" t="s">
        <v>10891</v>
      </c>
      <c r="H2124" s="8" t="s">
        <v>10892</v>
      </c>
      <c r="I2124" s="8" t="s">
        <v>73</v>
      </c>
      <c r="J2124" s="16" t="s">
        <v>10893</v>
      </c>
      <c r="K2124" s="2" t="s">
        <v>10894</v>
      </c>
      <c r="L2124" s="8" t="s">
        <v>10895</v>
      </c>
      <c r="M2124" s="8" t="s">
        <v>27</v>
      </c>
      <c r="N2124" s="2" t="s">
        <v>10896</v>
      </c>
      <c r="O2124" s="8" t="s">
        <v>1013</v>
      </c>
      <c r="P2124" s="8" t="s">
        <v>401</v>
      </c>
      <c r="Q2124" s="12" t="s">
        <v>10897</v>
      </c>
      <c r="R2124" s="8" t="s">
        <v>29</v>
      </c>
      <c r="S2124" s="7" t="s">
        <v>28</v>
      </c>
      <c r="T2124" s="6"/>
      <c r="U2124" s="8"/>
    </row>
    <row r="2125" spans="1:39" ht="13" customHeight="1">
      <c r="A2125" s="8" t="s">
        <v>10898</v>
      </c>
      <c r="B2125" s="16">
        <v>43</v>
      </c>
      <c r="C2125" s="8" t="s">
        <v>20</v>
      </c>
      <c r="D2125" s="8" t="s">
        <v>37</v>
      </c>
      <c r="E2125" s="8" t="s">
        <v>10899</v>
      </c>
      <c r="F2125" s="17">
        <v>41725</v>
      </c>
      <c r="G2125" s="8" t="s">
        <v>10900</v>
      </c>
      <c r="H2125" s="8" t="s">
        <v>10901</v>
      </c>
      <c r="I2125" s="8" t="s">
        <v>395</v>
      </c>
      <c r="J2125" s="16" t="s">
        <v>10902</v>
      </c>
      <c r="K2125" s="2" t="s">
        <v>10903</v>
      </c>
      <c r="L2125" s="8" t="s">
        <v>10904</v>
      </c>
      <c r="M2125" s="8" t="s">
        <v>27</v>
      </c>
      <c r="N2125" s="2" t="s">
        <v>10905</v>
      </c>
      <c r="O2125" s="8" t="s">
        <v>1013</v>
      </c>
      <c r="P2125" s="8" t="s">
        <v>401</v>
      </c>
      <c r="Q2125" s="12" t="s">
        <v>10906</v>
      </c>
      <c r="R2125" s="8" t="s">
        <v>29</v>
      </c>
      <c r="S2125" s="7" t="s">
        <v>28</v>
      </c>
      <c r="T2125" s="6"/>
      <c r="U2125" s="8"/>
    </row>
    <row r="2126" spans="1:39" ht="13" customHeight="1">
      <c r="A2126" s="8" t="s">
        <v>10912</v>
      </c>
      <c r="B2126" s="16">
        <v>30</v>
      </c>
      <c r="C2126" s="8" t="s">
        <v>20</v>
      </c>
      <c r="D2126" s="8" t="s">
        <v>37</v>
      </c>
      <c r="E2126" s="8" t="s">
        <v>10913</v>
      </c>
      <c r="F2126" s="17">
        <v>41724</v>
      </c>
      <c r="G2126" s="8" t="s">
        <v>10914</v>
      </c>
      <c r="H2126" s="8" t="s">
        <v>841</v>
      </c>
      <c r="I2126" s="8" t="s">
        <v>303</v>
      </c>
      <c r="J2126" s="16" t="s">
        <v>10915</v>
      </c>
      <c r="K2126" s="2" t="s">
        <v>841</v>
      </c>
      <c r="L2126" s="8" t="s">
        <v>842</v>
      </c>
      <c r="M2126" s="8" t="s">
        <v>27</v>
      </c>
      <c r="N2126" s="2" t="s">
        <v>10916</v>
      </c>
      <c r="O2126" s="8" t="s">
        <v>1013</v>
      </c>
      <c r="P2126" s="8" t="s">
        <v>401</v>
      </c>
      <c r="Q2126" s="12" t="s">
        <v>10917</v>
      </c>
      <c r="R2126" s="8" t="s">
        <v>100</v>
      </c>
      <c r="S2126" s="7" t="s">
        <v>28</v>
      </c>
      <c r="T2126" s="6"/>
      <c r="U2126" s="8"/>
    </row>
    <row r="2127" spans="1:39" ht="13" customHeight="1">
      <c r="A2127" s="8" t="s">
        <v>10907</v>
      </c>
      <c r="B2127" s="16">
        <v>41</v>
      </c>
      <c r="C2127" s="8" t="s">
        <v>20</v>
      </c>
      <c r="D2127" s="8" t="s">
        <v>37</v>
      </c>
      <c r="F2127" s="17">
        <v>41724</v>
      </c>
      <c r="G2127" s="8" t="s">
        <v>10908</v>
      </c>
      <c r="H2127" s="8" t="s">
        <v>10909</v>
      </c>
      <c r="I2127" s="8" t="s">
        <v>45</v>
      </c>
      <c r="J2127" s="16" t="s">
        <v>3499</v>
      </c>
      <c r="K2127" s="2" t="s">
        <v>682</v>
      </c>
      <c r="L2127" s="8" t="s">
        <v>750</v>
      </c>
      <c r="M2127" s="8" t="s">
        <v>27</v>
      </c>
      <c r="N2127" s="2" t="s">
        <v>10910</v>
      </c>
      <c r="O2127" s="8" t="s">
        <v>550</v>
      </c>
      <c r="P2127" s="8" t="s">
        <v>401</v>
      </c>
      <c r="Q2127" s="12" t="s">
        <v>10911</v>
      </c>
      <c r="R2127" s="8" t="s">
        <v>100</v>
      </c>
      <c r="S2127" s="7" t="s">
        <v>18</v>
      </c>
      <c r="T2127" s="6"/>
      <c r="U2127" s="8"/>
    </row>
    <row r="2128" spans="1:39" ht="13" customHeight="1">
      <c r="A2128" s="8" t="s">
        <v>10918</v>
      </c>
      <c r="B2128" s="16">
        <v>47</v>
      </c>
      <c r="C2128" s="8" t="s">
        <v>114</v>
      </c>
      <c r="D2128" s="8" t="s">
        <v>21</v>
      </c>
      <c r="E2128" s="8" t="s">
        <v>10919</v>
      </c>
      <c r="F2128" s="17">
        <v>41723</v>
      </c>
      <c r="G2128" s="8" t="s">
        <v>10920</v>
      </c>
      <c r="H2128" s="8" t="s">
        <v>6506</v>
      </c>
      <c r="I2128" s="8" t="s">
        <v>366</v>
      </c>
      <c r="J2128" s="16" t="s">
        <v>10774</v>
      </c>
      <c r="K2128" s="2" t="s">
        <v>649</v>
      </c>
      <c r="L2128" s="8" t="s">
        <v>10921</v>
      </c>
      <c r="M2128" s="8" t="s">
        <v>27</v>
      </c>
      <c r="N2128" s="2" t="s">
        <v>10922</v>
      </c>
      <c r="O2128" s="8" t="s">
        <v>550</v>
      </c>
      <c r="P2128" s="8" t="s">
        <v>401</v>
      </c>
      <c r="Q2128" s="12" t="s">
        <v>10923</v>
      </c>
      <c r="R2128" s="8" t="s">
        <v>29</v>
      </c>
      <c r="S2128" s="7" t="s">
        <v>28</v>
      </c>
      <c r="T2128" s="6"/>
      <c r="U2128" s="8"/>
      <c r="Y2128" s="8"/>
      <c r="Z2128" s="8"/>
      <c r="AA2128" s="8"/>
      <c r="AB2128" s="8"/>
      <c r="AC2128" s="8"/>
      <c r="AD2128" s="8"/>
      <c r="AE2128" s="8"/>
      <c r="AF2128" s="8"/>
      <c r="AG2128" s="8"/>
      <c r="AH2128" s="8"/>
      <c r="AI2128" s="8"/>
      <c r="AJ2128" s="8"/>
      <c r="AK2128" s="8"/>
      <c r="AL2128" s="8"/>
      <c r="AM2128" s="8"/>
    </row>
    <row r="2129" spans="1:34" ht="13" customHeight="1">
      <c r="A2129" s="8" t="s">
        <v>10936</v>
      </c>
      <c r="B2129" s="16">
        <v>20</v>
      </c>
      <c r="C2129" s="8" t="s">
        <v>20</v>
      </c>
      <c r="D2129" s="8" t="s">
        <v>85</v>
      </c>
      <c r="E2129" s="8" t="s">
        <v>10937</v>
      </c>
      <c r="F2129" s="17">
        <v>41723</v>
      </c>
      <c r="G2129" s="8" t="s">
        <v>10938</v>
      </c>
      <c r="H2129" s="8" t="s">
        <v>3922</v>
      </c>
      <c r="I2129" s="8" t="s">
        <v>366</v>
      </c>
      <c r="J2129" s="16" t="s">
        <v>10939</v>
      </c>
      <c r="K2129" s="2" t="s">
        <v>10940</v>
      </c>
      <c r="L2129" s="8" t="s">
        <v>10941</v>
      </c>
      <c r="M2129" s="8" t="s">
        <v>27</v>
      </c>
      <c r="N2129" s="2" t="s">
        <v>10942</v>
      </c>
      <c r="O2129" s="8" t="s">
        <v>400</v>
      </c>
      <c r="P2129" s="8" t="s">
        <v>401</v>
      </c>
      <c r="Q2129" s="12" t="s">
        <v>10943</v>
      </c>
      <c r="R2129" s="8" t="s">
        <v>100</v>
      </c>
      <c r="S2129" s="7" t="s">
        <v>28</v>
      </c>
      <c r="T2129" s="6"/>
      <c r="U2129" s="8"/>
    </row>
    <row r="2130" spans="1:34" ht="13" customHeight="1">
      <c r="A2130" s="8" t="s">
        <v>10930</v>
      </c>
      <c r="B2130" s="16" t="s">
        <v>10931</v>
      </c>
      <c r="C2130" s="8" t="s">
        <v>20</v>
      </c>
      <c r="D2130" s="8" t="s">
        <v>85</v>
      </c>
      <c r="E2130" s="8" t="s">
        <v>10932</v>
      </c>
      <c r="F2130" s="17">
        <v>41723</v>
      </c>
      <c r="G2130" s="8" t="s">
        <v>10933</v>
      </c>
      <c r="H2130" s="8" t="s">
        <v>925</v>
      </c>
      <c r="I2130" s="8" t="s">
        <v>195</v>
      </c>
      <c r="J2130" s="16" t="s">
        <v>10934</v>
      </c>
      <c r="K2130" s="2" t="s">
        <v>467</v>
      </c>
      <c r="L2130" s="8" t="s">
        <v>4995</v>
      </c>
      <c r="M2130" s="8" t="s">
        <v>27</v>
      </c>
      <c r="N2130" s="2" t="s">
        <v>10935</v>
      </c>
      <c r="O2130" s="8" t="s">
        <v>29</v>
      </c>
      <c r="P2130" s="8" t="s">
        <v>401</v>
      </c>
      <c r="Q2130" s="12" t="s">
        <v>10165</v>
      </c>
      <c r="R2130" s="8" t="s">
        <v>100</v>
      </c>
      <c r="S2130" s="7" t="s">
        <v>28</v>
      </c>
      <c r="T2130" s="6"/>
      <c r="U2130" s="8"/>
      <c r="Y2130" s="8"/>
      <c r="Z2130" s="8"/>
      <c r="AA2130" s="8"/>
      <c r="AB2130" s="8"/>
      <c r="AC2130" s="8"/>
      <c r="AD2130" s="8"/>
      <c r="AE2130" s="8"/>
      <c r="AF2130" s="8"/>
      <c r="AG2130" s="8"/>
      <c r="AH2130" s="8"/>
    </row>
    <row r="2131" spans="1:34" ht="13" customHeight="1">
      <c r="A2131" s="8" t="s">
        <v>10924</v>
      </c>
      <c r="B2131" s="16">
        <v>27</v>
      </c>
      <c r="C2131" s="8" t="s">
        <v>20</v>
      </c>
      <c r="D2131" s="8" t="s">
        <v>85</v>
      </c>
      <c r="E2131" s="8" t="s">
        <v>10925</v>
      </c>
      <c r="F2131" s="17">
        <v>41723</v>
      </c>
      <c r="G2131" s="8" t="s">
        <v>10926</v>
      </c>
      <c r="H2131" s="8" t="s">
        <v>2497</v>
      </c>
      <c r="I2131" s="8" t="s">
        <v>395</v>
      </c>
      <c r="J2131" s="16" t="s">
        <v>10927</v>
      </c>
      <c r="K2131" s="2" t="s">
        <v>2497</v>
      </c>
      <c r="L2131" s="8" t="s">
        <v>3398</v>
      </c>
      <c r="M2131" s="8" t="s">
        <v>27</v>
      </c>
      <c r="N2131" s="2" t="s">
        <v>10928</v>
      </c>
      <c r="O2131" s="8" t="s">
        <v>550</v>
      </c>
      <c r="P2131" s="8" t="s">
        <v>401</v>
      </c>
      <c r="Q2131" s="12" t="s">
        <v>10929</v>
      </c>
      <c r="R2131" s="8" t="s">
        <v>967</v>
      </c>
      <c r="S2131" s="7" t="s">
        <v>18</v>
      </c>
      <c r="T2131" s="6"/>
      <c r="U2131" s="8"/>
    </row>
    <row r="2132" spans="1:34" ht="13" customHeight="1">
      <c r="A2132" s="8" t="s">
        <v>10957</v>
      </c>
      <c r="B2132" s="16">
        <v>41</v>
      </c>
      <c r="C2132" s="8" t="s">
        <v>20</v>
      </c>
      <c r="D2132" s="8" t="s">
        <v>37</v>
      </c>
      <c r="E2132" s="8" t="s">
        <v>10958</v>
      </c>
      <c r="F2132" s="17">
        <v>41723</v>
      </c>
      <c r="G2132" s="8" t="s">
        <v>10959</v>
      </c>
      <c r="H2132" s="8" t="s">
        <v>10960</v>
      </c>
      <c r="I2132" s="8" t="s">
        <v>303</v>
      </c>
      <c r="J2132" s="16" t="s">
        <v>10961</v>
      </c>
      <c r="K2132" s="2" t="s">
        <v>717</v>
      </c>
      <c r="L2132" s="8" t="s">
        <v>10962</v>
      </c>
      <c r="M2132" s="8" t="s">
        <v>27</v>
      </c>
      <c r="N2132" s="2" t="s">
        <v>10963</v>
      </c>
      <c r="O2132" s="8" t="s">
        <v>550</v>
      </c>
      <c r="P2132" s="8" t="s">
        <v>401</v>
      </c>
      <c r="Q2132" s="12" t="s">
        <v>10964</v>
      </c>
      <c r="R2132" s="8" t="s">
        <v>967</v>
      </c>
      <c r="S2132" s="7" t="s">
        <v>28</v>
      </c>
      <c r="T2132" s="6"/>
      <c r="U2132" s="8"/>
    </row>
    <row r="2133" spans="1:34" ht="13" customHeight="1">
      <c r="A2133" s="8" t="s">
        <v>10944</v>
      </c>
      <c r="B2133" s="16">
        <v>42</v>
      </c>
      <c r="C2133" s="8" t="s">
        <v>20</v>
      </c>
      <c r="D2133" s="8" t="s">
        <v>37</v>
      </c>
      <c r="E2133" s="8" t="s">
        <v>10945</v>
      </c>
      <c r="F2133" s="17">
        <v>41723</v>
      </c>
      <c r="G2133" s="8" t="s">
        <v>10946</v>
      </c>
      <c r="H2133" s="8" t="s">
        <v>7343</v>
      </c>
      <c r="I2133" s="8" t="s">
        <v>73</v>
      </c>
      <c r="J2133" s="16">
        <v>76903</v>
      </c>
      <c r="K2133" s="2" t="s">
        <v>7345</v>
      </c>
      <c r="L2133" s="8" t="s">
        <v>7346</v>
      </c>
      <c r="M2133" s="8" t="s">
        <v>27</v>
      </c>
      <c r="N2133" s="2" t="s">
        <v>10947</v>
      </c>
      <c r="O2133" s="8" t="s">
        <v>29</v>
      </c>
      <c r="P2133" s="8" t="s">
        <v>401</v>
      </c>
      <c r="Q2133" s="12" t="s">
        <v>10948</v>
      </c>
      <c r="R2133" s="8" t="s">
        <v>555</v>
      </c>
      <c r="S2133" s="7" t="s">
        <v>28</v>
      </c>
      <c r="T2133" s="6"/>
      <c r="U2133" s="8"/>
    </row>
    <row r="2134" spans="1:34" ht="13" customHeight="1">
      <c r="A2134" s="8" t="s">
        <v>10949</v>
      </c>
      <c r="B2134" s="16">
        <v>65</v>
      </c>
      <c r="C2134" s="8" t="s">
        <v>20</v>
      </c>
      <c r="D2134" s="8" t="s">
        <v>37</v>
      </c>
      <c r="E2134" s="8" t="s">
        <v>10950</v>
      </c>
      <c r="F2134" s="17">
        <v>41723</v>
      </c>
      <c r="G2134" s="8" t="s">
        <v>10951</v>
      </c>
      <c r="H2134" s="8" t="s">
        <v>10952</v>
      </c>
      <c r="I2134" s="8" t="s">
        <v>69</v>
      </c>
      <c r="J2134" s="16" t="s">
        <v>10953</v>
      </c>
      <c r="K2134" s="2" t="s">
        <v>105</v>
      </c>
      <c r="L2134" s="8" t="s">
        <v>10954</v>
      </c>
      <c r="M2134" s="8" t="s">
        <v>27</v>
      </c>
      <c r="N2134" s="2" t="s">
        <v>10955</v>
      </c>
      <c r="O2134" s="8" t="s">
        <v>550</v>
      </c>
      <c r="P2134" s="8" t="s">
        <v>401</v>
      </c>
      <c r="Q2134" s="12" t="s">
        <v>10956</v>
      </c>
      <c r="R2134" s="8" t="s">
        <v>967</v>
      </c>
      <c r="S2134" s="7" t="s">
        <v>28</v>
      </c>
      <c r="T2134" s="6"/>
      <c r="U2134" s="8"/>
    </row>
    <row r="2135" spans="1:34" ht="13" customHeight="1">
      <c r="A2135" s="8" t="s">
        <v>10965</v>
      </c>
      <c r="B2135" s="16">
        <v>27</v>
      </c>
      <c r="C2135" s="8" t="s">
        <v>20</v>
      </c>
      <c r="D2135" s="8" t="s">
        <v>37</v>
      </c>
      <c r="E2135" s="8" t="s">
        <v>10966</v>
      </c>
      <c r="F2135" s="17">
        <v>41722</v>
      </c>
      <c r="G2135" s="8" t="s">
        <v>10967</v>
      </c>
      <c r="H2135" s="8" t="s">
        <v>98</v>
      </c>
      <c r="I2135" s="8" t="s">
        <v>45</v>
      </c>
      <c r="J2135" s="16" t="s">
        <v>10968</v>
      </c>
      <c r="K2135" s="2" t="s">
        <v>98</v>
      </c>
      <c r="L2135" s="8" t="s">
        <v>99</v>
      </c>
      <c r="M2135" s="8" t="s">
        <v>27</v>
      </c>
      <c r="N2135" s="2" t="s">
        <v>10969</v>
      </c>
      <c r="O2135" s="8" t="s">
        <v>1013</v>
      </c>
      <c r="P2135" s="8" t="s">
        <v>401</v>
      </c>
      <c r="Q2135" s="12" t="s">
        <v>10970</v>
      </c>
      <c r="R2135" s="8" t="s">
        <v>100</v>
      </c>
      <c r="S2135" s="7" t="s">
        <v>28</v>
      </c>
      <c r="T2135" s="6"/>
      <c r="U2135" s="8"/>
    </row>
    <row r="2136" spans="1:34" ht="13" customHeight="1">
      <c r="A2136" s="8" t="s">
        <v>10971</v>
      </c>
      <c r="B2136" s="16">
        <v>25</v>
      </c>
      <c r="C2136" s="8" t="s">
        <v>20</v>
      </c>
      <c r="D2136" s="8" t="s">
        <v>85</v>
      </c>
      <c r="E2136" s="8" t="s">
        <v>10972</v>
      </c>
      <c r="F2136" s="17">
        <v>41721</v>
      </c>
      <c r="G2136" s="8" t="s">
        <v>10973</v>
      </c>
      <c r="H2136" s="8" t="s">
        <v>634</v>
      </c>
      <c r="I2136" s="8" t="s">
        <v>123</v>
      </c>
      <c r="J2136" s="16" t="s">
        <v>10974</v>
      </c>
      <c r="K2136" s="2" t="s">
        <v>635</v>
      </c>
      <c r="L2136" s="8" t="s">
        <v>636</v>
      </c>
      <c r="M2136" s="8" t="s">
        <v>27</v>
      </c>
      <c r="N2136" s="2" t="s">
        <v>10975</v>
      </c>
      <c r="O2136" s="8" t="s">
        <v>1013</v>
      </c>
      <c r="P2136" s="8" t="s">
        <v>401</v>
      </c>
      <c r="Q2136" s="12" t="s">
        <v>10976</v>
      </c>
      <c r="R2136" s="8" t="s">
        <v>29</v>
      </c>
      <c r="S2136" s="7" t="s">
        <v>18</v>
      </c>
      <c r="T2136" s="6"/>
      <c r="U2136" s="8"/>
      <c r="V2136" s="8"/>
      <c r="W2136" s="8"/>
      <c r="X2136" s="8"/>
    </row>
    <row r="2137" spans="1:34" ht="13" customHeight="1">
      <c r="A2137" s="8" t="s">
        <v>10977</v>
      </c>
      <c r="B2137" s="16">
        <v>73</v>
      </c>
      <c r="C2137" s="8" t="s">
        <v>20</v>
      </c>
      <c r="D2137" s="8" t="s">
        <v>37</v>
      </c>
      <c r="E2137" s="8" t="s">
        <v>10978</v>
      </c>
      <c r="F2137" s="17">
        <v>41721</v>
      </c>
      <c r="G2137" s="8" t="s">
        <v>10979</v>
      </c>
      <c r="H2137" s="8" t="s">
        <v>1097</v>
      </c>
      <c r="I2137" s="8" t="s">
        <v>395</v>
      </c>
      <c r="J2137" s="16" t="s">
        <v>4063</v>
      </c>
      <c r="K2137" s="2" t="s">
        <v>1098</v>
      </c>
      <c r="L2137" s="8" t="s">
        <v>1099</v>
      </c>
      <c r="M2137" s="8" t="s">
        <v>27</v>
      </c>
      <c r="N2137" s="2" t="s">
        <v>10980</v>
      </c>
      <c r="O2137" s="8" t="s">
        <v>1013</v>
      </c>
      <c r="P2137" s="8" t="s">
        <v>401</v>
      </c>
      <c r="Q2137" s="12" t="s">
        <v>10981</v>
      </c>
      <c r="R2137" s="8" t="s">
        <v>555</v>
      </c>
      <c r="S2137" s="7" t="s">
        <v>28</v>
      </c>
      <c r="T2137" s="6"/>
      <c r="U2137" s="8"/>
    </row>
    <row r="2138" spans="1:34" ht="13" customHeight="1">
      <c r="A2138" s="8" t="s">
        <v>10982</v>
      </c>
      <c r="B2138" s="16">
        <v>18</v>
      </c>
      <c r="C2138" s="8" t="s">
        <v>20</v>
      </c>
      <c r="D2138" s="8" t="s">
        <v>85</v>
      </c>
      <c r="E2138" s="8" t="s">
        <v>10983</v>
      </c>
      <c r="F2138" s="17">
        <v>41720</v>
      </c>
      <c r="G2138" s="8" t="s">
        <v>10984</v>
      </c>
      <c r="H2138" s="8" t="s">
        <v>471</v>
      </c>
      <c r="I2138" s="8" t="s">
        <v>472</v>
      </c>
      <c r="J2138" s="16" t="s">
        <v>10985</v>
      </c>
      <c r="K2138" s="2" t="s">
        <v>471</v>
      </c>
      <c r="L2138" s="8" t="s">
        <v>10986</v>
      </c>
      <c r="M2138" s="8" t="s">
        <v>27</v>
      </c>
      <c r="N2138" s="2" t="s">
        <v>10987</v>
      </c>
      <c r="O2138" s="8" t="s">
        <v>1013</v>
      </c>
      <c r="P2138" s="8" t="s">
        <v>401</v>
      </c>
      <c r="Q2138" s="12" t="s">
        <v>10988</v>
      </c>
      <c r="R2138" s="8" t="s">
        <v>100</v>
      </c>
      <c r="S2138" s="7" t="s">
        <v>28</v>
      </c>
      <c r="T2138" s="6"/>
      <c r="U2138" s="8"/>
    </row>
    <row r="2139" spans="1:34" ht="13" customHeight="1">
      <c r="A2139" s="8" t="s">
        <v>10989</v>
      </c>
      <c r="B2139" s="16">
        <v>25</v>
      </c>
      <c r="C2139" s="8" t="s">
        <v>20</v>
      </c>
      <c r="D2139" s="8" t="s">
        <v>37</v>
      </c>
      <c r="E2139" s="8" t="s">
        <v>10990</v>
      </c>
      <c r="F2139" s="17">
        <v>41720</v>
      </c>
      <c r="G2139" s="8" t="s">
        <v>10991</v>
      </c>
      <c r="H2139" s="8" t="s">
        <v>9992</v>
      </c>
      <c r="I2139" s="8" t="s">
        <v>303</v>
      </c>
      <c r="J2139" s="16" t="s">
        <v>9993</v>
      </c>
      <c r="K2139" s="2" t="s">
        <v>886</v>
      </c>
      <c r="L2139" s="8" t="s">
        <v>10992</v>
      </c>
      <c r="M2139" s="8" t="s">
        <v>27</v>
      </c>
      <c r="N2139" s="2" t="s">
        <v>10993</v>
      </c>
      <c r="O2139" s="8" t="s">
        <v>550</v>
      </c>
      <c r="P2139" s="8" t="s">
        <v>401</v>
      </c>
      <c r="Q2139" s="12" t="s">
        <v>10994</v>
      </c>
      <c r="R2139" s="8" t="s">
        <v>967</v>
      </c>
      <c r="S2139" s="7" t="s">
        <v>28</v>
      </c>
      <c r="T2139" s="6"/>
      <c r="U2139" s="8"/>
    </row>
    <row r="2140" spans="1:34" ht="13" customHeight="1">
      <c r="A2140" s="8" t="s">
        <v>11006</v>
      </c>
      <c r="B2140" s="16">
        <v>45</v>
      </c>
      <c r="C2140" s="8" t="s">
        <v>20</v>
      </c>
      <c r="D2140" s="8" t="s">
        <v>85</v>
      </c>
      <c r="E2140" s="8" t="str">
        <f>HYPERLINK("http://www.gannett-cdn.com/-mm-/cbbdacfe4e1c4318f635c9789244aebac3fd509e/c=0-526-968-1254&amp;r=x404&amp;c=534x401/local/-/media/Westchester/Westchester/2014/09/07/1410147536000-TJN-0901-tenadeath-1-(2).jpg","http://www.gannett-cdn.com/-mm-/cbbdacfe4e1c4318f635c9789244aebac3fd509e/c=0-526-968-1254&amp;r=x404&amp;c=534x401/local/-/media/Westchester/Westchester/2014/09/07/1410147536000-TJN-0901-tenadeath-1-(2).jpg")</f>
        <v>http://www.gannett-cdn.com/-mm-/cbbdacfe4e1c4318f635c9789244aebac3fd509e/c=0-526-968-1254&amp;r=x404&amp;c=534x401/local/-/media/Westchester/Westchester/2014/09/07/1410147536000-TJN-0901-tenadeath-1-(2).jpg</v>
      </c>
      <c r="F2140" s="17">
        <v>41719</v>
      </c>
      <c r="G2140" s="8" t="s">
        <v>11007</v>
      </c>
      <c r="H2140" s="8" t="s">
        <v>9293</v>
      </c>
      <c r="I2140" s="8" t="s">
        <v>423</v>
      </c>
      <c r="J2140" s="16" t="s">
        <v>11008</v>
      </c>
      <c r="K2140" s="2" t="s">
        <v>581</v>
      </c>
      <c r="L2140" s="8" t="s">
        <v>9295</v>
      </c>
      <c r="M2140" s="8" t="s">
        <v>9692</v>
      </c>
      <c r="N2140" s="2" t="s">
        <v>11009</v>
      </c>
      <c r="O2140" s="8" t="s">
        <v>400</v>
      </c>
      <c r="P2140" s="8" t="s">
        <v>401</v>
      </c>
      <c r="Q2140" s="12" t="s">
        <v>11010</v>
      </c>
      <c r="R2140" s="8" t="s">
        <v>100</v>
      </c>
      <c r="S2140" s="7" t="s">
        <v>28</v>
      </c>
      <c r="T2140" s="6"/>
      <c r="U2140" s="8"/>
      <c r="V2140" s="8"/>
      <c r="W2140" s="8"/>
      <c r="X2140" s="8"/>
    </row>
    <row r="2141" spans="1:34" ht="13" customHeight="1">
      <c r="A2141" s="8" t="s">
        <v>11001</v>
      </c>
      <c r="B2141" s="16">
        <v>21</v>
      </c>
      <c r="C2141" s="8" t="s">
        <v>20</v>
      </c>
      <c r="D2141" s="8" t="s">
        <v>85</v>
      </c>
      <c r="F2141" s="17">
        <v>41719</v>
      </c>
      <c r="G2141" s="8" t="s">
        <v>11002</v>
      </c>
      <c r="H2141" s="8" t="s">
        <v>653</v>
      </c>
      <c r="I2141" s="8" t="s">
        <v>62</v>
      </c>
      <c r="J2141" s="16" t="s">
        <v>11003</v>
      </c>
      <c r="K2141" s="2" t="s">
        <v>654</v>
      </c>
      <c r="L2141" s="8" t="s">
        <v>655</v>
      </c>
      <c r="M2141" s="8" t="s">
        <v>27</v>
      </c>
      <c r="N2141" s="2" t="s">
        <v>11004</v>
      </c>
      <c r="O2141" s="8" t="s">
        <v>400</v>
      </c>
      <c r="P2141" s="8" t="s">
        <v>401</v>
      </c>
      <c r="Q2141" s="12" t="s">
        <v>11005</v>
      </c>
      <c r="R2141" s="8" t="s">
        <v>100</v>
      </c>
      <c r="S2141" s="7" t="s">
        <v>28</v>
      </c>
      <c r="T2141" s="6"/>
      <c r="U2141" s="8"/>
    </row>
    <row r="2142" spans="1:34" ht="13" customHeight="1">
      <c r="A2142" s="8" t="s">
        <v>11011</v>
      </c>
      <c r="B2142" s="16">
        <v>51</v>
      </c>
      <c r="C2142" s="8" t="s">
        <v>20</v>
      </c>
      <c r="D2142" s="8" t="s">
        <v>85</v>
      </c>
      <c r="E2142" s="8" t="s">
        <v>11012</v>
      </c>
      <c r="F2142" s="17">
        <v>41719</v>
      </c>
      <c r="G2142" s="8" t="s">
        <v>11013</v>
      </c>
      <c r="H2142" s="8" t="s">
        <v>2031</v>
      </c>
      <c r="I2142" s="8" t="s">
        <v>319</v>
      </c>
      <c r="J2142" s="16" t="s">
        <v>11014</v>
      </c>
      <c r="K2142" s="2" t="s">
        <v>882</v>
      </c>
      <c r="L2142" s="8" t="s">
        <v>883</v>
      </c>
      <c r="M2142" s="8" t="s">
        <v>27</v>
      </c>
      <c r="N2142" s="2" t="s">
        <v>11015</v>
      </c>
      <c r="O2142" s="8" t="s">
        <v>1013</v>
      </c>
      <c r="P2142" s="8" t="s">
        <v>401</v>
      </c>
      <c r="Q2142" s="12" t="str">
        <f>HYPERLINK("http://www.tennessean.com/story/news/crime/2014/03/21/dozens-officers-scene-elliston-place-shooting/6716709/","http://www.tennessean.com/story/news/crime/2014/03/21/dozens-officers-scene-elliston-place-shooting/6716709/")</f>
        <v>http://www.tennessean.com/story/news/crime/2014/03/21/dozens-officers-scene-elliston-place-shooting/6716709/</v>
      </c>
      <c r="R2142" s="8" t="s">
        <v>967</v>
      </c>
      <c r="S2142" s="7" t="s">
        <v>28</v>
      </c>
      <c r="T2142" s="6"/>
      <c r="U2142" s="8"/>
    </row>
    <row r="2143" spans="1:34" ht="13" customHeight="1">
      <c r="A2143" s="8" t="s">
        <v>10995</v>
      </c>
      <c r="B2143" s="16">
        <v>29</v>
      </c>
      <c r="C2143" s="8" t="s">
        <v>20</v>
      </c>
      <c r="D2143" s="8" t="s">
        <v>85</v>
      </c>
      <c r="E2143" s="8" t="s">
        <v>10996</v>
      </c>
      <c r="F2143" s="17">
        <v>41719</v>
      </c>
      <c r="G2143" s="8" t="s">
        <v>10997</v>
      </c>
      <c r="H2143" s="8" t="s">
        <v>10998</v>
      </c>
      <c r="I2143" s="8" t="s">
        <v>52</v>
      </c>
      <c r="J2143" s="16" t="s">
        <v>10999</v>
      </c>
      <c r="K2143" s="2" t="s">
        <v>9774</v>
      </c>
      <c r="L2143" s="8" t="s">
        <v>698</v>
      </c>
      <c r="M2143" s="8" t="s">
        <v>27</v>
      </c>
      <c r="N2143" s="2" t="s">
        <v>21628</v>
      </c>
      <c r="O2143" s="8" t="s">
        <v>400</v>
      </c>
      <c r="P2143" s="8" t="s">
        <v>401</v>
      </c>
      <c r="Q2143" s="12" t="s">
        <v>11000</v>
      </c>
      <c r="R2143" s="8" t="s">
        <v>100</v>
      </c>
      <c r="S2143" s="7" t="s">
        <v>379</v>
      </c>
      <c r="T2143" s="6"/>
      <c r="U2143" s="8"/>
    </row>
    <row r="2144" spans="1:34" ht="13" customHeight="1">
      <c r="A2144" s="8" t="s">
        <v>11016</v>
      </c>
      <c r="B2144" s="16">
        <v>28</v>
      </c>
      <c r="C2144" s="8" t="s">
        <v>20</v>
      </c>
      <c r="D2144" s="8" t="s">
        <v>48</v>
      </c>
      <c r="E2144" s="8" t="s">
        <v>11017</v>
      </c>
      <c r="F2144" s="17">
        <v>41719</v>
      </c>
      <c r="G2144" s="8" t="s">
        <v>11018</v>
      </c>
      <c r="H2144" s="8" t="s">
        <v>948</v>
      </c>
      <c r="I2144" s="8" t="s">
        <v>45</v>
      </c>
      <c r="J2144" s="16" t="s">
        <v>4034</v>
      </c>
      <c r="K2144" s="2" t="s">
        <v>948</v>
      </c>
      <c r="L2144" s="8" t="s">
        <v>949</v>
      </c>
      <c r="M2144" s="8" t="s">
        <v>27</v>
      </c>
      <c r="N2144" s="2" t="s">
        <v>11019</v>
      </c>
      <c r="O2144" s="8" t="s">
        <v>1013</v>
      </c>
      <c r="P2144" s="8" t="s">
        <v>401</v>
      </c>
      <c r="Q2144" s="12" t="s">
        <v>11020</v>
      </c>
      <c r="R2144" s="8" t="s">
        <v>555</v>
      </c>
      <c r="S2144" s="7" t="s">
        <v>28</v>
      </c>
      <c r="T2144" s="6"/>
      <c r="U2144" s="8"/>
    </row>
    <row r="2145" spans="1:39" ht="13" customHeight="1">
      <c r="A2145" s="8" t="s">
        <v>11021</v>
      </c>
      <c r="B2145" s="16">
        <v>44</v>
      </c>
      <c r="C2145" s="8" t="s">
        <v>20</v>
      </c>
      <c r="D2145" s="8" t="s">
        <v>37</v>
      </c>
      <c r="E2145" s="8" t="s">
        <v>11022</v>
      </c>
      <c r="F2145" s="17">
        <v>41719</v>
      </c>
      <c r="G2145" s="8" t="s">
        <v>11023</v>
      </c>
      <c r="H2145" s="8" t="s">
        <v>11024</v>
      </c>
      <c r="I2145" s="8" t="s">
        <v>73</v>
      </c>
      <c r="J2145" s="16" t="s">
        <v>11025</v>
      </c>
      <c r="K2145" s="2" t="s">
        <v>2593</v>
      </c>
      <c r="L2145" s="8" t="s">
        <v>11026</v>
      </c>
      <c r="M2145" s="8" t="s">
        <v>3169</v>
      </c>
      <c r="N2145" s="2" t="s">
        <v>11027</v>
      </c>
      <c r="O2145" s="8" t="s">
        <v>29</v>
      </c>
      <c r="P2145" s="8" t="s">
        <v>401</v>
      </c>
      <c r="Q2145" s="12" t="s">
        <v>11028</v>
      </c>
      <c r="R2145" s="8" t="s">
        <v>967</v>
      </c>
      <c r="S2145" s="7" t="s">
        <v>18</v>
      </c>
      <c r="T2145" s="6"/>
      <c r="U2145" s="8"/>
    </row>
    <row r="2146" spans="1:39" ht="13" customHeight="1">
      <c r="A2146" s="8" t="s">
        <v>11029</v>
      </c>
      <c r="B2146" s="16">
        <v>74</v>
      </c>
      <c r="C2146" s="8" t="s">
        <v>20</v>
      </c>
      <c r="D2146" s="8" t="s">
        <v>37</v>
      </c>
      <c r="E2146" s="8" t="s">
        <v>11030</v>
      </c>
      <c r="F2146" s="17">
        <v>41719</v>
      </c>
      <c r="G2146" s="8" t="s">
        <v>11031</v>
      </c>
      <c r="H2146" s="8" t="s">
        <v>98</v>
      </c>
      <c r="I2146" s="8" t="s">
        <v>45</v>
      </c>
      <c r="J2146" s="16">
        <v>91356</v>
      </c>
      <c r="K2146" s="2" t="s">
        <v>98</v>
      </c>
      <c r="L2146" s="8" t="s">
        <v>414</v>
      </c>
      <c r="M2146" s="8" t="s">
        <v>27</v>
      </c>
      <c r="N2146" s="2" t="s">
        <v>11032</v>
      </c>
      <c r="P2146" s="8" t="s">
        <v>401</v>
      </c>
      <c r="Q2146" s="12" t="s">
        <v>11033</v>
      </c>
      <c r="S2146" s="7" t="s">
        <v>28</v>
      </c>
      <c r="T2146" s="6"/>
      <c r="U2146" s="8"/>
    </row>
    <row r="2147" spans="1:39" ht="13" customHeight="1">
      <c r="A2147" s="8" t="s">
        <v>11034</v>
      </c>
      <c r="B2147" s="16">
        <v>42</v>
      </c>
      <c r="C2147" s="8" t="s">
        <v>20</v>
      </c>
      <c r="D2147" s="8" t="s">
        <v>48</v>
      </c>
      <c r="E2147" s="8" t="s">
        <v>11035</v>
      </c>
      <c r="F2147" s="17">
        <v>41718</v>
      </c>
      <c r="G2147" s="8" t="s">
        <v>11036</v>
      </c>
      <c r="H2147" s="8" t="s">
        <v>6383</v>
      </c>
      <c r="I2147" s="8" t="s">
        <v>45</v>
      </c>
      <c r="J2147" s="16" t="s">
        <v>6384</v>
      </c>
      <c r="K2147" s="2" t="s">
        <v>65</v>
      </c>
      <c r="L2147" s="8" t="s">
        <v>6385</v>
      </c>
      <c r="M2147" s="8" t="s">
        <v>27</v>
      </c>
      <c r="N2147" s="2" t="s">
        <v>11037</v>
      </c>
      <c r="O2147" s="8" t="s">
        <v>550</v>
      </c>
      <c r="P2147" s="8" t="s">
        <v>401</v>
      </c>
      <c r="Q2147" s="12" t="s">
        <v>11038</v>
      </c>
      <c r="R2147" s="8" t="s">
        <v>29</v>
      </c>
      <c r="S2147" s="7" t="s">
        <v>28</v>
      </c>
      <c r="T2147" s="6"/>
      <c r="U2147" s="8"/>
    </row>
    <row r="2148" spans="1:39" ht="13" customHeight="1">
      <c r="A2148" s="8" t="s">
        <v>11039</v>
      </c>
      <c r="B2148" s="16">
        <v>40</v>
      </c>
      <c r="C2148" s="8" t="s">
        <v>20</v>
      </c>
      <c r="D2148" s="8" t="s">
        <v>48</v>
      </c>
      <c r="E2148" s="8" t="s">
        <v>11040</v>
      </c>
      <c r="F2148" s="17">
        <v>41718</v>
      </c>
      <c r="G2148" s="8" t="s">
        <v>11041</v>
      </c>
      <c r="H2148" s="8" t="s">
        <v>11042</v>
      </c>
      <c r="I2148" s="8" t="s">
        <v>45</v>
      </c>
      <c r="J2148" s="16" t="s">
        <v>11043</v>
      </c>
      <c r="K2148" s="2" t="s">
        <v>65</v>
      </c>
      <c r="L2148" s="8" t="s">
        <v>11044</v>
      </c>
      <c r="M2148" s="8" t="s">
        <v>27</v>
      </c>
      <c r="N2148" s="2" t="s">
        <v>11045</v>
      </c>
      <c r="O2148" s="8" t="s">
        <v>1013</v>
      </c>
      <c r="P2148" s="8" t="s">
        <v>401</v>
      </c>
      <c r="Q2148" s="12" t="s">
        <v>11046</v>
      </c>
      <c r="R2148" s="8" t="s">
        <v>29</v>
      </c>
      <c r="S2148" s="7" t="s">
        <v>35</v>
      </c>
      <c r="T2148" s="6"/>
      <c r="U2148" s="8"/>
    </row>
    <row r="2149" spans="1:39" ht="13" customHeight="1">
      <c r="A2149" s="8" t="s">
        <v>11047</v>
      </c>
      <c r="B2149" s="16">
        <v>21</v>
      </c>
      <c r="C2149" s="8" t="s">
        <v>20</v>
      </c>
      <c r="D2149" s="8" t="s">
        <v>37</v>
      </c>
      <c r="E2149" s="8" t="s">
        <v>11048</v>
      </c>
      <c r="F2149" s="17">
        <v>41718</v>
      </c>
      <c r="G2149" s="8" t="s">
        <v>11049</v>
      </c>
      <c r="H2149" s="8" t="s">
        <v>1882</v>
      </c>
      <c r="I2149" s="8" t="s">
        <v>45</v>
      </c>
      <c r="J2149" s="16" t="s">
        <v>1883</v>
      </c>
      <c r="K2149" s="2" t="s">
        <v>1064</v>
      </c>
      <c r="L2149" s="8" t="s">
        <v>1884</v>
      </c>
      <c r="M2149" s="8" t="s">
        <v>27</v>
      </c>
      <c r="N2149" s="2" t="s">
        <v>11050</v>
      </c>
      <c r="O2149" s="8" t="s">
        <v>550</v>
      </c>
      <c r="P2149" s="8" t="s">
        <v>401</v>
      </c>
      <c r="Q2149" s="12" t="str">
        <f>HYPERLINK("http://blogs.ocweekly.com/navelgazing/2014/03/police_shooting_in_anaheim_lea.php?page=2","http://blogs.ocweekly.com/navelgazing/2014/03/police_shooting_in_anaheim_lea.php?page=2")</f>
        <v>http://blogs.ocweekly.com/navelgazing/2014/03/police_shooting_in_anaheim_lea.php?page=2</v>
      </c>
      <c r="R2149" s="8" t="s">
        <v>100</v>
      </c>
      <c r="S2149" s="7" t="s">
        <v>28</v>
      </c>
      <c r="T2149" s="6"/>
      <c r="U2149" s="8"/>
      <c r="Y2149" s="8"/>
      <c r="Z2149" s="8"/>
      <c r="AA2149" s="8"/>
      <c r="AB2149" s="8"/>
      <c r="AC2149" s="8"/>
      <c r="AD2149" s="8"/>
      <c r="AE2149" s="8"/>
      <c r="AF2149" s="8"/>
      <c r="AG2149" s="8"/>
      <c r="AH2149" s="8"/>
    </row>
    <row r="2150" spans="1:39" ht="13" customHeight="1">
      <c r="A2150" s="8" t="s">
        <v>11051</v>
      </c>
      <c r="B2150" s="16">
        <v>30</v>
      </c>
      <c r="C2150" s="8" t="s">
        <v>20</v>
      </c>
      <c r="D2150" s="8" t="s">
        <v>37</v>
      </c>
      <c r="E2150" s="8" t="s">
        <v>11052</v>
      </c>
      <c r="F2150" s="17">
        <v>41718</v>
      </c>
      <c r="G2150" s="8" t="s">
        <v>11053</v>
      </c>
      <c r="H2150" s="8" t="s">
        <v>1631</v>
      </c>
      <c r="I2150" s="8" t="s">
        <v>463</v>
      </c>
      <c r="J2150" s="16" t="s">
        <v>4129</v>
      </c>
      <c r="K2150" s="2" t="s">
        <v>941</v>
      </c>
      <c r="L2150" s="8" t="s">
        <v>2258</v>
      </c>
      <c r="M2150" s="8" t="s">
        <v>27</v>
      </c>
      <c r="N2150" s="2" t="s">
        <v>11054</v>
      </c>
      <c r="O2150" s="8" t="s">
        <v>550</v>
      </c>
      <c r="P2150" s="8" t="s">
        <v>401</v>
      </c>
      <c r="Q2150" s="12" t="str">
        <f>HYPERLINK("http://www.ketv.com/news/police-id-man-killed-in-officer-involved-shooting/25060968#!bIoKti","http://www.ketv.com/news/police-id-man-killed-in-officer-involved-shooting/25060968#!bIoKti")</f>
        <v>http://www.ketv.com/news/police-id-man-killed-in-officer-involved-shooting/25060968#!bIoKti</v>
      </c>
      <c r="R2150" s="8" t="s">
        <v>967</v>
      </c>
      <c r="S2150" s="7" t="s">
        <v>28</v>
      </c>
      <c r="T2150" s="6"/>
      <c r="U2150" s="8"/>
    </row>
    <row r="2151" spans="1:39" ht="13" customHeight="1">
      <c r="A2151" s="8" t="s">
        <v>11055</v>
      </c>
      <c r="B2151" s="16">
        <v>34</v>
      </c>
      <c r="C2151" s="8" t="s">
        <v>20</v>
      </c>
      <c r="D2151" s="8" t="s">
        <v>21</v>
      </c>
      <c r="E2151" s="8" t="s">
        <v>11056</v>
      </c>
      <c r="F2151" s="17">
        <v>41717</v>
      </c>
      <c r="G2151" s="8" t="s">
        <v>11057</v>
      </c>
      <c r="H2151" s="8" t="s">
        <v>11058</v>
      </c>
      <c r="I2151" s="8" t="s">
        <v>45</v>
      </c>
      <c r="J2151" s="16" t="s">
        <v>11059</v>
      </c>
      <c r="K2151" s="2" t="s">
        <v>4661</v>
      </c>
      <c r="L2151" s="8" t="s">
        <v>11060</v>
      </c>
      <c r="M2151" s="8" t="s">
        <v>27</v>
      </c>
      <c r="N2151" s="2" t="s">
        <v>11061</v>
      </c>
      <c r="O2151" s="8" t="s">
        <v>550</v>
      </c>
      <c r="P2151" s="8" t="s">
        <v>401</v>
      </c>
      <c r="Q2151" s="12" t="s">
        <v>11062</v>
      </c>
      <c r="R2151" s="8" t="s">
        <v>555</v>
      </c>
      <c r="S2151" s="7" t="s">
        <v>28</v>
      </c>
      <c r="T2151" s="6"/>
      <c r="U2151" s="8"/>
      <c r="AI2151" s="8"/>
      <c r="AJ2151" s="8"/>
      <c r="AK2151" s="8"/>
      <c r="AL2151" s="8"/>
      <c r="AM2151" s="8"/>
    </row>
    <row r="2152" spans="1:39" ht="13" customHeight="1">
      <c r="A2152" s="8" t="s">
        <v>11063</v>
      </c>
      <c r="B2152" s="16">
        <v>50</v>
      </c>
      <c r="C2152" s="8" t="s">
        <v>20</v>
      </c>
      <c r="D2152" s="8" t="s">
        <v>37</v>
      </c>
      <c r="E2152" s="8" t="s">
        <v>11064</v>
      </c>
      <c r="F2152" s="17">
        <v>41717</v>
      </c>
      <c r="G2152" s="8" t="s">
        <v>11065</v>
      </c>
      <c r="H2152" s="8" t="s">
        <v>3847</v>
      </c>
      <c r="I2152" s="8" t="s">
        <v>209</v>
      </c>
      <c r="J2152" s="16" t="s">
        <v>11066</v>
      </c>
      <c r="K2152" s="2" t="s">
        <v>1927</v>
      </c>
      <c r="L2152" s="8" t="s">
        <v>3850</v>
      </c>
      <c r="M2152" s="8" t="s">
        <v>27</v>
      </c>
      <c r="N2152" s="2" t="s">
        <v>11067</v>
      </c>
      <c r="O2152" s="8" t="s">
        <v>550</v>
      </c>
      <c r="P2152" s="8" t="s">
        <v>401</v>
      </c>
      <c r="Q2152" s="12" t="s">
        <v>11068</v>
      </c>
      <c r="R2152" s="8" t="s">
        <v>967</v>
      </c>
      <c r="S2152" s="7" t="s">
        <v>28</v>
      </c>
      <c r="T2152" s="6"/>
      <c r="U2152" s="8"/>
      <c r="Y2152" s="8"/>
      <c r="Z2152" s="8"/>
      <c r="AA2152" s="8"/>
      <c r="AB2152" s="8"/>
      <c r="AC2152" s="8"/>
      <c r="AD2152" s="8"/>
      <c r="AE2152" s="8"/>
      <c r="AF2152" s="8"/>
      <c r="AG2152" s="8"/>
      <c r="AH2152" s="8"/>
    </row>
    <row r="2153" spans="1:39" ht="13" customHeight="1">
      <c r="A2153" s="8" t="s">
        <v>11069</v>
      </c>
      <c r="B2153" s="16">
        <v>19</v>
      </c>
      <c r="C2153" s="8" t="s">
        <v>20</v>
      </c>
      <c r="D2153" s="8" t="s">
        <v>85</v>
      </c>
      <c r="F2153" s="17">
        <v>41716</v>
      </c>
      <c r="G2153" s="8" t="s">
        <v>11070</v>
      </c>
      <c r="H2153" s="8" t="s">
        <v>118</v>
      </c>
      <c r="I2153" s="8" t="s">
        <v>3685</v>
      </c>
      <c r="J2153" s="16" t="s">
        <v>11071</v>
      </c>
      <c r="K2153" s="2" t="s">
        <v>3687</v>
      </c>
      <c r="L2153" s="8" t="s">
        <v>11072</v>
      </c>
      <c r="M2153" s="8" t="s">
        <v>27</v>
      </c>
      <c r="N2153" s="2" t="s">
        <v>11073</v>
      </c>
      <c r="O2153" s="8" t="s">
        <v>1013</v>
      </c>
      <c r="P2153" s="8" t="s">
        <v>401</v>
      </c>
      <c r="Q2153" s="12" t="str">
        <f>HYPERLINK("http://www.washingtonpost.com/local/crime/police-involved-in-shooting-person-in-nw/2014/03/18/7f80b924-ae8e-11e3-96dc-d6ea14c099f9_story.html","http://www.washingtonpost.com/local/crime/police-involved-in-shooting-person-in-nw/2014/03/18/7f80b924-ae8e-11e3-96dc-d6ea14c099f9_story.html")</f>
        <v>http://www.washingtonpost.com/local/crime/police-involved-in-shooting-person-in-nw/2014/03/18/7f80b924-ae8e-11e3-96dc-d6ea14c099f9_story.html</v>
      </c>
      <c r="R2153" s="8" t="s">
        <v>100</v>
      </c>
      <c r="S2153" s="7" t="s">
        <v>28</v>
      </c>
      <c r="T2153" s="6"/>
      <c r="U2153" s="8"/>
    </row>
    <row r="2154" spans="1:39" ht="13" customHeight="1">
      <c r="A2154" s="8" t="s">
        <v>11074</v>
      </c>
      <c r="B2154" s="16">
        <v>32</v>
      </c>
      <c r="C2154" s="8" t="s">
        <v>20</v>
      </c>
      <c r="D2154" s="8" t="s">
        <v>85</v>
      </c>
      <c r="E2154" s="8" t="s">
        <v>11075</v>
      </c>
      <c r="F2154" s="17">
        <v>41716</v>
      </c>
      <c r="G2154" s="8" t="s">
        <v>11076</v>
      </c>
      <c r="H2154" s="8" t="s">
        <v>3922</v>
      </c>
      <c r="I2154" s="8" t="s">
        <v>52</v>
      </c>
      <c r="J2154" s="16" t="s">
        <v>3923</v>
      </c>
      <c r="K2154" s="2" t="s">
        <v>3924</v>
      </c>
      <c r="L2154" s="8" t="s">
        <v>698</v>
      </c>
      <c r="M2154" s="8" t="s">
        <v>27</v>
      </c>
      <c r="N2154" s="2" t="s">
        <v>11077</v>
      </c>
      <c r="O2154" s="8" t="s">
        <v>1013</v>
      </c>
      <c r="P2154" s="8" t="s">
        <v>401</v>
      </c>
      <c r="Q2154" s="12" t="s">
        <v>11078</v>
      </c>
      <c r="R2154" s="8" t="s">
        <v>100</v>
      </c>
      <c r="S2154" s="7" t="s">
        <v>28</v>
      </c>
      <c r="T2154" s="6"/>
      <c r="U2154" s="8"/>
    </row>
    <row r="2155" spans="1:39" ht="13" customHeight="1">
      <c r="A2155" s="8" t="s">
        <v>11079</v>
      </c>
      <c r="B2155" s="16">
        <v>21</v>
      </c>
      <c r="C2155" s="8" t="s">
        <v>20</v>
      </c>
      <c r="D2155" s="8" t="s">
        <v>37</v>
      </c>
      <c r="E2155" s="8" t="str">
        <f>HYPERLINK("http://www.peacefulalternatives.com/fh/obituaries/obituary.cfm?o_id=2458194&amp;fh_id=14153","http://www.peacefulalternatives.com/fh/obituaries/obituary.cfm?o_id=2458194&amp;fh_id=14153")</f>
        <v>http://www.peacefulalternatives.com/fh/obituaries/obituary.cfm?o_id=2458194&amp;fh_id=14153</v>
      </c>
      <c r="F2155" s="17">
        <v>41716</v>
      </c>
      <c r="G2155" s="8" t="s">
        <v>11080</v>
      </c>
      <c r="H2155" s="8" t="s">
        <v>11081</v>
      </c>
      <c r="I2155" s="8" t="s">
        <v>52</v>
      </c>
      <c r="J2155" s="16" t="s">
        <v>11082</v>
      </c>
      <c r="K2155" s="2" t="s">
        <v>1596</v>
      </c>
      <c r="L2155" s="8" t="s">
        <v>231</v>
      </c>
      <c r="M2155" s="8" t="s">
        <v>27</v>
      </c>
      <c r="N2155" s="2" t="s">
        <v>11083</v>
      </c>
      <c r="O2155" s="8" t="s">
        <v>1013</v>
      </c>
      <c r="P2155" s="8" t="s">
        <v>401</v>
      </c>
      <c r="Q2155" s="12" t="s">
        <v>11084</v>
      </c>
      <c r="R2155" s="8" t="s">
        <v>29</v>
      </c>
      <c r="S2155" s="7" t="s">
        <v>28</v>
      </c>
      <c r="T2155" s="6"/>
      <c r="U2155" s="8"/>
    </row>
    <row r="2156" spans="1:39" ht="13" customHeight="1">
      <c r="A2156" s="8" t="s">
        <v>11085</v>
      </c>
      <c r="B2156" s="16">
        <v>26</v>
      </c>
      <c r="C2156" s="8" t="s">
        <v>20</v>
      </c>
      <c r="D2156" s="8" t="s">
        <v>37</v>
      </c>
      <c r="E2156" s="8" t="s">
        <v>11086</v>
      </c>
      <c r="F2156" s="17">
        <v>41716</v>
      </c>
      <c r="G2156" s="8" t="s">
        <v>11087</v>
      </c>
      <c r="H2156" s="8" t="s">
        <v>634</v>
      </c>
      <c r="I2156" s="8" t="s">
        <v>123</v>
      </c>
      <c r="J2156" s="16" t="s">
        <v>11088</v>
      </c>
      <c r="K2156" s="2" t="s">
        <v>635</v>
      </c>
      <c r="L2156" s="8" t="s">
        <v>636</v>
      </c>
      <c r="M2156" s="8" t="s">
        <v>27</v>
      </c>
      <c r="N2156" s="2" t="s">
        <v>21459</v>
      </c>
      <c r="O2156" s="8" t="s">
        <v>550</v>
      </c>
      <c r="P2156" s="8" t="s">
        <v>401</v>
      </c>
      <c r="Q2156" s="12" t="s">
        <v>21470</v>
      </c>
      <c r="R2156" s="8" t="s">
        <v>100</v>
      </c>
      <c r="S2156" s="7" t="s">
        <v>18</v>
      </c>
      <c r="T2156" s="6"/>
      <c r="U2156" s="8"/>
      <c r="V2156" s="8"/>
      <c r="W2156" s="8"/>
      <c r="X2156" s="8"/>
    </row>
    <row r="2157" spans="1:39" ht="13" customHeight="1">
      <c r="A2157" s="8" t="s">
        <v>11089</v>
      </c>
      <c r="B2157" s="16">
        <v>26</v>
      </c>
      <c r="C2157" s="8" t="s">
        <v>20</v>
      </c>
      <c r="D2157" s="8" t="s">
        <v>85</v>
      </c>
      <c r="E2157" s="8" t="s">
        <v>11090</v>
      </c>
      <c r="F2157" s="17">
        <v>41715</v>
      </c>
      <c r="G2157" s="8" t="s">
        <v>11091</v>
      </c>
      <c r="H2157" s="8" t="s">
        <v>726</v>
      </c>
      <c r="I2157" s="8" t="s">
        <v>73</v>
      </c>
      <c r="J2157" s="16" t="s">
        <v>6875</v>
      </c>
      <c r="K2157" s="2" t="s">
        <v>558</v>
      </c>
      <c r="L2157" s="8" t="s">
        <v>727</v>
      </c>
      <c r="M2157" s="8" t="s">
        <v>27</v>
      </c>
      <c r="N2157" s="2" t="s">
        <v>11092</v>
      </c>
      <c r="O2157" s="8" t="s">
        <v>1013</v>
      </c>
      <c r="P2157" s="8" t="s">
        <v>401</v>
      </c>
      <c r="Q2157" s="12" t="s">
        <v>11093</v>
      </c>
      <c r="R2157" s="8" t="s">
        <v>555</v>
      </c>
      <c r="S2157" s="7" t="s">
        <v>18</v>
      </c>
      <c r="T2157" s="6"/>
      <c r="U2157" s="8"/>
    </row>
    <row r="2158" spans="1:39" ht="13" customHeight="1">
      <c r="A2158" s="8" t="s">
        <v>11094</v>
      </c>
      <c r="B2158" s="16">
        <v>52</v>
      </c>
      <c r="C2158" s="8" t="s">
        <v>20</v>
      </c>
      <c r="D2158" s="8" t="s">
        <v>30</v>
      </c>
      <c r="F2158" s="17">
        <v>41715</v>
      </c>
      <c r="G2158" s="8" t="s">
        <v>11095</v>
      </c>
      <c r="H2158" s="8" t="s">
        <v>9411</v>
      </c>
      <c r="I2158" s="8" t="s">
        <v>173</v>
      </c>
      <c r="J2158" s="16" t="s">
        <v>11096</v>
      </c>
      <c r="K2158" s="2" t="s">
        <v>9413</v>
      </c>
      <c r="L2158" s="8" t="s">
        <v>11097</v>
      </c>
      <c r="M2158" s="8" t="s">
        <v>27</v>
      </c>
      <c r="N2158" s="2" t="s">
        <v>11098</v>
      </c>
      <c r="O2158" s="8" t="s">
        <v>550</v>
      </c>
      <c r="P2158" s="8" t="s">
        <v>401</v>
      </c>
      <c r="Q2158" s="12" t="str">
        <f>HYPERLINK("http://www.ajc.com/news/news/local/man-shot-and-killed-by-forsyth-county-deputies/nfFC8/","http://www.ajc.com/news/news/local/man-shot-and-killed-by-forsyth-county-deputies/nfFC8/")</f>
        <v>http://www.ajc.com/news/news/local/man-shot-and-killed-by-forsyth-county-deputies/nfFC8/</v>
      </c>
      <c r="R2158" s="8" t="s">
        <v>100</v>
      </c>
      <c r="S2158" s="7" t="s">
        <v>28</v>
      </c>
      <c r="T2158" s="6"/>
      <c r="U2158" s="8"/>
    </row>
    <row r="2159" spans="1:39" ht="13" customHeight="1">
      <c r="A2159" s="8" t="s">
        <v>11099</v>
      </c>
      <c r="B2159" s="16">
        <v>29</v>
      </c>
      <c r="C2159" s="8" t="s">
        <v>20</v>
      </c>
      <c r="D2159" s="8" t="s">
        <v>37</v>
      </c>
      <c r="F2159" s="17">
        <v>41715</v>
      </c>
      <c r="G2159" s="8" t="s">
        <v>11100</v>
      </c>
      <c r="H2159" s="8" t="s">
        <v>9676</v>
      </c>
      <c r="I2159" s="8" t="s">
        <v>423</v>
      </c>
      <c r="J2159" s="16" t="s">
        <v>9677</v>
      </c>
      <c r="K2159" s="2" t="s">
        <v>2473</v>
      </c>
      <c r="L2159" s="8" t="s">
        <v>11101</v>
      </c>
      <c r="M2159" s="8" t="s">
        <v>27</v>
      </c>
      <c r="N2159" s="2" t="s">
        <v>11102</v>
      </c>
      <c r="O2159" s="8" t="s">
        <v>1013</v>
      </c>
      <c r="P2159" s="8" t="s">
        <v>401</v>
      </c>
      <c r="Q2159" s="12" t="s">
        <v>11103</v>
      </c>
      <c r="R2159" s="8" t="s">
        <v>967</v>
      </c>
      <c r="S2159" s="7" t="s">
        <v>28</v>
      </c>
      <c r="T2159" s="6"/>
      <c r="U2159" s="8"/>
    </row>
    <row r="2160" spans="1:39" ht="13" customHeight="1">
      <c r="A2160" s="8" t="s">
        <v>11104</v>
      </c>
      <c r="B2160" s="16">
        <v>51</v>
      </c>
      <c r="C2160" s="8" t="s">
        <v>20</v>
      </c>
      <c r="D2160" s="8" t="s">
        <v>21</v>
      </c>
      <c r="E2160" s="8" t="s">
        <v>11105</v>
      </c>
      <c r="F2160" s="17">
        <v>41714</v>
      </c>
      <c r="G2160" s="8" t="s">
        <v>11106</v>
      </c>
      <c r="H2160" s="8" t="s">
        <v>1821</v>
      </c>
      <c r="I2160" s="8" t="s">
        <v>62</v>
      </c>
      <c r="J2160" s="16" t="s">
        <v>4411</v>
      </c>
      <c r="K2160" s="2" t="s">
        <v>1127</v>
      </c>
      <c r="L2160" s="8" t="s">
        <v>4412</v>
      </c>
      <c r="M2160" s="8" t="s">
        <v>27</v>
      </c>
      <c r="N2160" s="2" t="s">
        <v>11107</v>
      </c>
      <c r="O2160" s="8" t="s">
        <v>1013</v>
      </c>
      <c r="P2160" s="8" t="s">
        <v>401</v>
      </c>
      <c r="Q2160" s="12" t="s">
        <v>11108</v>
      </c>
      <c r="R2160" s="8" t="s">
        <v>100</v>
      </c>
      <c r="S2160" s="7" t="s">
        <v>28</v>
      </c>
      <c r="T2160" s="6"/>
      <c r="U2160" s="8"/>
      <c r="AI2160" s="8"/>
      <c r="AJ2160" s="8"/>
      <c r="AK2160" s="8"/>
      <c r="AL2160" s="8"/>
      <c r="AM2160" s="8"/>
    </row>
    <row r="2161" spans="1:34" ht="13" customHeight="1">
      <c r="A2161" s="8" t="s">
        <v>11109</v>
      </c>
      <c r="B2161" s="16">
        <v>47</v>
      </c>
      <c r="C2161" s="8" t="s">
        <v>20</v>
      </c>
      <c r="D2161" s="8" t="s">
        <v>85</v>
      </c>
      <c r="E2161" s="8" t="s">
        <v>11110</v>
      </c>
      <c r="F2161" s="17">
        <v>41714</v>
      </c>
      <c r="G2161" s="8" t="s">
        <v>11111</v>
      </c>
      <c r="H2161" s="8" t="s">
        <v>11112</v>
      </c>
      <c r="I2161" s="8" t="s">
        <v>395</v>
      </c>
      <c r="J2161" s="16" t="s">
        <v>11113</v>
      </c>
      <c r="K2161" s="2" t="s">
        <v>11114</v>
      </c>
      <c r="L2161" s="8" t="s">
        <v>11115</v>
      </c>
      <c r="M2161" s="8" t="s">
        <v>27</v>
      </c>
      <c r="N2161" s="2" t="s">
        <v>11116</v>
      </c>
      <c r="O2161" s="8" t="s">
        <v>550</v>
      </c>
      <c r="P2161" s="8" t="s">
        <v>401</v>
      </c>
      <c r="Q2161" s="12" t="s">
        <v>11117</v>
      </c>
      <c r="R2161" s="8" t="s">
        <v>555</v>
      </c>
      <c r="S2161" s="7" t="s">
        <v>28</v>
      </c>
      <c r="T2161" s="6"/>
      <c r="U2161" s="8"/>
    </row>
    <row r="2162" spans="1:34" ht="13" customHeight="1">
      <c r="A2162" s="8" t="s">
        <v>11118</v>
      </c>
      <c r="B2162" s="16">
        <v>50</v>
      </c>
      <c r="C2162" s="8" t="s">
        <v>20</v>
      </c>
      <c r="D2162" s="8" t="s">
        <v>30</v>
      </c>
      <c r="F2162" s="17">
        <v>41714</v>
      </c>
      <c r="G2162" s="8" t="s">
        <v>11119</v>
      </c>
      <c r="H2162" s="8" t="s">
        <v>6578</v>
      </c>
      <c r="I2162" s="8" t="s">
        <v>269</v>
      </c>
      <c r="J2162" s="16" t="s">
        <v>11120</v>
      </c>
      <c r="K2162" s="2" t="s">
        <v>570</v>
      </c>
      <c r="L2162" s="8" t="s">
        <v>571</v>
      </c>
      <c r="M2162" s="8" t="s">
        <v>27</v>
      </c>
      <c r="N2162" s="2" t="s">
        <v>11121</v>
      </c>
      <c r="O2162" s="8" t="s">
        <v>1013</v>
      </c>
      <c r="P2162" s="8" t="s">
        <v>401</v>
      </c>
      <c r="Q2162" s="12" t="s">
        <v>11122</v>
      </c>
      <c r="R2162" s="8" t="s">
        <v>29</v>
      </c>
      <c r="S2162" s="7" t="s">
        <v>28</v>
      </c>
      <c r="T2162" s="6"/>
      <c r="U2162" s="8"/>
    </row>
    <row r="2163" spans="1:34" ht="13" customHeight="1">
      <c r="A2163" s="8" t="s">
        <v>11123</v>
      </c>
      <c r="B2163" s="16" t="s">
        <v>11124</v>
      </c>
      <c r="C2163" s="8" t="s">
        <v>20</v>
      </c>
      <c r="D2163" s="8" t="s">
        <v>37</v>
      </c>
      <c r="F2163" s="17">
        <v>41714</v>
      </c>
      <c r="G2163" s="8" t="s">
        <v>11125</v>
      </c>
      <c r="H2163" s="8" t="s">
        <v>925</v>
      </c>
      <c r="I2163" s="8" t="s">
        <v>195</v>
      </c>
      <c r="J2163" s="16" t="s">
        <v>8487</v>
      </c>
      <c r="K2163" s="2" t="s">
        <v>467</v>
      </c>
      <c r="L2163" s="8" t="s">
        <v>4995</v>
      </c>
      <c r="M2163" s="8" t="s">
        <v>27</v>
      </c>
      <c r="N2163" s="2" t="s">
        <v>11126</v>
      </c>
      <c r="O2163" s="8" t="s">
        <v>1161</v>
      </c>
      <c r="P2163" s="8" t="s">
        <v>1162</v>
      </c>
      <c r="Q2163" s="12" t="s">
        <v>10165</v>
      </c>
      <c r="R2163" s="8" t="s">
        <v>555</v>
      </c>
      <c r="S2163" s="7" t="s">
        <v>28</v>
      </c>
      <c r="T2163" s="6"/>
      <c r="U2163" s="8"/>
      <c r="Y2163" s="8"/>
      <c r="Z2163" s="8"/>
      <c r="AA2163" s="8"/>
      <c r="AB2163" s="8"/>
      <c r="AC2163" s="8"/>
      <c r="AD2163" s="8"/>
      <c r="AE2163" s="8"/>
      <c r="AF2163" s="8"/>
      <c r="AG2163" s="8"/>
      <c r="AH2163" s="8"/>
    </row>
    <row r="2164" spans="1:34" ht="13" customHeight="1">
      <c r="A2164" s="8" t="s">
        <v>11127</v>
      </c>
      <c r="B2164" s="16">
        <v>28</v>
      </c>
      <c r="C2164" s="8" t="s">
        <v>20</v>
      </c>
      <c r="D2164" s="8" t="s">
        <v>37</v>
      </c>
      <c r="E2164" s="8" t="s">
        <v>11128</v>
      </c>
      <c r="F2164" s="17">
        <v>41714</v>
      </c>
      <c r="G2164" s="8" t="s">
        <v>11129</v>
      </c>
      <c r="H2164" s="8" t="s">
        <v>1010</v>
      </c>
      <c r="I2164" s="8" t="s">
        <v>69</v>
      </c>
      <c r="J2164" s="16" t="s">
        <v>11130</v>
      </c>
      <c r="K2164" s="2" t="s">
        <v>2599</v>
      </c>
      <c r="L2164" s="8" t="s">
        <v>11131</v>
      </c>
      <c r="M2164" s="8" t="s">
        <v>27</v>
      </c>
      <c r="N2164" s="2" t="s">
        <v>11132</v>
      </c>
      <c r="O2164" s="8" t="s">
        <v>400</v>
      </c>
      <c r="P2164" s="8" t="s">
        <v>401</v>
      </c>
      <c r="Q2164" s="12" t="s">
        <v>11133</v>
      </c>
      <c r="R2164" s="8" t="s">
        <v>100</v>
      </c>
      <c r="S2164" s="7" t="s">
        <v>18</v>
      </c>
      <c r="T2164" s="6"/>
      <c r="U2164" s="8"/>
    </row>
    <row r="2165" spans="1:34" ht="13" customHeight="1">
      <c r="A2165" s="8" t="s">
        <v>11134</v>
      </c>
      <c r="B2165" s="16">
        <v>36</v>
      </c>
      <c r="C2165" s="8" t="s">
        <v>20</v>
      </c>
      <c r="D2165" s="8" t="s">
        <v>37</v>
      </c>
      <c r="E2165" s="8" t="s">
        <v>11135</v>
      </c>
      <c r="F2165" s="17">
        <v>41712</v>
      </c>
      <c r="G2165" s="8" t="s">
        <v>11136</v>
      </c>
      <c r="H2165" s="8" t="s">
        <v>11137</v>
      </c>
      <c r="I2165" s="8" t="s">
        <v>303</v>
      </c>
      <c r="J2165" s="16" t="s">
        <v>11138</v>
      </c>
      <c r="K2165" s="2" t="s">
        <v>570</v>
      </c>
      <c r="L2165" s="8" t="s">
        <v>11139</v>
      </c>
      <c r="M2165" s="8" t="s">
        <v>27</v>
      </c>
      <c r="N2165" s="2" t="s">
        <v>11140</v>
      </c>
      <c r="O2165" s="8" t="s">
        <v>1013</v>
      </c>
      <c r="P2165" s="8" t="s">
        <v>401</v>
      </c>
      <c r="Q2165" s="12" t="s">
        <v>11141</v>
      </c>
      <c r="R2165" s="8" t="s">
        <v>100</v>
      </c>
      <c r="S2165" s="7" t="s">
        <v>28</v>
      </c>
      <c r="T2165" s="6"/>
      <c r="U2165" s="8"/>
    </row>
    <row r="2166" spans="1:34" ht="13" customHeight="1">
      <c r="A2166" s="8" t="s">
        <v>11142</v>
      </c>
      <c r="B2166" s="16">
        <v>60</v>
      </c>
      <c r="C2166" s="8" t="s">
        <v>20</v>
      </c>
      <c r="D2166" s="8" t="s">
        <v>37</v>
      </c>
      <c r="E2166" s="8" t="s">
        <v>11143</v>
      </c>
      <c r="F2166" s="17">
        <v>41712</v>
      </c>
      <c r="G2166" s="8" t="s">
        <v>11144</v>
      </c>
      <c r="H2166" s="8" t="s">
        <v>7699</v>
      </c>
      <c r="I2166" s="8" t="s">
        <v>62</v>
      </c>
      <c r="J2166" s="16" t="s">
        <v>7700</v>
      </c>
      <c r="K2166" s="2" t="s">
        <v>51</v>
      </c>
      <c r="L2166" s="8" t="s">
        <v>11145</v>
      </c>
      <c r="M2166" s="8" t="s">
        <v>27</v>
      </c>
      <c r="N2166" s="2" t="s">
        <v>11146</v>
      </c>
      <c r="O2166" s="8" t="s">
        <v>550</v>
      </c>
      <c r="P2166" s="8" t="s">
        <v>401</v>
      </c>
      <c r="Q2166" s="12" t="str">
        <f>HYPERLINK("http://www.firstcoastnews.com/story/news/crime/2014/03/15/lake-city-killed-police/6457449/","http://www.firstcoastnews.com/story/news/crime/2014/03/15/lake-city-killed-police/6457449/")</f>
        <v>http://www.firstcoastnews.com/story/news/crime/2014/03/15/lake-city-killed-police/6457449/</v>
      </c>
      <c r="R2166" s="8" t="s">
        <v>100</v>
      </c>
      <c r="S2166" s="7" t="s">
        <v>28</v>
      </c>
      <c r="T2166" s="6"/>
      <c r="U2166" s="8"/>
    </row>
    <row r="2167" spans="1:34" ht="13" customHeight="1">
      <c r="A2167" s="8" t="s">
        <v>11147</v>
      </c>
      <c r="B2167" s="16">
        <v>26</v>
      </c>
      <c r="C2167" s="8" t="s">
        <v>20</v>
      </c>
      <c r="D2167" s="8" t="s">
        <v>48</v>
      </c>
      <c r="F2167" s="17">
        <v>41711</v>
      </c>
      <c r="G2167" s="8" t="s">
        <v>11148</v>
      </c>
      <c r="H2167" s="8" t="s">
        <v>634</v>
      </c>
      <c r="I2167" s="8" t="s">
        <v>123</v>
      </c>
      <c r="J2167" s="16" t="s">
        <v>6423</v>
      </c>
      <c r="K2167" s="2" t="s">
        <v>635</v>
      </c>
      <c r="L2167" s="8" t="s">
        <v>636</v>
      </c>
      <c r="M2167" s="8" t="s">
        <v>27</v>
      </c>
      <c r="N2167" s="2" t="s">
        <v>11149</v>
      </c>
      <c r="O2167" s="8" t="s">
        <v>1013</v>
      </c>
      <c r="P2167" s="8" t="s">
        <v>401</v>
      </c>
      <c r="Q2167" s="12" t="s">
        <v>11150</v>
      </c>
      <c r="R2167" s="8" t="s">
        <v>555</v>
      </c>
      <c r="S2167" s="7" t="s">
        <v>18</v>
      </c>
      <c r="T2167" s="6"/>
      <c r="U2167" s="8"/>
      <c r="V2167" s="8"/>
      <c r="W2167" s="8"/>
      <c r="X2167" s="8"/>
    </row>
    <row r="2168" spans="1:34" ht="13" customHeight="1">
      <c r="A2168" s="8" t="s">
        <v>11151</v>
      </c>
      <c r="B2168" s="16">
        <v>60</v>
      </c>
      <c r="C2168" s="8" t="s">
        <v>20</v>
      </c>
      <c r="D2168" s="8" t="s">
        <v>30</v>
      </c>
      <c r="F2168" s="17">
        <v>41711</v>
      </c>
      <c r="G2168" s="8" t="s">
        <v>11152</v>
      </c>
      <c r="H2168" s="8" t="s">
        <v>11153</v>
      </c>
      <c r="I2168" s="8" t="s">
        <v>45</v>
      </c>
      <c r="J2168" s="16" t="s">
        <v>11154</v>
      </c>
      <c r="K2168" s="2" t="s">
        <v>7621</v>
      </c>
      <c r="L2168" s="8" t="s">
        <v>11155</v>
      </c>
      <c r="M2168" s="8" t="s">
        <v>27</v>
      </c>
      <c r="N2168" s="2" t="s">
        <v>11156</v>
      </c>
      <c r="O2168" s="8" t="s">
        <v>1013</v>
      </c>
      <c r="P2168" s="8" t="s">
        <v>401</v>
      </c>
      <c r="Q2168" s="12" t="s">
        <v>11157</v>
      </c>
      <c r="R2168" s="8" t="s">
        <v>555</v>
      </c>
      <c r="S2168" s="7" t="s">
        <v>28</v>
      </c>
      <c r="T2168" s="6"/>
      <c r="U2168" s="8"/>
      <c r="V2168" s="8"/>
      <c r="W2168" s="8"/>
      <c r="X2168" s="8"/>
    </row>
    <row r="2169" spans="1:34" ht="13" customHeight="1">
      <c r="A2169" s="8" t="s">
        <v>11158</v>
      </c>
      <c r="B2169" s="16">
        <v>25</v>
      </c>
      <c r="C2169" s="8" t="s">
        <v>20</v>
      </c>
      <c r="D2169" s="8" t="s">
        <v>37</v>
      </c>
      <c r="F2169" s="17">
        <v>41710</v>
      </c>
      <c r="G2169" s="8" t="s">
        <v>11159</v>
      </c>
      <c r="H2169" s="8" t="s">
        <v>2899</v>
      </c>
      <c r="I2169" s="8" t="s">
        <v>45</v>
      </c>
      <c r="J2169" s="16">
        <v>92346</v>
      </c>
      <c r="K2169" s="2" t="s">
        <v>309</v>
      </c>
      <c r="L2169" s="8" t="s">
        <v>310</v>
      </c>
      <c r="M2169" s="8" t="s">
        <v>27</v>
      </c>
      <c r="N2169" s="2" t="s">
        <v>11160</v>
      </c>
      <c r="P2169" s="8" t="s">
        <v>401</v>
      </c>
      <c r="Q2169" s="12" t="s">
        <v>11161</v>
      </c>
      <c r="S2169" s="7" t="s">
        <v>28</v>
      </c>
      <c r="T2169" s="6"/>
      <c r="U2169" s="8"/>
    </row>
    <row r="2170" spans="1:34" ht="13" customHeight="1">
      <c r="A2170" s="8" t="s">
        <v>11162</v>
      </c>
      <c r="B2170" s="16">
        <v>38</v>
      </c>
      <c r="C2170" s="8" t="s">
        <v>20</v>
      </c>
      <c r="D2170" s="8" t="s">
        <v>37</v>
      </c>
      <c r="E2170" s="8" t="s">
        <v>11163</v>
      </c>
      <c r="F2170" s="17">
        <v>41710</v>
      </c>
      <c r="G2170" s="8" t="s">
        <v>11164</v>
      </c>
      <c r="H2170" s="8" t="s">
        <v>1937</v>
      </c>
      <c r="I2170" s="8" t="s">
        <v>366</v>
      </c>
      <c r="J2170" s="16" t="s">
        <v>11165</v>
      </c>
      <c r="K2170" s="2" t="s">
        <v>11166</v>
      </c>
      <c r="L2170" s="8" t="s">
        <v>11167</v>
      </c>
      <c r="M2170" s="8" t="s">
        <v>27</v>
      </c>
      <c r="N2170" s="2" t="s">
        <v>11168</v>
      </c>
      <c r="O2170" s="8" t="s">
        <v>1013</v>
      </c>
      <c r="P2170" s="8" t="s">
        <v>401</v>
      </c>
      <c r="Q2170" s="12" t="s">
        <v>11169</v>
      </c>
      <c r="R2170" s="8" t="s">
        <v>29</v>
      </c>
      <c r="S2170" s="7" t="s">
        <v>28</v>
      </c>
      <c r="T2170" s="6"/>
      <c r="U2170" s="8"/>
      <c r="Y2170" s="8"/>
      <c r="Z2170" s="8"/>
      <c r="AA2170" s="8"/>
      <c r="AB2170" s="8"/>
      <c r="AC2170" s="8"/>
      <c r="AD2170" s="8"/>
      <c r="AE2170" s="8"/>
      <c r="AF2170" s="8"/>
      <c r="AG2170" s="8"/>
      <c r="AH2170" s="8"/>
    </row>
    <row r="2171" spans="1:34" ht="13" customHeight="1">
      <c r="A2171" s="8" t="s">
        <v>11170</v>
      </c>
      <c r="B2171" s="16">
        <v>49</v>
      </c>
      <c r="C2171" s="8" t="s">
        <v>20</v>
      </c>
      <c r="D2171" s="8" t="s">
        <v>37</v>
      </c>
      <c r="E2171" s="8" t="s">
        <v>11171</v>
      </c>
      <c r="F2171" s="17">
        <v>41710</v>
      </c>
      <c r="G2171" s="8" t="s">
        <v>11172</v>
      </c>
      <c r="H2171" s="8" t="s">
        <v>1565</v>
      </c>
      <c r="I2171" s="8" t="s">
        <v>117</v>
      </c>
      <c r="J2171" s="16" t="s">
        <v>11173</v>
      </c>
      <c r="K2171" s="2" t="s">
        <v>1567</v>
      </c>
      <c r="L2171" s="8" t="s">
        <v>18022</v>
      </c>
      <c r="M2171" s="8" t="s">
        <v>27</v>
      </c>
      <c r="N2171" s="2" t="s">
        <v>11174</v>
      </c>
      <c r="O2171" s="8" t="s">
        <v>550</v>
      </c>
      <c r="P2171" s="8" t="s">
        <v>401</v>
      </c>
      <c r="Q2171" s="12" t="s">
        <v>11175</v>
      </c>
      <c r="R2171" s="8" t="s">
        <v>555</v>
      </c>
      <c r="S2171" s="7" t="s">
        <v>28</v>
      </c>
      <c r="T2171" s="6"/>
      <c r="U2171" s="8"/>
    </row>
    <row r="2172" spans="1:34" ht="13" customHeight="1">
      <c r="A2172" s="8" t="s">
        <v>11182</v>
      </c>
      <c r="B2172" s="16">
        <v>53</v>
      </c>
      <c r="C2172" s="8" t="s">
        <v>20</v>
      </c>
      <c r="D2172" s="8" t="s">
        <v>37</v>
      </c>
      <c r="E2172" s="8" t="s">
        <v>11183</v>
      </c>
      <c r="F2172" s="17">
        <v>41709</v>
      </c>
      <c r="G2172" s="8" t="s">
        <v>11184</v>
      </c>
      <c r="H2172" s="8" t="s">
        <v>893</v>
      </c>
      <c r="I2172" s="8" t="s">
        <v>315</v>
      </c>
      <c r="J2172" s="16" t="s">
        <v>11185</v>
      </c>
      <c r="K2172" s="2" t="s">
        <v>1781</v>
      </c>
      <c r="L2172" s="8" t="s">
        <v>11186</v>
      </c>
      <c r="M2172" s="8" t="s">
        <v>27</v>
      </c>
      <c r="N2172" s="2" t="s">
        <v>11187</v>
      </c>
      <c r="O2172" s="8" t="s">
        <v>550</v>
      </c>
      <c r="P2172" s="8" t="s">
        <v>401</v>
      </c>
      <c r="Q2172" s="12" t="s">
        <v>11188</v>
      </c>
      <c r="R2172" s="8" t="s">
        <v>100</v>
      </c>
      <c r="S2172" s="7" t="s">
        <v>28</v>
      </c>
      <c r="T2172" s="6"/>
      <c r="U2172" s="8"/>
    </row>
    <row r="2173" spans="1:34" ht="13" customHeight="1">
      <c r="A2173" s="8" t="s">
        <v>11176</v>
      </c>
      <c r="B2173" s="16" t="s">
        <v>29</v>
      </c>
      <c r="C2173" s="8" t="s">
        <v>20</v>
      </c>
      <c r="D2173" s="8" t="s">
        <v>37</v>
      </c>
      <c r="F2173" s="17">
        <v>41709</v>
      </c>
      <c r="G2173" s="8" t="s">
        <v>11177</v>
      </c>
      <c r="H2173" s="8" t="s">
        <v>11178</v>
      </c>
      <c r="I2173" s="8" t="s">
        <v>62</v>
      </c>
      <c r="J2173" s="16" t="s">
        <v>11179</v>
      </c>
      <c r="K2173" s="2" t="s">
        <v>118</v>
      </c>
      <c r="L2173" s="8" t="s">
        <v>10771</v>
      </c>
      <c r="M2173" s="8" t="s">
        <v>27</v>
      </c>
      <c r="N2173" s="2" t="s">
        <v>11180</v>
      </c>
      <c r="O2173" s="8" t="s">
        <v>550</v>
      </c>
      <c r="P2173" s="8" t="s">
        <v>401</v>
      </c>
      <c r="Q2173" s="12" t="s">
        <v>11181</v>
      </c>
      <c r="R2173" s="8" t="s">
        <v>29</v>
      </c>
      <c r="S2173" s="7" t="s">
        <v>18</v>
      </c>
      <c r="T2173" s="6"/>
      <c r="U2173" s="8"/>
    </row>
    <row r="2174" spans="1:34" ht="13" customHeight="1">
      <c r="A2174" s="8" t="s">
        <v>11189</v>
      </c>
      <c r="B2174" s="16">
        <v>38</v>
      </c>
      <c r="C2174" s="8" t="s">
        <v>20</v>
      </c>
      <c r="D2174" s="8" t="s">
        <v>85</v>
      </c>
      <c r="F2174" s="17">
        <v>41708</v>
      </c>
      <c r="G2174" s="8" t="s">
        <v>11190</v>
      </c>
      <c r="H2174" s="8" t="s">
        <v>268</v>
      </c>
      <c r="I2174" s="8" t="s">
        <v>269</v>
      </c>
      <c r="J2174" s="16" t="s">
        <v>6865</v>
      </c>
      <c r="K2174" s="2" t="s">
        <v>570</v>
      </c>
      <c r="L2174" s="8" t="s">
        <v>270</v>
      </c>
      <c r="M2174" s="8" t="s">
        <v>27</v>
      </c>
      <c r="N2174" s="2" t="s">
        <v>11191</v>
      </c>
      <c r="O2174" s="8" t="s">
        <v>1013</v>
      </c>
      <c r="P2174" s="8" t="s">
        <v>401</v>
      </c>
      <c r="Q2174" s="12" t="str">
        <f>HYPERLINK("http://www.reviewjournal.com/news/las-vegas/north-las-vegas-police-face-lawsuit-deadly-shooting-homeless-man","http://www.reviewjournal.com/news/las-vegas/north-las-vegas-police-face-lawsuit-deadly-shooting-homeless-man")</f>
        <v>http://www.reviewjournal.com/news/las-vegas/north-las-vegas-police-face-lawsuit-deadly-shooting-homeless-man</v>
      </c>
      <c r="R2174" s="8" t="s">
        <v>29</v>
      </c>
      <c r="S2174" s="7" t="s">
        <v>28</v>
      </c>
      <c r="T2174" s="6"/>
      <c r="U2174" s="8"/>
    </row>
    <row r="2175" spans="1:34" ht="13" customHeight="1">
      <c r="A2175" s="8" t="s">
        <v>11192</v>
      </c>
      <c r="B2175" s="16">
        <v>25</v>
      </c>
      <c r="C2175" s="8" t="s">
        <v>20</v>
      </c>
      <c r="D2175" s="8" t="s">
        <v>48</v>
      </c>
      <c r="E2175" s="8" t="s">
        <v>11193</v>
      </c>
      <c r="F2175" s="17">
        <v>41708</v>
      </c>
      <c r="G2175" s="8" t="s">
        <v>11194</v>
      </c>
      <c r="H2175" s="8" t="s">
        <v>3930</v>
      </c>
      <c r="I2175" s="8" t="s">
        <v>123</v>
      </c>
      <c r="J2175" s="16" t="s">
        <v>11195</v>
      </c>
      <c r="K2175" s="2" t="s">
        <v>635</v>
      </c>
      <c r="L2175" s="8" t="s">
        <v>11196</v>
      </c>
      <c r="M2175" s="8" t="s">
        <v>27</v>
      </c>
      <c r="N2175" s="2" t="s">
        <v>11197</v>
      </c>
      <c r="O2175" s="8" t="s">
        <v>1013</v>
      </c>
      <c r="P2175" s="8" t="s">
        <v>401</v>
      </c>
      <c r="Q2175" s="12" t="s">
        <v>11198</v>
      </c>
      <c r="R2175" s="8" t="s">
        <v>100</v>
      </c>
      <c r="S2175" s="7" t="s">
        <v>28</v>
      </c>
      <c r="T2175" s="6"/>
      <c r="U2175" s="8"/>
      <c r="Y2175" s="8"/>
      <c r="Z2175" s="8"/>
      <c r="AA2175" s="8"/>
      <c r="AB2175" s="8"/>
      <c r="AC2175" s="8"/>
      <c r="AD2175" s="8"/>
      <c r="AE2175" s="8"/>
      <c r="AF2175" s="8"/>
      <c r="AG2175" s="8"/>
      <c r="AH2175" s="8"/>
    </row>
    <row r="2176" spans="1:34" ht="13" customHeight="1">
      <c r="A2176" s="8" t="s">
        <v>3267</v>
      </c>
      <c r="B2176" s="16">
        <v>30</v>
      </c>
      <c r="C2176" s="8" t="s">
        <v>20</v>
      </c>
      <c r="D2176" s="8" t="s">
        <v>30</v>
      </c>
      <c r="F2176" s="17">
        <v>41708</v>
      </c>
      <c r="G2176" s="8" t="s">
        <v>11199</v>
      </c>
      <c r="H2176" s="8" t="s">
        <v>444</v>
      </c>
      <c r="I2176" s="8" t="s">
        <v>57</v>
      </c>
      <c r="J2176" s="16" t="s">
        <v>11200</v>
      </c>
      <c r="K2176" s="2" t="s">
        <v>1132</v>
      </c>
      <c r="L2176" s="8" t="s">
        <v>4762</v>
      </c>
      <c r="M2176" s="8" t="s">
        <v>27</v>
      </c>
      <c r="N2176" s="2" t="s">
        <v>11201</v>
      </c>
      <c r="O2176" s="8" t="s">
        <v>1013</v>
      </c>
      <c r="P2176" s="8" t="s">
        <v>401</v>
      </c>
      <c r="Q2176" s="12" t="s">
        <v>11202</v>
      </c>
      <c r="R2176" s="8" t="s">
        <v>29</v>
      </c>
      <c r="S2176" s="7" t="s">
        <v>28</v>
      </c>
      <c r="T2176" s="6"/>
      <c r="U2176" s="8"/>
    </row>
    <row r="2177" spans="1:39" ht="13" customHeight="1">
      <c r="A2177" s="8" t="s">
        <v>11217</v>
      </c>
      <c r="B2177" s="16">
        <v>23</v>
      </c>
      <c r="C2177" s="8" t="s">
        <v>20</v>
      </c>
      <c r="D2177" s="8" t="s">
        <v>37</v>
      </c>
      <c r="E2177" s="8" t="s">
        <v>11218</v>
      </c>
      <c r="F2177" s="17">
        <v>41708</v>
      </c>
      <c r="G2177" s="8" t="s">
        <v>11219</v>
      </c>
      <c r="H2177" s="8" t="s">
        <v>11220</v>
      </c>
      <c r="I2177" s="8" t="s">
        <v>363</v>
      </c>
      <c r="J2177" s="16" t="s">
        <v>11221</v>
      </c>
      <c r="K2177" s="2" t="s">
        <v>1037</v>
      </c>
      <c r="L2177" s="8" t="s">
        <v>7526</v>
      </c>
      <c r="M2177" s="8" t="s">
        <v>27</v>
      </c>
      <c r="N2177" s="2" t="s">
        <v>11222</v>
      </c>
      <c r="O2177" s="8" t="s">
        <v>1013</v>
      </c>
      <c r="P2177" s="8" t="s">
        <v>401</v>
      </c>
      <c r="Q2177" s="12" t="s">
        <v>11223</v>
      </c>
      <c r="R2177" s="8" t="s">
        <v>100</v>
      </c>
      <c r="S2177" s="7" t="s">
        <v>28</v>
      </c>
      <c r="T2177" s="6"/>
      <c r="U2177" s="8"/>
    </row>
    <row r="2178" spans="1:39" ht="13" customHeight="1">
      <c r="A2178" s="8" t="s">
        <v>11203</v>
      </c>
      <c r="B2178" s="16">
        <v>47</v>
      </c>
      <c r="C2178" s="8" t="s">
        <v>20</v>
      </c>
      <c r="D2178" s="8" t="s">
        <v>37</v>
      </c>
      <c r="E2178" s="8" t="s">
        <v>11204</v>
      </c>
      <c r="F2178" s="17">
        <v>41708</v>
      </c>
      <c r="G2178" s="8" t="s">
        <v>11205</v>
      </c>
      <c r="H2178" s="8" t="s">
        <v>11206</v>
      </c>
      <c r="I2178" s="8" t="s">
        <v>431</v>
      </c>
      <c r="J2178" s="16" t="s">
        <v>11207</v>
      </c>
      <c r="K2178" s="2" t="s">
        <v>11208</v>
      </c>
      <c r="L2178" s="8" t="s">
        <v>11209</v>
      </c>
      <c r="M2178" s="8" t="s">
        <v>27</v>
      </c>
      <c r="N2178" s="2" t="s">
        <v>11210</v>
      </c>
      <c r="O2178" s="8" t="s">
        <v>550</v>
      </c>
      <c r="P2178" s="8" t="s">
        <v>401</v>
      </c>
      <c r="Q2178" s="12" t="s">
        <v>11211</v>
      </c>
      <c r="R2178" s="8" t="s">
        <v>555</v>
      </c>
      <c r="S2178" s="7" t="s">
        <v>28</v>
      </c>
      <c r="T2178" s="6"/>
      <c r="U2178" s="8"/>
    </row>
    <row r="2179" spans="1:39" ht="13" customHeight="1">
      <c r="A2179" s="8" t="s">
        <v>11212</v>
      </c>
      <c r="B2179" s="16">
        <v>35</v>
      </c>
      <c r="C2179" s="8" t="s">
        <v>20</v>
      </c>
      <c r="D2179" s="8" t="s">
        <v>37</v>
      </c>
      <c r="F2179" s="17">
        <v>41708</v>
      </c>
      <c r="G2179" s="8" t="s">
        <v>11213</v>
      </c>
      <c r="H2179" s="8" t="s">
        <v>2006</v>
      </c>
      <c r="I2179" s="8" t="s">
        <v>506</v>
      </c>
      <c r="J2179" s="16" t="s">
        <v>11214</v>
      </c>
      <c r="K2179" s="2" t="s">
        <v>11215</v>
      </c>
      <c r="L2179" s="8" t="s">
        <v>11216</v>
      </c>
      <c r="M2179" s="8" t="s">
        <v>27</v>
      </c>
      <c r="N2179" s="2" t="s">
        <v>21471</v>
      </c>
      <c r="O2179" s="8" t="s">
        <v>550</v>
      </c>
      <c r="P2179" s="8" t="s">
        <v>401</v>
      </c>
      <c r="Q2179" s="59" t="s">
        <v>21472</v>
      </c>
      <c r="R2179" s="8" t="s">
        <v>100</v>
      </c>
      <c r="S2179" s="7" t="s">
        <v>18</v>
      </c>
      <c r="T2179" s="6"/>
      <c r="U2179" s="8"/>
    </row>
    <row r="2180" spans="1:39" ht="13" customHeight="1">
      <c r="A2180" s="8" t="s">
        <v>11224</v>
      </c>
      <c r="B2180" s="16">
        <v>40</v>
      </c>
      <c r="C2180" s="8" t="s">
        <v>20</v>
      </c>
      <c r="D2180" s="8" t="s">
        <v>21</v>
      </c>
      <c r="E2180" s="8" t="s">
        <v>11225</v>
      </c>
      <c r="F2180" s="17">
        <v>41707</v>
      </c>
      <c r="G2180" s="8" t="s">
        <v>11226</v>
      </c>
      <c r="H2180" s="8" t="s">
        <v>11227</v>
      </c>
      <c r="I2180" s="8" t="s">
        <v>44</v>
      </c>
      <c r="J2180" s="16" t="s">
        <v>11228</v>
      </c>
      <c r="K2180" s="2" t="s">
        <v>1259</v>
      </c>
      <c r="L2180" s="8" t="s">
        <v>11229</v>
      </c>
      <c r="M2180" s="8" t="s">
        <v>27</v>
      </c>
      <c r="N2180" s="2" t="s">
        <v>11230</v>
      </c>
      <c r="O2180" s="8" t="s">
        <v>1013</v>
      </c>
      <c r="P2180" s="8" t="s">
        <v>401</v>
      </c>
      <c r="Q2180" s="12" t="s">
        <v>11231</v>
      </c>
      <c r="R2180" s="8" t="s">
        <v>100</v>
      </c>
      <c r="S2180" s="7" t="s">
        <v>28</v>
      </c>
      <c r="T2180" s="6"/>
      <c r="U2180" s="8"/>
      <c r="AI2180" s="8"/>
      <c r="AJ2180" s="8"/>
      <c r="AK2180" s="8"/>
      <c r="AL2180" s="8"/>
      <c r="AM2180" s="8"/>
    </row>
    <row r="2181" spans="1:39" ht="13" customHeight="1">
      <c r="A2181" s="8" t="s">
        <v>11238</v>
      </c>
      <c r="B2181" s="16">
        <v>31</v>
      </c>
      <c r="C2181" s="8" t="s">
        <v>20</v>
      </c>
      <c r="D2181" s="8" t="s">
        <v>85</v>
      </c>
      <c r="F2181" s="17">
        <v>41707</v>
      </c>
      <c r="G2181" s="8" t="s">
        <v>11239</v>
      </c>
      <c r="H2181" s="8" t="s">
        <v>11240</v>
      </c>
      <c r="I2181" s="8" t="s">
        <v>62</v>
      </c>
      <c r="J2181" s="16" t="s">
        <v>11241</v>
      </c>
      <c r="K2181" s="2" t="s">
        <v>11242</v>
      </c>
      <c r="L2181" s="8" t="s">
        <v>11243</v>
      </c>
      <c r="M2181" s="8" t="s">
        <v>27</v>
      </c>
      <c r="N2181" s="2" t="s">
        <v>11244</v>
      </c>
      <c r="O2181" s="8" t="s">
        <v>1013</v>
      </c>
      <c r="P2181" s="8" t="s">
        <v>401</v>
      </c>
      <c r="Q2181" s="12" t="str">
        <f>HYPERLINK("http://www.newssun.com/news/article_513fe971-a208-543b-8a5c-71ff2376804d.html","http://www.newssun.com/news/article_513fe971-a208-543b-8a5c-71ff2376804d.html")</f>
        <v>http://www.newssun.com/news/article_513fe971-a208-543b-8a5c-71ff2376804d.html</v>
      </c>
      <c r="R2181" s="8" t="s">
        <v>555</v>
      </c>
      <c r="S2181" s="7" t="s">
        <v>28</v>
      </c>
      <c r="T2181" s="6"/>
      <c r="U2181" s="8"/>
    </row>
    <row r="2182" spans="1:39" ht="13" customHeight="1">
      <c r="A2182" s="8" t="s">
        <v>11232</v>
      </c>
      <c r="B2182" s="16">
        <v>22</v>
      </c>
      <c r="C2182" s="8" t="s">
        <v>20</v>
      </c>
      <c r="D2182" s="8" t="s">
        <v>85</v>
      </c>
      <c r="E2182" s="8" t="s">
        <v>11233</v>
      </c>
      <c r="F2182" s="17">
        <v>41707</v>
      </c>
      <c r="G2182" s="8" t="s">
        <v>11234</v>
      </c>
      <c r="H2182" s="8" t="s">
        <v>8661</v>
      </c>
      <c r="I2182" s="8" t="s">
        <v>25</v>
      </c>
      <c r="J2182" s="16" t="s">
        <v>8662</v>
      </c>
      <c r="K2182" s="2" t="s">
        <v>8663</v>
      </c>
      <c r="L2182" s="8" t="s">
        <v>11235</v>
      </c>
      <c r="M2182" s="8" t="s">
        <v>27</v>
      </c>
      <c r="N2182" s="2" t="s">
        <v>11236</v>
      </c>
      <c r="O2182" s="8" t="s">
        <v>400</v>
      </c>
      <c r="P2182" s="8" t="s">
        <v>401</v>
      </c>
      <c r="Q2182" s="12" t="s">
        <v>11237</v>
      </c>
      <c r="R2182" s="8" t="s">
        <v>29</v>
      </c>
      <c r="S2182" s="7" t="s">
        <v>18</v>
      </c>
      <c r="T2182" s="6"/>
      <c r="U2182" s="8"/>
    </row>
    <row r="2183" spans="1:39" ht="13" customHeight="1">
      <c r="A2183" s="8" t="s">
        <v>11245</v>
      </c>
      <c r="B2183" s="16">
        <v>15</v>
      </c>
      <c r="C2183" s="8" t="s">
        <v>20</v>
      </c>
      <c r="D2183" s="8" t="s">
        <v>48</v>
      </c>
      <c r="E2183" s="8" t="s">
        <v>11246</v>
      </c>
      <c r="F2183" s="17">
        <v>41707</v>
      </c>
      <c r="G2183" s="8" t="s">
        <v>11247</v>
      </c>
      <c r="H2183" s="8" t="s">
        <v>595</v>
      </c>
      <c r="I2183" s="8" t="s">
        <v>73</v>
      </c>
      <c r="J2183" s="16" t="s">
        <v>11248</v>
      </c>
      <c r="K2183" s="2" t="s">
        <v>596</v>
      </c>
      <c r="L2183" s="8" t="s">
        <v>597</v>
      </c>
      <c r="M2183" s="8" t="s">
        <v>27</v>
      </c>
      <c r="N2183" s="2" t="s">
        <v>11249</v>
      </c>
      <c r="O2183" s="8" t="s">
        <v>550</v>
      </c>
      <c r="P2183" s="8" t="s">
        <v>401</v>
      </c>
      <c r="Q2183" s="12" t="s">
        <v>11250</v>
      </c>
      <c r="R2183" s="8" t="s">
        <v>100</v>
      </c>
      <c r="S2183" s="7" t="s">
        <v>28</v>
      </c>
      <c r="T2183" s="6"/>
      <c r="U2183" s="8"/>
    </row>
    <row r="2184" spans="1:39" ht="13" customHeight="1">
      <c r="A2184" s="8" t="s">
        <v>11251</v>
      </c>
      <c r="B2184" s="16">
        <v>60</v>
      </c>
      <c r="C2184" s="8" t="s">
        <v>20</v>
      </c>
      <c r="D2184" s="8" t="s">
        <v>30</v>
      </c>
      <c r="F2184" s="17">
        <v>41707</v>
      </c>
      <c r="G2184" s="8" t="s">
        <v>11252</v>
      </c>
      <c r="H2184" s="8" t="s">
        <v>11253</v>
      </c>
      <c r="I2184" s="8" t="s">
        <v>173</v>
      </c>
      <c r="J2184" s="16" t="s">
        <v>11254</v>
      </c>
      <c r="K2184" s="2" t="s">
        <v>11255</v>
      </c>
      <c r="L2184" s="8" t="s">
        <v>11256</v>
      </c>
      <c r="M2184" s="8" t="s">
        <v>27</v>
      </c>
      <c r="N2184" s="2" t="s">
        <v>11257</v>
      </c>
      <c r="O2184" s="8" t="s">
        <v>550</v>
      </c>
      <c r="P2184" s="8" t="s">
        <v>401</v>
      </c>
      <c r="Q2184" s="12" t="s">
        <v>11258</v>
      </c>
      <c r="R2184" s="8" t="s">
        <v>100</v>
      </c>
      <c r="S2184" s="7" t="s">
        <v>28</v>
      </c>
      <c r="T2184" s="6"/>
      <c r="U2184" s="8"/>
    </row>
    <row r="2185" spans="1:39" ht="13" customHeight="1">
      <c r="A2185" s="8" t="s">
        <v>11259</v>
      </c>
      <c r="B2185" s="16">
        <v>52</v>
      </c>
      <c r="C2185" s="8" t="s">
        <v>20</v>
      </c>
      <c r="D2185" s="8" t="s">
        <v>37</v>
      </c>
      <c r="E2185" s="8" t="s">
        <v>11260</v>
      </c>
      <c r="F2185" s="17">
        <v>41707</v>
      </c>
      <c r="G2185" s="8" t="s">
        <v>11261</v>
      </c>
      <c r="H2185" s="8" t="s">
        <v>7257</v>
      </c>
      <c r="I2185" s="8" t="s">
        <v>330</v>
      </c>
      <c r="J2185" s="16" t="s">
        <v>11262</v>
      </c>
      <c r="K2185" s="2" t="s">
        <v>7259</v>
      </c>
      <c r="L2185" s="8" t="s">
        <v>11263</v>
      </c>
      <c r="M2185" s="8" t="s">
        <v>27</v>
      </c>
      <c r="N2185" s="2" t="s">
        <v>11264</v>
      </c>
      <c r="O2185" s="8" t="s">
        <v>550</v>
      </c>
      <c r="P2185" s="8" t="s">
        <v>401</v>
      </c>
      <c r="Q2185" s="12" t="s">
        <v>11265</v>
      </c>
      <c r="R2185" s="8" t="s">
        <v>555</v>
      </c>
      <c r="S2185" s="7" t="s">
        <v>379</v>
      </c>
      <c r="T2185" s="6"/>
      <c r="U2185" s="8"/>
      <c r="Y2185" s="8"/>
      <c r="Z2185" s="8"/>
      <c r="AA2185" s="8"/>
      <c r="AB2185" s="8"/>
      <c r="AC2185" s="8"/>
      <c r="AD2185" s="8"/>
      <c r="AE2185" s="8"/>
      <c r="AF2185" s="8"/>
      <c r="AG2185" s="8"/>
      <c r="AH2185" s="8"/>
    </row>
    <row r="2186" spans="1:39" ht="13" customHeight="1">
      <c r="A2186" s="8" t="s">
        <v>11266</v>
      </c>
      <c r="B2186" s="16">
        <v>21</v>
      </c>
      <c r="C2186" s="8" t="s">
        <v>20</v>
      </c>
      <c r="D2186" s="8" t="s">
        <v>85</v>
      </c>
      <c r="E2186" s="8" t="s">
        <v>11267</v>
      </c>
      <c r="F2186" s="17">
        <v>41706</v>
      </c>
      <c r="G2186" s="8" t="s">
        <v>11268</v>
      </c>
      <c r="H2186" s="8" t="s">
        <v>11269</v>
      </c>
      <c r="I2186" s="8" t="s">
        <v>94</v>
      </c>
      <c r="J2186" s="16" t="s">
        <v>11270</v>
      </c>
      <c r="K2186" s="2" t="s">
        <v>4360</v>
      </c>
      <c r="L2186" s="8" t="s">
        <v>11271</v>
      </c>
      <c r="M2186" s="8" t="s">
        <v>27</v>
      </c>
      <c r="N2186" s="2" t="s">
        <v>11272</v>
      </c>
      <c r="O2186" s="8" t="s">
        <v>550</v>
      </c>
      <c r="P2186" s="8" t="s">
        <v>401</v>
      </c>
      <c r="Q2186" s="12" t="s">
        <v>11273</v>
      </c>
      <c r="R2186" s="8" t="s">
        <v>100</v>
      </c>
      <c r="S2186" s="7" t="s">
        <v>35</v>
      </c>
      <c r="T2186" s="6"/>
      <c r="U2186" s="8"/>
      <c r="Y2186" s="8"/>
      <c r="Z2186" s="8"/>
      <c r="AA2186" s="8"/>
      <c r="AB2186" s="8"/>
      <c r="AC2186" s="8"/>
      <c r="AD2186" s="8"/>
      <c r="AE2186" s="8"/>
      <c r="AF2186" s="8"/>
      <c r="AG2186" s="8"/>
      <c r="AH2186" s="8"/>
    </row>
    <row r="2187" spans="1:39" ht="13" customHeight="1">
      <c r="A2187" s="8" t="s">
        <v>11274</v>
      </c>
      <c r="B2187" s="16">
        <v>50</v>
      </c>
      <c r="C2187" s="8" t="s">
        <v>20</v>
      </c>
      <c r="D2187" s="8" t="s">
        <v>30</v>
      </c>
      <c r="F2187" s="17">
        <v>41706</v>
      </c>
      <c r="G2187" s="8" t="s">
        <v>11275</v>
      </c>
      <c r="H2187" s="8" t="s">
        <v>1646</v>
      </c>
      <c r="I2187" s="8" t="s">
        <v>45</v>
      </c>
      <c r="J2187" s="16" t="s">
        <v>11276</v>
      </c>
      <c r="K2187" s="2" t="s">
        <v>1646</v>
      </c>
      <c r="L2187" s="8" t="s">
        <v>2331</v>
      </c>
      <c r="M2187" s="8" t="s">
        <v>27</v>
      </c>
      <c r="N2187" s="2" t="s">
        <v>11277</v>
      </c>
      <c r="O2187" s="8" t="s">
        <v>1013</v>
      </c>
      <c r="P2187" s="8" t="s">
        <v>401</v>
      </c>
      <c r="Q2187" s="12" t="s">
        <v>11278</v>
      </c>
      <c r="R2187" s="8" t="s">
        <v>29</v>
      </c>
      <c r="S2187" s="7" t="s">
        <v>28</v>
      </c>
      <c r="T2187" s="6"/>
      <c r="U2187" s="8"/>
    </row>
    <row r="2188" spans="1:39" ht="13" customHeight="1">
      <c r="A2188" s="8" t="s">
        <v>11279</v>
      </c>
      <c r="B2188" s="16">
        <v>45</v>
      </c>
      <c r="C2188" s="8" t="s">
        <v>20</v>
      </c>
      <c r="D2188" s="8" t="s">
        <v>37</v>
      </c>
      <c r="E2188" s="8" t="s">
        <v>11280</v>
      </c>
      <c r="F2188" s="17">
        <v>41706</v>
      </c>
      <c r="G2188" s="8" t="s">
        <v>11281</v>
      </c>
      <c r="H2188" s="8" t="s">
        <v>689</v>
      </c>
      <c r="I2188" s="8" t="s">
        <v>123</v>
      </c>
      <c r="J2188" s="16" t="s">
        <v>4909</v>
      </c>
      <c r="K2188" s="2" t="s">
        <v>635</v>
      </c>
      <c r="L2188" s="8" t="s">
        <v>4910</v>
      </c>
      <c r="M2188" s="8" t="s">
        <v>27</v>
      </c>
      <c r="N2188" s="2" t="s">
        <v>11282</v>
      </c>
      <c r="O2188" s="8" t="s">
        <v>1013</v>
      </c>
      <c r="P2188" s="8" t="s">
        <v>401</v>
      </c>
      <c r="Q2188" s="12" t="s">
        <v>11283</v>
      </c>
      <c r="R2188" s="8" t="s">
        <v>555</v>
      </c>
      <c r="S2188" s="7" t="s">
        <v>28</v>
      </c>
      <c r="T2188" s="6"/>
      <c r="U2188" s="8"/>
    </row>
    <row r="2189" spans="1:39" ht="13" customHeight="1">
      <c r="A2189" s="8" t="s">
        <v>11284</v>
      </c>
      <c r="B2189" s="16">
        <v>48</v>
      </c>
      <c r="C2189" s="8" t="s">
        <v>114</v>
      </c>
      <c r="D2189" s="8" t="s">
        <v>37</v>
      </c>
      <c r="F2189" s="17">
        <v>41705</v>
      </c>
      <c r="G2189" s="8" t="s">
        <v>11285</v>
      </c>
      <c r="H2189" s="8" t="s">
        <v>200</v>
      </c>
      <c r="I2189" s="8" t="s">
        <v>45</v>
      </c>
      <c r="J2189" s="16" t="s">
        <v>11286</v>
      </c>
      <c r="K2189" s="2" t="s">
        <v>200</v>
      </c>
      <c r="L2189" s="8" t="s">
        <v>201</v>
      </c>
      <c r="M2189" s="8" t="s">
        <v>27</v>
      </c>
      <c r="N2189" s="2" t="s">
        <v>11287</v>
      </c>
      <c r="O2189" s="8" t="s">
        <v>1013</v>
      </c>
      <c r="P2189" s="8" t="s">
        <v>401</v>
      </c>
      <c r="Q2189" s="12" t="str">
        <f>HYPERLINK("http://collegian.csufresno.edu/2014/03/07/woman-shot-twice-killed-by-fresno-police-officer-in-apartment-complex-west-of-campus/","http://collegian.csufresno.edu/2014/03/07/woman-shot-twice-killed-by-fresno-police-officer-in-apartment-complex-west-of-campus/")</f>
        <v>http://collegian.csufresno.edu/2014/03/07/woman-shot-twice-killed-by-fresno-police-officer-in-apartment-complex-west-of-campus/</v>
      </c>
      <c r="R2189" s="8" t="s">
        <v>555</v>
      </c>
      <c r="S2189" s="7" t="s">
        <v>28</v>
      </c>
      <c r="T2189" s="6"/>
      <c r="U2189" s="8"/>
    </row>
    <row r="2190" spans="1:39" ht="13" customHeight="1">
      <c r="A2190" s="8" t="s">
        <v>11288</v>
      </c>
      <c r="B2190" s="16">
        <v>34</v>
      </c>
      <c r="C2190" s="8" t="s">
        <v>114</v>
      </c>
      <c r="D2190" s="8" t="s">
        <v>37</v>
      </c>
      <c r="E2190" s="8" t="s">
        <v>11289</v>
      </c>
      <c r="F2190" s="17">
        <v>41705</v>
      </c>
      <c r="G2190" s="8" t="s">
        <v>11290</v>
      </c>
      <c r="H2190" s="8" t="s">
        <v>11291</v>
      </c>
      <c r="I2190" s="8" t="s">
        <v>404</v>
      </c>
      <c r="J2190" s="16" t="s">
        <v>11292</v>
      </c>
      <c r="K2190" s="2" t="s">
        <v>1059</v>
      </c>
      <c r="L2190" s="8" t="s">
        <v>9400</v>
      </c>
      <c r="M2190" s="8" t="s">
        <v>27</v>
      </c>
      <c r="N2190" s="2" t="s">
        <v>11293</v>
      </c>
      <c r="O2190" s="8" t="s">
        <v>3400</v>
      </c>
      <c r="P2190" s="8" t="s">
        <v>401</v>
      </c>
      <c r="Q2190" s="12" t="s">
        <v>11294</v>
      </c>
      <c r="R2190" s="8" t="s">
        <v>100</v>
      </c>
      <c r="S2190" s="7" t="s">
        <v>18</v>
      </c>
      <c r="T2190" s="6"/>
      <c r="U2190" s="8"/>
    </row>
    <row r="2191" spans="1:39" ht="13" customHeight="1">
      <c r="A2191" s="8" t="s">
        <v>11299</v>
      </c>
      <c r="B2191" s="16">
        <v>23</v>
      </c>
      <c r="C2191" s="8" t="s">
        <v>20</v>
      </c>
      <c r="D2191" s="8" t="s">
        <v>85</v>
      </c>
      <c r="F2191" s="17">
        <v>41704</v>
      </c>
      <c r="G2191" s="8" t="s">
        <v>11300</v>
      </c>
      <c r="H2191" s="8" t="s">
        <v>98</v>
      </c>
      <c r="I2191" s="8" t="s">
        <v>45</v>
      </c>
      <c r="J2191" s="16">
        <v>90003</v>
      </c>
      <c r="K2191" s="2" t="s">
        <v>98</v>
      </c>
      <c r="L2191" s="8" t="s">
        <v>99</v>
      </c>
      <c r="M2191" s="8" t="s">
        <v>27</v>
      </c>
      <c r="N2191" s="2" t="s">
        <v>11301</v>
      </c>
      <c r="P2191" s="8" t="s">
        <v>401</v>
      </c>
      <c r="Q2191" s="12" t="s">
        <v>11302</v>
      </c>
      <c r="R2191" s="8" t="s">
        <v>29</v>
      </c>
      <c r="S2191" s="7" t="s">
        <v>28</v>
      </c>
      <c r="T2191" s="6"/>
      <c r="U2191" s="8"/>
    </row>
    <row r="2192" spans="1:39" ht="13" customHeight="1">
      <c r="A2192" s="8" t="s">
        <v>3267</v>
      </c>
      <c r="B2192" s="16" t="s">
        <v>29</v>
      </c>
      <c r="C2192" s="8" t="s">
        <v>20</v>
      </c>
      <c r="D2192" s="8" t="s">
        <v>85</v>
      </c>
      <c r="F2192" s="17">
        <v>41704</v>
      </c>
      <c r="G2192" s="8" t="s">
        <v>11295</v>
      </c>
      <c r="H2192" s="8" t="s">
        <v>726</v>
      </c>
      <c r="I2192" s="8" t="s">
        <v>73</v>
      </c>
      <c r="J2192" s="16" t="s">
        <v>11296</v>
      </c>
      <c r="K2192" s="2" t="s">
        <v>558</v>
      </c>
      <c r="L2192" s="8" t="s">
        <v>727</v>
      </c>
      <c r="M2192" s="8" t="s">
        <v>27</v>
      </c>
      <c r="N2192" s="2" t="s">
        <v>11297</v>
      </c>
      <c r="O2192" s="8" t="s">
        <v>1013</v>
      </c>
      <c r="P2192" s="8" t="s">
        <v>401</v>
      </c>
      <c r="Q2192" s="12" t="s">
        <v>11298</v>
      </c>
      <c r="R2192" s="8" t="s">
        <v>100</v>
      </c>
      <c r="S2192" s="7" t="s">
        <v>28</v>
      </c>
      <c r="T2192" s="6"/>
      <c r="U2192" s="8"/>
    </row>
    <row r="2193" spans="1:21" ht="13" customHeight="1">
      <c r="A2193" s="8" t="s">
        <v>11311</v>
      </c>
      <c r="B2193" s="16">
        <v>28</v>
      </c>
      <c r="C2193" s="8" t="s">
        <v>20</v>
      </c>
      <c r="D2193" s="8" t="s">
        <v>37</v>
      </c>
      <c r="E2193" s="8" t="s">
        <v>11312</v>
      </c>
      <c r="F2193" s="17">
        <v>41704</v>
      </c>
      <c r="G2193" s="8" t="s">
        <v>11313</v>
      </c>
      <c r="H2193" s="8" t="s">
        <v>7481</v>
      </c>
      <c r="I2193" s="8" t="s">
        <v>395</v>
      </c>
      <c r="J2193" s="16" t="s">
        <v>11314</v>
      </c>
      <c r="K2193" s="2" t="s">
        <v>7481</v>
      </c>
      <c r="L2193" s="8" t="s">
        <v>11315</v>
      </c>
      <c r="M2193" s="8" t="s">
        <v>27</v>
      </c>
      <c r="N2193" s="2" t="s">
        <v>11316</v>
      </c>
      <c r="O2193" s="8" t="s">
        <v>550</v>
      </c>
      <c r="P2193" s="8" t="s">
        <v>401</v>
      </c>
      <c r="Q2193" s="12" t="s">
        <v>11317</v>
      </c>
      <c r="R2193" s="8" t="s">
        <v>100</v>
      </c>
      <c r="S2193" s="7" t="s">
        <v>28</v>
      </c>
      <c r="T2193" s="6"/>
      <c r="U2193" s="8"/>
    </row>
    <row r="2194" spans="1:21" ht="13" customHeight="1">
      <c r="A2194" s="8" t="s">
        <v>11303</v>
      </c>
      <c r="B2194" s="16">
        <v>47</v>
      </c>
      <c r="C2194" s="8" t="s">
        <v>20</v>
      </c>
      <c r="D2194" s="8" t="s">
        <v>37</v>
      </c>
      <c r="E2194" s="8" t="s">
        <v>11304</v>
      </c>
      <c r="F2194" s="17">
        <v>41704</v>
      </c>
      <c r="G2194" s="8" t="s">
        <v>11305</v>
      </c>
      <c r="H2194" s="8" t="s">
        <v>548</v>
      </c>
      <c r="I2194" s="8" t="s">
        <v>857</v>
      </c>
      <c r="J2194" s="16" t="s">
        <v>11306</v>
      </c>
      <c r="K2194" s="2" t="s">
        <v>11307</v>
      </c>
      <c r="L2194" s="8" t="s">
        <v>11308</v>
      </c>
      <c r="M2194" s="8" t="s">
        <v>27</v>
      </c>
      <c r="N2194" s="2" t="s">
        <v>11309</v>
      </c>
      <c r="O2194" s="8" t="s">
        <v>1013</v>
      </c>
      <c r="P2194" s="8" t="s">
        <v>401</v>
      </c>
      <c r="Q2194" s="12" t="s">
        <v>11310</v>
      </c>
      <c r="R2194" s="8" t="s">
        <v>100</v>
      </c>
      <c r="S2194" s="7" t="s">
        <v>28</v>
      </c>
      <c r="T2194" s="6"/>
      <c r="U2194" s="8"/>
    </row>
    <row r="2195" spans="1:21" ht="13" customHeight="1">
      <c r="A2195" s="8" t="s">
        <v>11318</v>
      </c>
      <c r="B2195" s="16">
        <v>55</v>
      </c>
      <c r="C2195" s="8" t="s">
        <v>20</v>
      </c>
      <c r="D2195" s="8" t="s">
        <v>37</v>
      </c>
      <c r="E2195" s="8" t="s">
        <v>11319</v>
      </c>
      <c r="F2195" s="17">
        <v>41704</v>
      </c>
      <c r="G2195" s="8" t="s">
        <v>11320</v>
      </c>
      <c r="H2195" s="8" t="s">
        <v>387</v>
      </c>
      <c r="I2195" s="8" t="s">
        <v>319</v>
      </c>
      <c r="J2195" s="16" t="s">
        <v>7329</v>
      </c>
      <c r="K2195" s="2" t="s">
        <v>2692</v>
      </c>
      <c r="L2195" s="8" t="s">
        <v>7879</v>
      </c>
      <c r="M2195" s="8" t="s">
        <v>27</v>
      </c>
      <c r="N2195" s="2" t="s">
        <v>11321</v>
      </c>
      <c r="O2195" s="8" t="s">
        <v>1013</v>
      </c>
      <c r="P2195" s="8" t="s">
        <v>401</v>
      </c>
      <c r="Q2195" s="12" t="s">
        <v>11322</v>
      </c>
      <c r="R2195" s="8" t="s">
        <v>555</v>
      </c>
      <c r="S2195" s="7" t="s">
        <v>28</v>
      </c>
      <c r="T2195" s="6"/>
      <c r="U2195" s="8"/>
    </row>
    <row r="2196" spans="1:21" ht="13" customHeight="1">
      <c r="A2196" s="8" t="s">
        <v>11323</v>
      </c>
      <c r="B2196" s="16">
        <v>52</v>
      </c>
      <c r="C2196" s="8" t="s">
        <v>20</v>
      </c>
      <c r="D2196" s="8" t="s">
        <v>85</v>
      </c>
      <c r="E2196" s="8" t="s">
        <v>11324</v>
      </c>
      <c r="F2196" s="17">
        <v>41703</v>
      </c>
      <c r="G2196" s="8" t="s">
        <v>11325</v>
      </c>
      <c r="H2196" s="8" t="s">
        <v>9802</v>
      </c>
      <c r="I2196" s="8" t="s">
        <v>981</v>
      </c>
      <c r="J2196" s="16" t="s">
        <v>11326</v>
      </c>
      <c r="K2196" s="2" t="s">
        <v>2505</v>
      </c>
      <c r="L2196" s="8" t="s">
        <v>11327</v>
      </c>
      <c r="M2196" s="8" t="s">
        <v>27</v>
      </c>
      <c r="N2196" s="2" t="s">
        <v>11328</v>
      </c>
      <c r="O2196" s="8" t="s">
        <v>400</v>
      </c>
      <c r="P2196" s="8" t="s">
        <v>401</v>
      </c>
      <c r="Q2196" s="12" t="s">
        <v>11329</v>
      </c>
      <c r="R2196" s="8" t="s">
        <v>29</v>
      </c>
      <c r="S2196" s="7" t="s">
        <v>28</v>
      </c>
      <c r="T2196" s="6"/>
      <c r="U2196" s="8"/>
    </row>
    <row r="2197" spans="1:21" ht="13" customHeight="1">
      <c r="A2197" s="8" t="s">
        <v>11330</v>
      </c>
      <c r="B2197" s="16">
        <v>23</v>
      </c>
      <c r="C2197" s="8" t="s">
        <v>20</v>
      </c>
      <c r="D2197" s="8" t="s">
        <v>48</v>
      </c>
      <c r="F2197" s="17">
        <v>41703</v>
      </c>
      <c r="G2197" s="8" t="s">
        <v>11331</v>
      </c>
      <c r="H2197" s="8" t="s">
        <v>11332</v>
      </c>
      <c r="I2197" s="8" t="s">
        <v>62</v>
      </c>
      <c r="J2197" s="16" t="s">
        <v>11333</v>
      </c>
      <c r="K2197" s="2" t="s">
        <v>11334</v>
      </c>
      <c r="L2197" s="8" t="s">
        <v>11335</v>
      </c>
      <c r="M2197" s="8" t="s">
        <v>27</v>
      </c>
      <c r="N2197" s="2" t="s">
        <v>11336</v>
      </c>
      <c r="O2197" s="8" t="s">
        <v>400</v>
      </c>
      <c r="P2197" s="8" t="s">
        <v>401</v>
      </c>
      <c r="Q2197" s="12" t="s">
        <v>11337</v>
      </c>
      <c r="R2197" s="8" t="s">
        <v>100</v>
      </c>
      <c r="S2197" s="7" t="s">
        <v>28</v>
      </c>
      <c r="T2197" s="6"/>
      <c r="U2197" s="8"/>
    </row>
    <row r="2198" spans="1:21" ht="13" customHeight="1">
      <c r="A2198" s="8" t="s">
        <v>11338</v>
      </c>
      <c r="B2198" s="16">
        <v>23</v>
      </c>
      <c r="C2198" s="8" t="s">
        <v>20</v>
      </c>
      <c r="D2198" s="8" t="s">
        <v>48</v>
      </c>
      <c r="E2198" s="8" t="s">
        <v>11339</v>
      </c>
      <c r="F2198" s="17">
        <v>41703</v>
      </c>
      <c r="G2198" s="8" t="s">
        <v>11340</v>
      </c>
      <c r="H2198" s="8" t="s">
        <v>4710</v>
      </c>
      <c r="I2198" s="8" t="s">
        <v>209</v>
      </c>
      <c r="J2198" s="16" t="s">
        <v>11341</v>
      </c>
      <c r="K2198" s="2" t="s">
        <v>4710</v>
      </c>
      <c r="L2198" s="8" t="s">
        <v>4712</v>
      </c>
      <c r="M2198" s="8" t="s">
        <v>27</v>
      </c>
      <c r="N2198" s="2" t="s">
        <v>11342</v>
      </c>
      <c r="O2198" s="8" t="s">
        <v>550</v>
      </c>
      <c r="P2198" s="8" t="s">
        <v>401</v>
      </c>
      <c r="Q2198" s="12" t="s">
        <v>11343</v>
      </c>
      <c r="R2198" s="8" t="s">
        <v>100</v>
      </c>
      <c r="S2198" s="7" t="s">
        <v>28</v>
      </c>
      <c r="T2198" s="6"/>
      <c r="U2198" s="8"/>
    </row>
    <row r="2199" spans="1:21" ht="13" customHeight="1">
      <c r="A2199" s="8" t="s">
        <v>11353</v>
      </c>
      <c r="B2199" s="16">
        <v>27</v>
      </c>
      <c r="C2199" s="8" t="s">
        <v>20</v>
      </c>
      <c r="D2199" s="8" t="s">
        <v>37</v>
      </c>
      <c r="E2199" s="8" t="s">
        <v>11354</v>
      </c>
      <c r="F2199" s="17">
        <v>41703</v>
      </c>
      <c r="G2199" s="8" t="s">
        <v>11355</v>
      </c>
      <c r="H2199" s="8" t="s">
        <v>216</v>
      </c>
      <c r="I2199" s="8" t="s">
        <v>217</v>
      </c>
      <c r="J2199" s="16" t="s">
        <v>11356</v>
      </c>
      <c r="K2199" s="2" t="s">
        <v>420</v>
      </c>
      <c r="L2199" s="8" t="s">
        <v>218</v>
      </c>
      <c r="M2199" s="8" t="s">
        <v>27</v>
      </c>
      <c r="N2199" s="2" t="s">
        <v>11357</v>
      </c>
      <c r="O2199" s="8" t="s">
        <v>29</v>
      </c>
      <c r="P2199" s="8" t="s">
        <v>401</v>
      </c>
      <c r="Q2199" s="12" t="str">
        <f>HYPERLINK("http://www.indystar.com/story/news/crime/2014/03/05/4-indianapolis-swat-officers-shot-suspect-is-killed/6097619/","http://www.indystar.com/story/news/crime/2014/03/05/4-indianapolis-swat-officers-shot-suspect-is-killed/6097619/")</f>
        <v>http://www.indystar.com/story/news/crime/2014/03/05/4-indianapolis-swat-officers-shot-suspect-is-killed/6097619/</v>
      </c>
      <c r="R2199" s="8" t="s">
        <v>967</v>
      </c>
      <c r="S2199" s="7" t="s">
        <v>28</v>
      </c>
      <c r="T2199" s="6"/>
      <c r="U2199" s="8"/>
    </row>
    <row r="2200" spans="1:21" ht="13" customHeight="1">
      <c r="A2200" s="8" t="s">
        <v>11344</v>
      </c>
      <c r="B2200" s="16">
        <v>50</v>
      </c>
      <c r="C2200" s="8" t="s">
        <v>20</v>
      </c>
      <c r="D2200" s="8" t="s">
        <v>37</v>
      </c>
      <c r="E2200" s="8" t="s">
        <v>11345</v>
      </c>
      <c r="F2200" s="17">
        <v>41703</v>
      </c>
      <c r="G2200" s="8" t="s">
        <v>11346</v>
      </c>
      <c r="H2200" s="8" t="s">
        <v>11347</v>
      </c>
      <c r="I2200" s="8" t="s">
        <v>431</v>
      </c>
      <c r="J2200" s="16" t="s">
        <v>11348</v>
      </c>
      <c r="K2200" s="2" t="s">
        <v>11349</v>
      </c>
      <c r="L2200" s="8" t="s">
        <v>11350</v>
      </c>
      <c r="M2200" s="8" t="s">
        <v>27</v>
      </c>
      <c r="N2200" s="2" t="s">
        <v>11351</v>
      </c>
      <c r="O2200" s="8" t="s">
        <v>550</v>
      </c>
      <c r="P2200" s="8" t="s">
        <v>401</v>
      </c>
      <c r="Q2200" s="12" t="s">
        <v>11352</v>
      </c>
      <c r="R2200" s="8" t="s">
        <v>967</v>
      </c>
      <c r="S2200" s="7" t="s">
        <v>18</v>
      </c>
      <c r="T2200" s="6"/>
      <c r="U2200" s="8"/>
    </row>
    <row r="2201" spans="1:21" ht="13" customHeight="1">
      <c r="A2201" s="8" t="s">
        <v>11358</v>
      </c>
      <c r="B2201" s="16">
        <v>97</v>
      </c>
      <c r="C2201" s="8" t="s">
        <v>114</v>
      </c>
      <c r="D2201" s="8" t="s">
        <v>37</v>
      </c>
      <c r="E2201" s="8" t="s">
        <v>11359</v>
      </c>
      <c r="F2201" s="17">
        <v>41703</v>
      </c>
      <c r="G2201" s="8" t="s">
        <v>11360</v>
      </c>
      <c r="H2201" s="8" t="s">
        <v>7169</v>
      </c>
      <c r="I2201" s="8" t="s">
        <v>62</v>
      </c>
      <c r="J2201" s="16" t="s">
        <v>11361</v>
      </c>
      <c r="K2201" s="2" t="s">
        <v>3916</v>
      </c>
      <c r="L2201" s="8" t="s">
        <v>1028</v>
      </c>
      <c r="M2201" s="8" t="s">
        <v>379</v>
      </c>
      <c r="N2201" s="2" t="s">
        <v>11362</v>
      </c>
      <c r="O2201" s="8" t="s">
        <v>1013</v>
      </c>
      <c r="P2201" s="8" t="s">
        <v>401</v>
      </c>
      <c r="Q2201" s="12" t="s">
        <v>11363</v>
      </c>
      <c r="R2201" s="8" t="s">
        <v>100</v>
      </c>
      <c r="S2201" s="7" t="s">
        <v>18</v>
      </c>
      <c r="T2201" s="6"/>
      <c r="U2201" s="8"/>
    </row>
    <row r="2202" spans="1:21" ht="13" customHeight="1">
      <c r="A2202" s="8" t="s">
        <v>11364</v>
      </c>
      <c r="B2202" s="16">
        <v>41</v>
      </c>
      <c r="C2202" s="8" t="s">
        <v>20</v>
      </c>
      <c r="D2202" s="8" t="s">
        <v>85</v>
      </c>
      <c r="E2202" s="8" t="s">
        <v>11365</v>
      </c>
      <c r="F2202" s="17">
        <v>41702</v>
      </c>
      <c r="G2202" s="8" t="s">
        <v>11366</v>
      </c>
      <c r="H2202" s="8" t="s">
        <v>10232</v>
      </c>
      <c r="I2202" s="8" t="s">
        <v>62</v>
      </c>
      <c r="J2202" s="16" t="s">
        <v>11367</v>
      </c>
      <c r="K2202" s="2" t="s">
        <v>640</v>
      </c>
      <c r="L2202" s="8" t="s">
        <v>641</v>
      </c>
      <c r="M2202" s="8" t="s">
        <v>27</v>
      </c>
      <c r="N2202" s="2" t="s">
        <v>11368</v>
      </c>
      <c r="O2202" s="8" t="s">
        <v>1013</v>
      </c>
      <c r="P2202" s="8" t="s">
        <v>401</v>
      </c>
      <c r="Q2202" s="12" t="s">
        <v>11369</v>
      </c>
      <c r="R2202" s="8" t="s">
        <v>555</v>
      </c>
      <c r="S2202" s="7" t="s">
        <v>28</v>
      </c>
      <c r="T2202" s="6"/>
      <c r="U2202" s="8"/>
    </row>
    <row r="2203" spans="1:21" ht="13" customHeight="1">
      <c r="A2203" s="8" t="s">
        <v>11370</v>
      </c>
      <c r="B2203" s="16">
        <v>20</v>
      </c>
      <c r="C2203" s="8" t="s">
        <v>20</v>
      </c>
      <c r="D2203" s="8" t="s">
        <v>48</v>
      </c>
      <c r="F2203" s="17">
        <v>41702</v>
      </c>
      <c r="G2203" s="8" t="s">
        <v>11371</v>
      </c>
      <c r="H2203" s="8" t="s">
        <v>766</v>
      </c>
      <c r="I2203" s="8" t="s">
        <v>62</v>
      </c>
      <c r="J2203" s="16" t="s">
        <v>11372</v>
      </c>
      <c r="K2203" s="2" t="s">
        <v>161</v>
      </c>
      <c r="L2203" s="8" t="s">
        <v>162</v>
      </c>
      <c r="M2203" s="8" t="s">
        <v>27</v>
      </c>
      <c r="N2203" s="2" t="s">
        <v>11373</v>
      </c>
      <c r="O2203" s="8" t="s">
        <v>1013</v>
      </c>
      <c r="P2203" s="8" t="s">
        <v>401</v>
      </c>
      <c r="Q2203" s="12" t="s">
        <v>11374</v>
      </c>
      <c r="R2203" s="8" t="s">
        <v>555</v>
      </c>
      <c r="S2203" s="7" t="s">
        <v>28</v>
      </c>
      <c r="T2203" s="6"/>
      <c r="U2203" s="8"/>
    </row>
    <row r="2204" spans="1:21" ht="13" customHeight="1">
      <c r="A2204" s="8" t="s">
        <v>11375</v>
      </c>
      <c r="B2204" s="16">
        <v>67</v>
      </c>
      <c r="C2204" s="8" t="s">
        <v>20</v>
      </c>
      <c r="D2204" s="8" t="s">
        <v>48</v>
      </c>
      <c r="F2204" s="17">
        <v>41702</v>
      </c>
      <c r="G2204" s="8" t="s">
        <v>11376</v>
      </c>
      <c r="H2204" s="8" t="s">
        <v>1596</v>
      </c>
      <c r="I2204" s="8" t="s">
        <v>52</v>
      </c>
      <c r="J2204" s="16" t="s">
        <v>2781</v>
      </c>
      <c r="K2204" s="2" t="s">
        <v>4727</v>
      </c>
      <c r="L2204" s="8" t="s">
        <v>11377</v>
      </c>
      <c r="M2204" s="8" t="s">
        <v>14474</v>
      </c>
      <c r="N2204" s="2" t="s">
        <v>11378</v>
      </c>
      <c r="O2204" s="8" t="s">
        <v>1013</v>
      </c>
      <c r="P2204" s="8" t="s">
        <v>401</v>
      </c>
      <c r="Q2204" s="12" t="s">
        <v>11379</v>
      </c>
      <c r="R2204" s="8" t="s">
        <v>555</v>
      </c>
      <c r="S2204" s="7" t="s">
        <v>18</v>
      </c>
      <c r="T2204" s="6"/>
      <c r="U2204" s="8"/>
    </row>
    <row r="2205" spans="1:21" ht="13" customHeight="1">
      <c r="A2205" s="8" t="s">
        <v>11380</v>
      </c>
      <c r="B2205" s="16">
        <v>44</v>
      </c>
      <c r="C2205" s="8" t="s">
        <v>20</v>
      </c>
      <c r="D2205" s="8" t="s">
        <v>37</v>
      </c>
      <c r="E2205" s="8" t="s">
        <v>11381</v>
      </c>
      <c r="F2205" s="17">
        <v>41702</v>
      </c>
      <c r="G2205" s="8" t="s">
        <v>11382</v>
      </c>
      <c r="H2205" s="8" t="s">
        <v>11383</v>
      </c>
      <c r="I2205" s="8" t="s">
        <v>57</v>
      </c>
      <c r="J2205" s="16" t="s">
        <v>11384</v>
      </c>
      <c r="K2205" s="2" t="s">
        <v>603</v>
      </c>
      <c r="L2205" s="8" t="s">
        <v>18894</v>
      </c>
      <c r="M2205" s="8" t="s">
        <v>27</v>
      </c>
      <c r="N2205" s="2" t="s">
        <v>11385</v>
      </c>
      <c r="O2205" s="8" t="s">
        <v>400</v>
      </c>
      <c r="P2205" s="8" t="s">
        <v>401</v>
      </c>
      <c r="Q2205" s="12" t="s">
        <v>11386</v>
      </c>
      <c r="R2205" s="8" t="s">
        <v>967</v>
      </c>
      <c r="S2205" s="7" t="s">
        <v>28</v>
      </c>
      <c r="T2205" s="6"/>
      <c r="U2205" s="8"/>
    </row>
    <row r="2206" spans="1:21" ht="13" customHeight="1">
      <c r="A2206" s="8" t="s">
        <v>11387</v>
      </c>
      <c r="B2206" s="16">
        <v>24</v>
      </c>
      <c r="C2206" s="8" t="s">
        <v>114</v>
      </c>
      <c r="D2206" s="8" t="s">
        <v>37</v>
      </c>
      <c r="E2206" s="8" t="s">
        <v>11388</v>
      </c>
      <c r="F2206" s="17">
        <v>41702</v>
      </c>
      <c r="G2206" s="8" t="s">
        <v>11389</v>
      </c>
      <c r="H2206" s="8" t="s">
        <v>11390</v>
      </c>
      <c r="I2206" s="8" t="s">
        <v>32</v>
      </c>
      <c r="J2206" s="16" t="s">
        <v>11391</v>
      </c>
      <c r="K2206" s="2" t="s">
        <v>2875</v>
      </c>
      <c r="L2206" s="8" t="s">
        <v>11392</v>
      </c>
      <c r="M2206" s="8" t="s">
        <v>27</v>
      </c>
      <c r="N2206" s="2" t="s">
        <v>11393</v>
      </c>
      <c r="O2206" s="8" t="s">
        <v>1013</v>
      </c>
      <c r="P2206" s="8" t="s">
        <v>401</v>
      </c>
      <c r="Q2206" s="12" t="s">
        <v>11394</v>
      </c>
      <c r="R2206" s="8" t="s">
        <v>100</v>
      </c>
      <c r="S2206" s="7" t="s">
        <v>379</v>
      </c>
      <c r="T2206" s="6"/>
      <c r="U2206" s="8"/>
    </row>
    <row r="2207" spans="1:21" ht="13" customHeight="1">
      <c r="A2207" s="8" t="s">
        <v>11395</v>
      </c>
      <c r="B2207" s="16">
        <v>19</v>
      </c>
      <c r="C2207" s="8" t="s">
        <v>20</v>
      </c>
      <c r="D2207" s="8" t="s">
        <v>139</v>
      </c>
      <c r="F2207" s="17">
        <v>41701</v>
      </c>
      <c r="H2207" s="8" t="s">
        <v>11396</v>
      </c>
      <c r="I2207" s="8" t="s">
        <v>857</v>
      </c>
      <c r="J2207" s="16" t="s">
        <v>11397</v>
      </c>
      <c r="K2207" s="2" t="s">
        <v>11398</v>
      </c>
      <c r="L2207" s="8" t="s">
        <v>11399</v>
      </c>
      <c r="M2207" s="8" t="s">
        <v>27</v>
      </c>
      <c r="N2207" s="2" t="s">
        <v>11400</v>
      </c>
      <c r="O2207" s="8" t="s">
        <v>1013</v>
      </c>
      <c r="P2207" s="8" t="s">
        <v>401</v>
      </c>
      <c r="Q2207" s="12" t="s">
        <v>11401</v>
      </c>
      <c r="R2207" s="8" t="s">
        <v>29</v>
      </c>
      <c r="S2207" s="7" t="s">
        <v>28</v>
      </c>
      <c r="T2207" s="6"/>
      <c r="U2207" s="8"/>
    </row>
    <row r="2208" spans="1:21" ht="13" customHeight="1">
      <c r="A2208" s="8" t="s">
        <v>11402</v>
      </c>
      <c r="B2208" s="16">
        <v>28</v>
      </c>
      <c r="C2208" s="8" t="s">
        <v>20</v>
      </c>
      <c r="D2208" s="8" t="s">
        <v>37</v>
      </c>
      <c r="E2208" s="8" t="s">
        <v>11403</v>
      </c>
      <c r="F2208" s="17">
        <v>41701</v>
      </c>
      <c r="G2208" s="8" t="s">
        <v>11404</v>
      </c>
      <c r="H2208" s="8" t="s">
        <v>11405</v>
      </c>
      <c r="I2208" s="8" t="s">
        <v>62</v>
      </c>
      <c r="J2208" s="16" t="s">
        <v>11406</v>
      </c>
      <c r="K2208" s="2" t="s">
        <v>1027</v>
      </c>
      <c r="L2208" s="8" t="s">
        <v>11407</v>
      </c>
      <c r="M2208" s="8" t="s">
        <v>27</v>
      </c>
      <c r="N2208" s="2" t="s">
        <v>11408</v>
      </c>
      <c r="O2208" s="8" t="s">
        <v>1013</v>
      </c>
      <c r="P2208" s="8" t="s">
        <v>401</v>
      </c>
      <c r="Q2208" s="12" t="s">
        <v>11409</v>
      </c>
      <c r="R2208" s="8" t="s">
        <v>29</v>
      </c>
      <c r="S2208" s="7" t="s">
        <v>28</v>
      </c>
      <c r="T2208" s="6"/>
      <c r="U2208" s="8"/>
    </row>
    <row r="2209" spans="1:39" ht="13" customHeight="1">
      <c r="A2209" s="8" t="s">
        <v>11410</v>
      </c>
      <c r="B2209" s="16">
        <v>28</v>
      </c>
      <c r="C2209" s="8" t="s">
        <v>20</v>
      </c>
      <c r="D2209" s="8" t="s">
        <v>37</v>
      </c>
      <c r="F2209" s="17">
        <v>41701</v>
      </c>
      <c r="G2209" s="8" t="s">
        <v>11411</v>
      </c>
      <c r="H2209" s="8" t="s">
        <v>634</v>
      </c>
      <c r="I2209" s="8" t="s">
        <v>123</v>
      </c>
      <c r="J2209" s="16" t="s">
        <v>11412</v>
      </c>
      <c r="K2209" s="2" t="s">
        <v>635</v>
      </c>
      <c r="L2209" s="8" t="s">
        <v>636</v>
      </c>
      <c r="M2209" s="8" t="s">
        <v>27</v>
      </c>
      <c r="N2209" s="2" t="s">
        <v>11413</v>
      </c>
      <c r="O2209" s="8" t="s">
        <v>1013</v>
      </c>
      <c r="P2209" s="8" t="s">
        <v>401</v>
      </c>
      <c r="Q2209" s="12" t="s">
        <v>11414</v>
      </c>
      <c r="R2209" s="8" t="s">
        <v>29</v>
      </c>
      <c r="S2209" s="7" t="s">
        <v>28</v>
      </c>
      <c r="T2209" s="6"/>
      <c r="U2209" s="8"/>
      <c r="V2209" s="8"/>
      <c r="W2209" s="8"/>
      <c r="X2209" s="8"/>
    </row>
    <row r="2210" spans="1:39" ht="13" customHeight="1">
      <c r="A2210" s="8" t="s">
        <v>11415</v>
      </c>
      <c r="B2210" s="16">
        <v>22</v>
      </c>
      <c r="C2210" s="8" t="s">
        <v>114</v>
      </c>
      <c r="D2210" s="8" t="s">
        <v>48</v>
      </c>
      <c r="F2210" s="17">
        <v>41700</v>
      </c>
      <c r="G2210" s="8" t="s">
        <v>11416</v>
      </c>
      <c r="H2210" s="8" t="s">
        <v>11417</v>
      </c>
      <c r="I2210" s="8" t="s">
        <v>45</v>
      </c>
      <c r="J2210" s="16" t="s">
        <v>11418</v>
      </c>
      <c r="K2210" s="2" t="s">
        <v>1646</v>
      </c>
      <c r="L2210" s="8" t="s">
        <v>1647</v>
      </c>
      <c r="M2210" s="8" t="s">
        <v>27</v>
      </c>
      <c r="N2210" s="2" t="s">
        <v>11419</v>
      </c>
      <c r="O2210" s="8" t="s">
        <v>550</v>
      </c>
      <c r="P2210" s="8" t="s">
        <v>401</v>
      </c>
      <c r="Q2210" s="12" t="s">
        <v>11420</v>
      </c>
      <c r="R2210" s="8" t="s">
        <v>29</v>
      </c>
      <c r="S2210" s="7" t="s">
        <v>379</v>
      </c>
      <c r="T2210" s="6"/>
      <c r="U2210" s="8"/>
    </row>
    <row r="2211" spans="1:39" ht="13" customHeight="1">
      <c r="A2211" s="8" t="s">
        <v>11421</v>
      </c>
      <c r="B2211" s="16">
        <v>30</v>
      </c>
      <c r="C2211" s="8" t="s">
        <v>20</v>
      </c>
      <c r="D2211" s="8" t="s">
        <v>37</v>
      </c>
      <c r="E2211" s="8" t="s">
        <v>11422</v>
      </c>
      <c r="F2211" s="17">
        <v>41700</v>
      </c>
      <c r="G2211" s="8" t="s">
        <v>11423</v>
      </c>
      <c r="H2211" s="8" t="s">
        <v>11424</v>
      </c>
      <c r="I2211" s="8" t="s">
        <v>25</v>
      </c>
      <c r="J2211" s="16" t="s">
        <v>11425</v>
      </c>
      <c r="K2211" s="2" t="s">
        <v>11424</v>
      </c>
      <c r="L2211" s="8" t="s">
        <v>11426</v>
      </c>
      <c r="M2211" s="8" t="s">
        <v>8536</v>
      </c>
      <c r="N2211" s="2" t="s">
        <v>11427</v>
      </c>
      <c r="O2211" s="8" t="s">
        <v>1013</v>
      </c>
      <c r="P2211" s="8" t="s">
        <v>401</v>
      </c>
      <c r="Q2211" s="12" t="s">
        <v>11428</v>
      </c>
      <c r="R2211" s="8" t="s">
        <v>967</v>
      </c>
      <c r="S2211" s="7" t="s">
        <v>18</v>
      </c>
      <c r="T2211" s="6"/>
      <c r="U2211" s="8"/>
    </row>
    <row r="2212" spans="1:39" ht="13" customHeight="1">
      <c r="A2212" s="8" t="s">
        <v>11429</v>
      </c>
      <c r="B2212" s="16">
        <v>41</v>
      </c>
      <c r="C2212" s="8" t="s">
        <v>20</v>
      </c>
      <c r="D2212" s="8" t="s">
        <v>37</v>
      </c>
      <c r="F2212" s="17">
        <v>41700</v>
      </c>
      <c r="G2212" s="8" t="s">
        <v>11430</v>
      </c>
      <c r="H2212" s="8" t="s">
        <v>11431</v>
      </c>
      <c r="I2212" s="8" t="s">
        <v>45</v>
      </c>
      <c r="J2212" s="16" t="s">
        <v>11432</v>
      </c>
      <c r="K2212" s="2" t="s">
        <v>1646</v>
      </c>
      <c r="L2212" s="8" t="s">
        <v>11433</v>
      </c>
      <c r="M2212" s="8" t="s">
        <v>27</v>
      </c>
      <c r="N2212" s="2" t="s">
        <v>11434</v>
      </c>
      <c r="O2212" s="8" t="s">
        <v>1013</v>
      </c>
      <c r="P2212" s="8" t="s">
        <v>401</v>
      </c>
      <c r="Q2212" s="12" t="s">
        <v>11435</v>
      </c>
      <c r="R2212" s="8" t="s">
        <v>555</v>
      </c>
      <c r="S2212" s="7" t="s">
        <v>28</v>
      </c>
      <c r="T2212" s="6"/>
      <c r="U2212" s="8"/>
    </row>
    <row r="2213" spans="1:39" ht="13" customHeight="1">
      <c r="A2213" s="8" t="s">
        <v>11436</v>
      </c>
      <c r="B2213" s="16" t="s">
        <v>29</v>
      </c>
      <c r="C2213" s="8" t="s">
        <v>20</v>
      </c>
      <c r="D2213" s="8" t="s">
        <v>48</v>
      </c>
      <c r="F2213" s="17">
        <v>41699</v>
      </c>
      <c r="G2213" s="8" t="s">
        <v>11437</v>
      </c>
      <c r="H2213" s="8" t="s">
        <v>285</v>
      </c>
      <c r="I2213" s="8" t="s">
        <v>73</v>
      </c>
      <c r="J2213" s="16" t="s">
        <v>10755</v>
      </c>
      <c r="K2213" s="2" t="s">
        <v>285</v>
      </c>
      <c r="L2213" s="8" t="s">
        <v>286</v>
      </c>
      <c r="M2213" s="8" t="s">
        <v>391</v>
      </c>
      <c r="N2213" s="2" t="s">
        <v>11438</v>
      </c>
      <c r="O2213" s="8" t="s">
        <v>1013</v>
      </c>
      <c r="P2213" s="8" t="s">
        <v>401</v>
      </c>
      <c r="Q2213" s="12" t="s">
        <v>11439</v>
      </c>
      <c r="R2213" s="8" t="s">
        <v>967</v>
      </c>
      <c r="S2213" s="7" t="s">
        <v>28</v>
      </c>
      <c r="T2213" s="6"/>
      <c r="U2213" s="8"/>
    </row>
    <row r="2214" spans="1:39" ht="13" customHeight="1">
      <c r="A2214" s="8" t="s">
        <v>11440</v>
      </c>
      <c r="B2214" s="16">
        <v>21</v>
      </c>
      <c r="C2214" s="8" t="s">
        <v>20</v>
      </c>
      <c r="D2214" s="8" t="s">
        <v>37</v>
      </c>
      <c r="F2214" s="17">
        <v>41699</v>
      </c>
      <c r="G2214" s="8" t="s">
        <v>11441</v>
      </c>
      <c r="H2214" s="8" t="s">
        <v>11442</v>
      </c>
      <c r="I2214" s="8" t="s">
        <v>431</v>
      </c>
      <c r="J2214" s="16" t="s">
        <v>11443</v>
      </c>
      <c r="K2214" s="2" t="s">
        <v>10485</v>
      </c>
      <c r="L2214" s="8" t="s">
        <v>11444</v>
      </c>
      <c r="M2214" s="8" t="s">
        <v>27</v>
      </c>
      <c r="N2214" s="2" t="s">
        <v>11445</v>
      </c>
      <c r="O2214" s="8" t="s">
        <v>550</v>
      </c>
      <c r="P2214" s="8" t="s">
        <v>401</v>
      </c>
      <c r="Q2214" s="12" t="s">
        <v>11446</v>
      </c>
      <c r="R2214" s="8" t="s">
        <v>555</v>
      </c>
      <c r="S2214" s="7" t="s">
        <v>28</v>
      </c>
      <c r="T2214" s="6"/>
      <c r="U2214" s="8"/>
    </row>
    <row r="2215" spans="1:39" ht="13" customHeight="1">
      <c r="A2215" s="8" t="s">
        <v>11447</v>
      </c>
      <c r="B2215" s="16">
        <v>23</v>
      </c>
      <c r="C2215" s="8" t="s">
        <v>20</v>
      </c>
      <c r="D2215" s="8" t="s">
        <v>85</v>
      </c>
      <c r="E2215" s="8" t="s">
        <v>11448</v>
      </c>
      <c r="F2215" s="17">
        <v>41698</v>
      </c>
      <c r="G2215" s="8" t="s">
        <v>11449</v>
      </c>
      <c r="H2215" s="8" t="s">
        <v>575</v>
      </c>
      <c r="I2215" s="8" t="s">
        <v>73</v>
      </c>
      <c r="J2215" s="16" t="s">
        <v>8297</v>
      </c>
      <c r="K2215" s="2" t="s">
        <v>576</v>
      </c>
      <c r="L2215" s="8" t="s">
        <v>577</v>
      </c>
      <c r="M2215" s="8" t="s">
        <v>27</v>
      </c>
      <c r="N2215" s="2" t="s">
        <v>11450</v>
      </c>
      <c r="O2215" s="8" t="s">
        <v>1013</v>
      </c>
      <c r="P2215" s="8" t="s">
        <v>401</v>
      </c>
      <c r="Q2215" s="12" t="s">
        <v>11451</v>
      </c>
      <c r="R2215" s="8" t="s">
        <v>100</v>
      </c>
      <c r="S2215" s="7" t="s">
        <v>35</v>
      </c>
      <c r="T2215" s="6"/>
      <c r="U2215" s="8"/>
    </row>
    <row r="2216" spans="1:39" ht="13" customHeight="1">
      <c r="A2216" s="8" t="s">
        <v>11452</v>
      </c>
      <c r="B2216" s="16">
        <v>37</v>
      </c>
      <c r="C2216" s="8" t="s">
        <v>20</v>
      </c>
      <c r="D2216" s="8" t="s">
        <v>48</v>
      </c>
      <c r="E2216" s="8" t="s">
        <v>11453</v>
      </c>
      <c r="F2216" s="17">
        <v>41698</v>
      </c>
      <c r="G2216" s="8" t="s">
        <v>11454</v>
      </c>
      <c r="H2216" s="8" t="s">
        <v>213</v>
      </c>
      <c r="I2216" s="8" t="s">
        <v>62</v>
      </c>
      <c r="J2216" s="16" t="s">
        <v>11455</v>
      </c>
      <c r="K2216" s="2" t="s">
        <v>161</v>
      </c>
      <c r="L2216" s="8" t="s">
        <v>162</v>
      </c>
      <c r="M2216" s="8" t="s">
        <v>391</v>
      </c>
      <c r="N2216" s="2" t="s">
        <v>11456</v>
      </c>
      <c r="O2216" s="8" t="s">
        <v>1013</v>
      </c>
      <c r="P2216" s="8" t="s">
        <v>401</v>
      </c>
      <c r="Q2216" s="12" t="s">
        <v>11457</v>
      </c>
      <c r="R2216" s="8" t="s">
        <v>100</v>
      </c>
      <c r="S2216" s="7" t="s">
        <v>18</v>
      </c>
      <c r="T2216" s="6"/>
      <c r="U2216" s="8"/>
    </row>
    <row r="2217" spans="1:39" ht="13" customHeight="1">
      <c r="A2217" s="8" t="s">
        <v>11458</v>
      </c>
      <c r="B2217" s="16">
        <v>51</v>
      </c>
      <c r="C2217" s="8" t="s">
        <v>20</v>
      </c>
      <c r="D2217" s="8" t="s">
        <v>37</v>
      </c>
      <c r="E2217" s="8" t="s">
        <v>11459</v>
      </c>
      <c r="F2217" s="17">
        <v>41698</v>
      </c>
      <c r="G2217" s="8" t="s">
        <v>11460</v>
      </c>
      <c r="H2217" s="8" t="s">
        <v>1877</v>
      </c>
      <c r="I2217" s="8" t="s">
        <v>62</v>
      </c>
      <c r="J2217" s="16" t="s">
        <v>11461</v>
      </c>
      <c r="K2217" s="2" t="s">
        <v>1772</v>
      </c>
      <c r="L2217" s="8" t="s">
        <v>3789</v>
      </c>
      <c r="M2217" s="8" t="s">
        <v>27</v>
      </c>
      <c r="N2217" s="2" t="s">
        <v>11462</v>
      </c>
      <c r="O2217" s="8" t="s">
        <v>1013</v>
      </c>
      <c r="P2217" s="8" t="s">
        <v>401</v>
      </c>
      <c r="Q2217" s="12" t="s">
        <v>11463</v>
      </c>
      <c r="R2217" s="8" t="s">
        <v>555</v>
      </c>
      <c r="S2217" s="7" t="s">
        <v>28</v>
      </c>
      <c r="T2217" s="6"/>
      <c r="U2217" s="8"/>
    </row>
    <row r="2218" spans="1:39" ht="13" customHeight="1">
      <c r="A2218" s="8" t="s">
        <v>11464</v>
      </c>
      <c r="B2218" s="16">
        <v>27</v>
      </c>
      <c r="C2218" s="8" t="s">
        <v>20</v>
      </c>
      <c r="D2218" s="8" t="s">
        <v>85</v>
      </c>
      <c r="E2218" s="8" t="s">
        <v>11465</v>
      </c>
      <c r="F2218" s="17">
        <v>41697</v>
      </c>
      <c r="G2218" s="8" t="s">
        <v>11466</v>
      </c>
      <c r="H2218" s="8" t="s">
        <v>6483</v>
      </c>
      <c r="I2218" s="8" t="s">
        <v>62</v>
      </c>
      <c r="J2218" s="16" t="s">
        <v>11467</v>
      </c>
      <c r="K2218" s="2" t="s">
        <v>161</v>
      </c>
      <c r="L2218" s="8" t="s">
        <v>11468</v>
      </c>
      <c r="M2218" s="8" t="s">
        <v>27</v>
      </c>
      <c r="N2218" s="2" t="s">
        <v>11469</v>
      </c>
      <c r="O2218" s="8" t="s">
        <v>1013</v>
      </c>
      <c r="P2218" s="8" t="s">
        <v>401</v>
      </c>
      <c r="Q2218" s="12" t="s">
        <v>11470</v>
      </c>
      <c r="R2218" s="8" t="s">
        <v>100</v>
      </c>
      <c r="S2218" s="7" t="s">
        <v>18</v>
      </c>
      <c r="T2218" s="6"/>
      <c r="U2218" s="8"/>
    </row>
    <row r="2219" spans="1:39" ht="13" customHeight="1">
      <c r="A2219" s="8" t="s">
        <v>11471</v>
      </c>
      <c r="B2219" s="16">
        <v>48</v>
      </c>
      <c r="C2219" s="8" t="s">
        <v>20</v>
      </c>
      <c r="D2219" s="8" t="s">
        <v>37</v>
      </c>
      <c r="E2219" s="8" t="s">
        <v>11472</v>
      </c>
      <c r="F2219" s="17">
        <v>41697</v>
      </c>
      <c r="G2219" s="8" t="s">
        <v>11473</v>
      </c>
      <c r="H2219" s="8" t="s">
        <v>8647</v>
      </c>
      <c r="I2219" s="8" t="s">
        <v>225</v>
      </c>
      <c r="J2219" s="16">
        <v>19947</v>
      </c>
      <c r="K2219" s="2" t="s">
        <v>1993</v>
      </c>
      <c r="L2219" s="8" t="s">
        <v>11474</v>
      </c>
      <c r="M2219" s="8" t="s">
        <v>14474</v>
      </c>
      <c r="N2219" s="2" t="s">
        <v>11475</v>
      </c>
      <c r="O2219" s="8" t="s">
        <v>1013</v>
      </c>
      <c r="P2219" s="8" t="s">
        <v>401</v>
      </c>
      <c r="Q2219" s="12" t="s">
        <v>11476</v>
      </c>
      <c r="R2219" s="8" t="s">
        <v>555</v>
      </c>
      <c r="S2219" s="7" t="s">
        <v>18</v>
      </c>
      <c r="T2219" s="6"/>
      <c r="U2219" s="8"/>
    </row>
    <row r="2220" spans="1:39" ht="13" customHeight="1">
      <c r="A2220" s="8" t="s">
        <v>11477</v>
      </c>
      <c r="B2220" s="16">
        <v>32</v>
      </c>
      <c r="C2220" s="8" t="s">
        <v>20</v>
      </c>
      <c r="D2220" s="8" t="s">
        <v>21</v>
      </c>
      <c r="F2220" s="17">
        <v>41696</v>
      </c>
      <c r="G2220" s="8" t="s">
        <v>11478</v>
      </c>
      <c r="H2220" s="8" t="s">
        <v>11479</v>
      </c>
      <c r="I2220" s="8" t="s">
        <v>41</v>
      </c>
      <c r="J2220" s="16" t="s">
        <v>11480</v>
      </c>
      <c r="K2220" s="2" t="s">
        <v>4915</v>
      </c>
      <c r="L2220" s="8" t="s">
        <v>43</v>
      </c>
      <c r="M2220" s="8" t="s">
        <v>27</v>
      </c>
      <c r="N2220" s="2" t="s">
        <v>11481</v>
      </c>
      <c r="O2220" s="8" t="s">
        <v>1013</v>
      </c>
      <c r="P2220" s="8" t="s">
        <v>401</v>
      </c>
      <c r="Q2220" s="12" t="s">
        <v>11482</v>
      </c>
      <c r="R2220" s="8" t="s">
        <v>29</v>
      </c>
      <c r="S2220" s="7" t="s">
        <v>28</v>
      </c>
      <c r="T2220" s="6"/>
      <c r="U2220" s="8"/>
      <c r="AI2220" s="8"/>
      <c r="AJ2220" s="8"/>
      <c r="AK2220" s="8"/>
      <c r="AL2220" s="8"/>
      <c r="AM2220" s="8"/>
    </row>
    <row r="2221" spans="1:39" ht="13" customHeight="1">
      <c r="A2221" s="8" t="s">
        <v>3267</v>
      </c>
      <c r="B2221" s="16" t="s">
        <v>29</v>
      </c>
      <c r="C2221" s="8" t="s">
        <v>20</v>
      </c>
      <c r="D2221" s="8" t="s">
        <v>30</v>
      </c>
      <c r="F2221" s="17">
        <v>41696</v>
      </c>
      <c r="G2221" s="8" t="s">
        <v>11483</v>
      </c>
      <c r="H2221" s="8" t="s">
        <v>289</v>
      </c>
      <c r="I2221" s="8" t="s">
        <v>315</v>
      </c>
      <c r="J2221" s="16">
        <v>40065</v>
      </c>
      <c r="K2221" s="2" t="s">
        <v>1196</v>
      </c>
      <c r="L2221" s="8" t="s">
        <v>3385</v>
      </c>
      <c r="M2221" s="8" t="s">
        <v>27</v>
      </c>
      <c r="N2221" s="2" t="s">
        <v>11484</v>
      </c>
      <c r="P2221" s="8" t="s">
        <v>401</v>
      </c>
      <c r="Q2221" s="12" t="s">
        <v>11485</v>
      </c>
      <c r="S2221" s="7" t="s">
        <v>28</v>
      </c>
      <c r="T2221" s="6"/>
      <c r="U2221" s="8"/>
    </row>
    <row r="2222" spans="1:39" ht="13" customHeight="1">
      <c r="A2222" s="8" t="s">
        <v>11498</v>
      </c>
      <c r="B2222" s="16">
        <v>42</v>
      </c>
      <c r="C2222" s="8" t="s">
        <v>114</v>
      </c>
      <c r="D2222" s="8" t="s">
        <v>37</v>
      </c>
      <c r="E2222" s="8" t="s">
        <v>11499</v>
      </c>
      <c r="F2222" s="17">
        <v>41696</v>
      </c>
      <c r="G2222" s="8" t="s">
        <v>11500</v>
      </c>
      <c r="H2222" s="8" t="s">
        <v>285</v>
      </c>
      <c r="I2222" s="8" t="s">
        <v>73</v>
      </c>
      <c r="J2222" s="16" t="s">
        <v>10755</v>
      </c>
      <c r="K2222" s="2" t="s">
        <v>285</v>
      </c>
      <c r="L2222" s="8" t="s">
        <v>11501</v>
      </c>
      <c r="M2222" s="8" t="s">
        <v>27</v>
      </c>
      <c r="N2222" s="2" t="s">
        <v>21461</v>
      </c>
      <c r="O2222" s="8" t="s">
        <v>615</v>
      </c>
      <c r="P2222" s="8" t="s">
        <v>1162</v>
      </c>
      <c r="Q2222" s="12" t="s">
        <v>11502</v>
      </c>
      <c r="R2222" s="8" t="s">
        <v>100</v>
      </c>
      <c r="S2222" s="7" t="s">
        <v>18</v>
      </c>
      <c r="T2222" s="6"/>
      <c r="U2222" s="8"/>
    </row>
    <row r="2223" spans="1:39" ht="13" customHeight="1">
      <c r="A2223" s="8" t="s">
        <v>11491</v>
      </c>
      <c r="B2223" s="16">
        <v>33</v>
      </c>
      <c r="C2223" s="8" t="s">
        <v>20</v>
      </c>
      <c r="D2223" s="8" t="s">
        <v>37</v>
      </c>
      <c r="F2223" s="17">
        <v>41696</v>
      </c>
      <c r="G2223" s="8" t="s">
        <v>11492</v>
      </c>
      <c r="H2223" s="8" t="s">
        <v>11493</v>
      </c>
      <c r="I2223" s="8" t="s">
        <v>44</v>
      </c>
      <c r="J2223" s="16" t="s">
        <v>11494</v>
      </c>
      <c r="K2223" s="2" t="s">
        <v>11495</v>
      </c>
      <c r="L2223" s="8" t="s">
        <v>11496</v>
      </c>
      <c r="M2223" s="8" t="s">
        <v>27</v>
      </c>
      <c r="N2223" s="2" t="s">
        <v>11497</v>
      </c>
      <c r="O2223" s="8" t="s">
        <v>1013</v>
      </c>
      <c r="P2223" s="8" t="s">
        <v>401</v>
      </c>
      <c r="Q2223" s="12" t="str">
        <f>HYPERLINK("http://www.news-gazette.com/news/local/2014-02-26/state-police-investigate-fatal-shooting-after-chase-danville.html","http://www.news-gazette.com/news/local/2014-02-26/state-police-investigate-fatal-shooting-after-chase-danville.html")</f>
        <v>http://www.news-gazette.com/news/local/2014-02-26/state-police-investigate-fatal-shooting-after-chase-danville.html</v>
      </c>
      <c r="R2223" s="8" t="s">
        <v>100</v>
      </c>
      <c r="S2223" s="7" t="s">
        <v>28</v>
      </c>
      <c r="T2223" s="6"/>
      <c r="U2223" s="8"/>
    </row>
    <row r="2224" spans="1:39" ht="13" customHeight="1">
      <c r="A2224" s="8" t="s">
        <v>11486</v>
      </c>
      <c r="B2224" s="16">
        <v>62</v>
      </c>
      <c r="C2224" s="8" t="s">
        <v>20</v>
      </c>
      <c r="D2224" s="8" t="s">
        <v>37</v>
      </c>
      <c r="E2224" s="8" t="s">
        <v>11487</v>
      </c>
      <c r="F2224" s="17">
        <v>41696</v>
      </c>
      <c r="G2224" s="8" t="s">
        <v>11488</v>
      </c>
      <c r="H2224" s="8" t="s">
        <v>156</v>
      </c>
      <c r="I2224" s="8" t="s">
        <v>45</v>
      </c>
      <c r="J2224" s="16" t="s">
        <v>11489</v>
      </c>
      <c r="K2224" s="2" t="s">
        <v>156</v>
      </c>
      <c r="L2224" s="8" t="s">
        <v>157</v>
      </c>
      <c r="M2224" s="8" t="s">
        <v>27</v>
      </c>
      <c r="N2224" s="2" t="s">
        <v>11490</v>
      </c>
      <c r="O2224" s="8" t="s">
        <v>1013</v>
      </c>
      <c r="P2224" s="8" t="s">
        <v>401</v>
      </c>
      <c r="Q2224" s="12" t="str">
        <f>HYPERLINK("http://www.utsandiego.com/news/2014/feb/26/suicidal-man-rifle-downtown-san-diego/","http://www.utsandiego.com/news/2014/feb/26/suicidal-man-rifle-downtown-san-diego/")</f>
        <v>http://www.utsandiego.com/news/2014/feb/26/suicidal-man-rifle-downtown-san-diego/</v>
      </c>
      <c r="R2224" s="8" t="s">
        <v>555</v>
      </c>
      <c r="S2224" s="7" t="s">
        <v>28</v>
      </c>
      <c r="T2224" s="6"/>
      <c r="U2224" s="8"/>
    </row>
    <row r="2225" spans="1:39" ht="13" customHeight="1">
      <c r="A2225" s="8" t="s">
        <v>11503</v>
      </c>
      <c r="B2225" s="16">
        <v>48</v>
      </c>
      <c r="C2225" s="8" t="s">
        <v>20</v>
      </c>
      <c r="D2225" s="8" t="s">
        <v>30</v>
      </c>
      <c r="F2225" s="17">
        <v>41695</v>
      </c>
      <c r="G2225" s="8" t="s">
        <v>11504</v>
      </c>
      <c r="H2225" s="8" t="s">
        <v>11505</v>
      </c>
      <c r="I2225" s="8" t="s">
        <v>57</v>
      </c>
      <c r="J2225" s="16" t="s">
        <v>11506</v>
      </c>
      <c r="K2225" s="2" t="s">
        <v>1132</v>
      </c>
      <c r="L2225" s="8" t="s">
        <v>11507</v>
      </c>
      <c r="M2225" s="8" t="s">
        <v>27</v>
      </c>
      <c r="N2225" s="2" t="s">
        <v>11508</v>
      </c>
      <c r="O2225" s="8" t="s">
        <v>1013</v>
      </c>
      <c r="P2225" s="8" t="s">
        <v>401</v>
      </c>
      <c r="Q2225" s="12" t="str">
        <f>HYPERLINK("http://thenewsherald.com/articles/2014/02/28/news/doc5310a54ba9b5b176742526.txt","http://thenewsherald.com/articles/2014/02/28/news/doc5310a54ba9b5b176742526.txt")</f>
        <v>http://thenewsherald.com/articles/2014/02/28/news/doc5310a54ba9b5b176742526.txt</v>
      </c>
      <c r="R2225" s="8" t="s">
        <v>555</v>
      </c>
      <c r="S2225" s="7" t="s">
        <v>28</v>
      </c>
      <c r="T2225" s="6"/>
      <c r="U2225" s="8"/>
    </row>
    <row r="2226" spans="1:39" ht="13" customHeight="1">
      <c r="A2226" s="8" t="s">
        <v>11509</v>
      </c>
      <c r="B2226" s="16">
        <v>57</v>
      </c>
      <c r="C2226" s="8" t="s">
        <v>20</v>
      </c>
      <c r="D2226" s="8" t="s">
        <v>37</v>
      </c>
      <c r="E2226" s="8" t="s">
        <v>11510</v>
      </c>
      <c r="F2226" s="17">
        <v>41695</v>
      </c>
      <c r="G2226" s="8" t="s">
        <v>11511</v>
      </c>
      <c r="H2226" s="8" t="s">
        <v>1432</v>
      </c>
      <c r="I2226" s="8" t="s">
        <v>123</v>
      </c>
      <c r="J2226" s="16" t="s">
        <v>11512</v>
      </c>
      <c r="K2226" s="2" t="s">
        <v>635</v>
      </c>
      <c r="L2226" s="8" t="s">
        <v>810</v>
      </c>
      <c r="M2226" s="8" t="s">
        <v>27</v>
      </c>
      <c r="N2226" s="2" t="s">
        <v>11513</v>
      </c>
      <c r="O2226" s="8" t="s">
        <v>1013</v>
      </c>
      <c r="P2226" s="8" t="s">
        <v>401</v>
      </c>
      <c r="Q2226" s="12" t="s">
        <v>11514</v>
      </c>
      <c r="R2226" s="8" t="s">
        <v>100</v>
      </c>
      <c r="S2226" s="7" t="s">
        <v>28</v>
      </c>
      <c r="T2226" s="6"/>
      <c r="U2226" s="8"/>
    </row>
    <row r="2227" spans="1:39" ht="13" customHeight="1">
      <c r="A2227" s="8" t="s">
        <v>11515</v>
      </c>
      <c r="B2227" s="16">
        <v>70</v>
      </c>
      <c r="C2227" s="8" t="s">
        <v>20</v>
      </c>
      <c r="D2227" s="8" t="s">
        <v>37</v>
      </c>
      <c r="E2227" s="8" t="s">
        <v>11516</v>
      </c>
      <c r="F2227" s="17">
        <v>41695</v>
      </c>
      <c r="H2227" s="8" t="s">
        <v>11517</v>
      </c>
      <c r="I2227" s="8" t="s">
        <v>32</v>
      </c>
      <c r="J2227" s="16">
        <v>29710</v>
      </c>
      <c r="K2227" s="2" t="s">
        <v>1608</v>
      </c>
      <c r="L2227" s="8" t="s">
        <v>11518</v>
      </c>
      <c r="M2227" s="8" t="s">
        <v>27</v>
      </c>
      <c r="N2227" s="2" t="s">
        <v>11519</v>
      </c>
      <c r="O2227" s="8" t="s">
        <v>550</v>
      </c>
      <c r="P2227" s="8" t="s">
        <v>401</v>
      </c>
      <c r="Q2227" s="12" t="s">
        <v>11520</v>
      </c>
      <c r="R2227" s="8" t="s">
        <v>100</v>
      </c>
      <c r="S2227" s="7" t="s">
        <v>18</v>
      </c>
      <c r="T2227" s="6"/>
      <c r="U2227" s="8"/>
    </row>
    <row r="2228" spans="1:39" ht="13" customHeight="1">
      <c r="A2228" s="8" t="s">
        <v>11524</v>
      </c>
      <c r="B2228" s="16">
        <v>37</v>
      </c>
      <c r="C2228" s="8" t="s">
        <v>20</v>
      </c>
      <c r="D2228" s="8" t="s">
        <v>85</v>
      </c>
      <c r="E2228" s="8" t="s">
        <v>11525</v>
      </c>
      <c r="F2228" s="17">
        <v>41694</v>
      </c>
      <c r="G2228" s="8" t="s">
        <v>11526</v>
      </c>
      <c r="H2228" s="8" t="s">
        <v>547</v>
      </c>
      <c r="I2228" s="8" t="s">
        <v>69</v>
      </c>
      <c r="J2228" s="16" t="s">
        <v>11527</v>
      </c>
      <c r="K2228" s="2" t="s">
        <v>548</v>
      </c>
      <c r="L2228" s="8" t="s">
        <v>549</v>
      </c>
      <c r="M2228" s="8" t="s">
        <v>27</v>
      </c>
      <c r="N2228" s="2" t="s">
        <v>11528</v>
      </c>
      <c r="O2228" s="8" t="s">
        <v>1013</v>
      </c>
      <c r="P2228" s="8" t="s">
        <v>401</v>
      </c>
      <c r="Q2228" s="12" t="s">
        <v>11529</v>
      </c>
      <c r="R2228" s="8" t="s">
        <v>100</v>
      </c>
      <c r="S2228" s="7" t="s">
        <v>28</v>
      </c>
      <c r="T2228" s="6"/>
      <c r="U2228" s="8"/>
    </row>
    <row r="2229" spans="1:39" ht="13" customHeight="1">
      <c r="A2229" s="8" t="s">
        <v>11521</v>
      </c>
      <c r="B2229" s="16">
        <v>38</v>
      </c>
      <c r="C2229" s="8" t="s">
        <v>20</v>
      </c>
      <c r="D2229" s="8" t="s">
        <v>85</v>
      </c>
      <c r="E2229" s="8" t="str">
        <f>HYPERLINK("http://rollingout.com/wp-content/uploads/2014/02/Kenneth-Lucas-and-Family.jpg?f66a58","http://rollingout.com/wp-content/uploads/2014/02/Kenneth-Lucas-and-Family.jpg?f66a58")</f>
        <v>http://rollingout.com/wp-content/uploads/2014/02/Kenneth-Lucas-and-Family.jpg?f66a58</v>
      </c>
      <c r="F2229" s="17">
        <v>41694</v>
      </c>
      <c r="G2229" s="8" t="s">
        <v>11522</v>
      </c>
      <c r="H2229" s="8" t="s">
        <v>726</v>
      </c>
      <c r="I2229" s="8" t="s">
        <v>73</v>
      </c>
      <c r="J2229" s="16">
        <v>77049</v>
      </c>
      <c r="K2229" s="2" t="s">
        <v>558</v>
      </c>
      <c r="L2229" s="8" t="s">
        <v>559</v>
      </c>
      <c r="M2229" s="8" t="s">
        <v>3386</v>
      </c>
      <c r="N2229" s="2" t="s">
        <v>11523</v>
      </c>
      <c r="O2229" s="8" t="s">
        <v>550</v>
      </c>
      <c r="P2229" s="8" t="s">
        <v>401</v>
      </c>
      <c r="Q2229" s="12" t="str">
        <f>HYPERLINK("http://rollingout.com/news/why-did-kenneth-lucas-jailed-in-texas-die-after-guards-left-cell/","http://rollingout.com/news/why-did-kenneth-lucas-jailed-in-texas-die-after-guards-left-cell/")</f>
        <v>http://rollingout.com/news/why-did-kenneth-lucas-jailed-in-texas-die-after-guards-left-cell/</v>
      </c>
      <c r="R2229" s="8" t="s">
        <v>29</v>
      </c>
      <c r="S2229" s="7" t="s">
        <v>18</v>
      </c>
      <c r="T2229" s="6"/>
      <c r="U2229" s="8"/>
    </row>
    <row r="2230" spans="1:39" ht="13" customHeight="1">
      <c r="A2230" s="8" t="s">
        <v>11530</v>
      </c>
      <c r="B2230" s="16">
        <v>18</v>
      </c>
      <c r="C2230" s="8" t="s">
        <v>20</v>
      </c>
      <c r="D2230" s="8" t="s">
        <v>21</v>
      </c>
      <c r="E2230" s="8" t="s">
        <v>11531</v>
      </c>
      <c r="F2230" s="17">
        <v>41693</v>
      </c>
      <c r="G2230" s="8" t="s">
        <v>11532</v>
      </c>
      <c r="H2230" s="8" t="s">
        <v>200</v>
      </c>
      <c r="I2230" s="8" t="s">
        <v>45</v>
      </c>
      <c r="J2230" s="16" t="s">
        <v>7131</v>
      </c>
      <c r="K2230" s="2" t="s">
        <v>200</v>
      </c>
      <c r="L2230" s="8" t="s">
        <v>201</v>
      </c>
      <c r="M2230" s="8" t="s">
        <v>27</v>
      </c>
      <c r="N2230" s="2" t="s">
        <v>11533</v>
      </c>
      <c r="O2230" s="8" t="s">
        <v>1013</v>
      </c>
      <c r="P2230" s="8" t="s">
        <v>401</v>
      </c>
      <c r="Q2230" s="12" t="s">
        <v>11534</v>
      </c>
      <c r="R2230" s="8" t="s">
        <v>100</v>
      </c>
      <c r="S2230" s="7" t="s">
        <v>28</v>
      </c>
      <c r="T2230" s="6"/>
      <c r="U2230" s="8"/>
      <c r="AI2230" s="8"/>
      <c r="AJ2230" s="8"/>
      <c r="AK2230" s="8"/>
      <c r="AL2230" s="8"/>
      <c r="AM2230" s="8"/>
    </row>
    <row r="2231" spans="1:39" ht="13" customHeight="1">
      <c r="A2231" s="8" t="s">
        <v>11542</v>
      </c>
      <c r="B2231" s="16">
        <v>44</v>
      </c>
      <c r="C2231" s="8" t="s">
        <v>20</v>
      </c>
      <c r="D2231" s="8" t="s">
        <v>48</v>
      </c>
      <c r="F2231" s="17">
        <v>41692</v>
      </c>
      <c r="G2231" s="8" t="s">
        <v>11543</v>
      </c>
      <c r="H2231" s="8" t="s">
        <v>561</v>
      </c>
      <c r="I2231" s="8" t="s">
        <v>123</v>
      </c>
      <c r="J2231" s="16" t="s">
        <v>11544</v>
      </c>
      <c r="K2231" s="2" t="s">
        <v>562</v>
      </c>
      <c r="L2231" s="8" t="s">
        <v>563</v>
      </c>
      <c r="M2231" s="8" t="s">
        <v>27</v>
      </c>
      <c r="N2231" s="2" t="s">
        <v>11545</v>
      </c>
      <c r="O2231" s="8" t="s">
        <v>1013</v>
      </c>
      <c r="P2231" s="8" t="s">
        <v>401</v>
      </c>
      <c r="Q2231" s="12" t="s">
        <v>11546</v>
      </c>
      <c r="R2231" s="8" t="s">
        <v>100</v>
      </c>
      <c r="S2231" s="7" t="s">
        <v>18</v>
      </c>
      <c r="T2231" s="6"/>
      <c r="U2231" s="8"/>
    </row>
    <row r="2232" spans="1:39" ht="13" customHeight="1">
      <c r="A2232" s="8" t="s">
        <v>11547</v>
      </c>
      <c r="B2232" s="16">
        <v>38</v>
      </c>
      <c r="C2232" s="8" t="s">
        <v>20</v>
      </c>
      <c r="D2232" s="8" t="s">
        <v>48</v>
      </c>
      <c r="E2232" s="8" t="s">
        <v>11548</v>
      </c>
      <c r="F2232" s="17">
        <v>41691</v>
      </c>
      <c r="G2232" s="8" t="s">
        <v>11549</v>
      </c>
      <c r="H2232" s="8" t="s">
        <v>608</v>
      </c>
      <c r="I2232" s="8" t="s">
        <v>45</v>
      </c>
      <c r="J2232" s="16" t="s">
        <v>11550</v>
      </c>
      <c r="K2232" s="2" t="s">
        <v>609</v>
      </c>
      <c r="L2232" s="8" t="s">
        <v>11551</v>
      </c>
      <c r="M2232" s="8" t="s">
        <v>27</v>
      </c>
      <c r="N2232" s="2" t="s">
        <v>11552</v>
      </c>
      <c r="O2232" s="8" t="s">
        <v>1013</v>
      </c>
      <c r="P2232" s="8" t="s">
        <v>401</v>
      </c>
      <c r="Q2232" s="12" t="s">
        <v>11553</v>
      </c>
      <c r="R2232" s="8" t="s">
        <v>100</v>
      </c>
      <c r="S2232" s="7" t="s">
        <v>28</v>
      </c>
      <c r="T2232" s="6"/>
      <c r="U2232" s="8"/>
    </row>
    <row r="2233" spans="1:39" ht="13" customHeight="1">
      <c r="A2233" s="8" t="s">
        <v>11554</v>
      </c>
      <c r="B2233" s="16">
        <v>70</v>
      </c>
      <c r="C2233" s="8" t="s">
        <v>20</v>
      </c>
      <c r="D2233" s="8" t="s">
        <v>30</v>
      </c>
      <c r="F2233" s="17">
        <v>41690</v>
      </c>
      <c r="G2233" s="8" t="s">
        <v>11555</v>
      </c>
      <c r="H2233" s="8" t="s">
        <v>11396</v>
      </c>
      <c r="I2233" s="8" t="s">
        <v>857</v>
      </c>
      <c r="J2233" s="16" t="s">
        <v>11397</v>
      </c>
      <c r="K2233" s="2" t="s">
        <v>11398</v>
      </c>
      <c r="L2233" s="8" t="s">
        <v>11556</v>
      </c>
      <c r="M2233" s="8" t="s">
        <v>27</v>
      </c>
      <c r="N2233" s="2" t="s">
        <v>11557</v>
      </c>
      <c r="O2233" s="8" t="s">
        <v>1013</v>
      </c>
      <c r="P2233" s="8" t="s">
        <v>401</v>
      </c>
      <c r="Q2233" s="12" t="s">
        <v>11558</v>
      </c>
      <c r="R2233" s="8" t="s">
        <v>555</v>
      </c>
      <c r="S2233" s="7" t="s">
        <v>28</v>
      </c>
      <c r="T2233" s="6"/>
      <c r="U2233" s="8"/>
    </row>
    <row r="2234" spans="1:39" ht="13" customHeight="1">
      <c r="A2234" s="8" t="s">
        <v>11559</v>
      </c>
      <c r="B2234" s="16">
        <v>60</v>
      </c>
      <c r="C2234" s="8" t="s">
        <v>20</v>
      </c>
      <c r="D2234" s="8" t="s">
        <v>85</v>
      </c>
      <c r="F2234" s="17">
        <v>41688</v>
      </c>
      <c r="G2234" s="8" t="s">
        <v>11560</v>
      </c>
      <c r="H2234" s="8" t="s">
        <v>11561</v>
      </c>
      <c r="I2234" s="8" t="s">
        <v>45</v>
      </c>
      <c r="J2234" s="16" t="s">
        <v>11562</v>
      </c>
      <c r="K2234" s="2" t="s">
        <v>604</v>
      </c>
      <c r="L2234" s="8" t="s">
        <v>249</v>
      </c>
      <c r="M2234" s="8" t="s">
        <v>27</v>
      </c>
      <c r="N2234" s="2" t="s">
        <v>11563</v>
      </c>
      <c r="O2234" s="8" t="s">
        <v>1013</v>
      </c>
      <c r="P2234" s="8" t="s">
        <v>401</v>
      </c>
      <c r="Q2234" s="12" t="s">
        <v>11564</v>
      </c>
      <c r="R2234" s="8" t="s">
        <v>555</v>
      </c>
      <c r="S2234" s="7" t="s">
        <v>28</v>
      </c>
      <c r="T2234" s="6"/>
      <c r="U2234" s="8"/>
      <c r="Y2234" s="8"/>
      <c r="Z2234" s="8"/>
      <c r="AA2234" s="8"/>
      <c r="AB2234" s="8"/>
      <c r="AC2234" s="8"/>
      <c r="AD2234" s="8"/>
      <c r="AE2234" s="8"/>
      <c r="AF2234" s="8"/>
      <c r="AG2234" s="8"/>
      <c r="AH2234" s="8"/>
    </row>
    <row r="2235" spans="1:39" ht="13" customHeight="1">
      <c r="A2235" s="8" t="s">
        <v>11565</v>
      </c>
      <c r="B2235" s="16">
        <v>42</v>
      </c>
      <c r="C2235" s="8" t="s">
        <v>20</v>
      </c>
      <c r="D2235" s="8" t="s">
        <v>48</v>
      </c>
      <c r="F2235" s="17">
        <v>41688</v>
      </c>
      <c r="G2235" s="8" t="s">
        <v>11566</v>
      </c>
      <c r="H2235" s="8" t="s">
        <v>156</v>
      </c>
      <c r="I2235" s="8" t="s">
        <v>45</v>
      </c>
      <c r="J2235" s="16" t="s">
        <v>11567</v>
      </c>
      <c r="K2235" s="2" t="s">
        <v>156</v>
      </c>
      <c r="L2235" s="8" t="s">
        <v>4762</v>
      </c>
      <c r="M2235" s="8" t="s">
        <v>27</v>
      </c>
      <c r="N2235" s="2" t="s">
        <v>21462</v>
      </c>
      <c r="O2235" s="8" t="s">
        <v>1013</v>
      </c>
      <c r="P2235" s="8" t="s">
        <v>401</v>
      </c>
      <c r="Q2235" s="12" t="s">
        <v>11568</v>
      </c>
      <c r="R2235" s="8" t="s">
        <v>29</v>
      </c>
      <c r="S2235" s="7" t="s">
        <v>18</v>
      </c>
      <c r="T2235" s="6"/>
      <c r="U2235" s="8"/>
    </row>
    <row r="2236" spans="1:39" ht="13" customHeight="1">
      <c r="A2236" s="8" t="s">
        <v>11569</v>
      </c>
      <c r="B2236" s="16">
        <v>37</v>
      </c>
      <c r="C2236" s="8" t="s">
        <v>20</v>
      </c>
      <c r="D2236" s="8" t="s">
        <v>37</v>
      </c>
      <c r="E2236" s="8" t="s">
        <v>11570</v>
      </c>
      <c r="F2236" s="17">
        <v>41688</v>
      </c>
      <c r="G2236" s="8" t="s">
        <v>11571</v>
      </c>
      <c r="H2236" s="8" t="s">
        <v>11572</v>
      </c>
      <c r="I2236" s="8" t="s">
        <v>73</v>
      </c>
      <c r="J2236" s="16" t="s">
        <v>11573</v>
      </c>
      <c r="K2236" s="2" t="s">
        <v>596</v>
      </c>
      <c r="L2236" s="8" t="s">
        <v>11574</v>
      </c>
      <c r="M2236" s="8" t="s">
        <v>27</v>
      </c>
      <c r="N2236" s="2" t="s">
        <v>11575</v>
      </c>
      <c r="O2236" s="8" t="s">
        <v>550</v>
      </c>
      <c r="P2236" s="8" t="s">
        <v>401</v>
      </c>
      <c r="Q2236" s="12" t="s">
        <v>11576</v>
      </c>
      <c r="R2236" s="8" t="s">
        <v>29</v>
      </c>
      <c r="S2236" s="7" t="s">
        <v>28</v>
      </c>
      <c r="T2236" s="6"/>
      <c r="U2236" s="8"/>
    </row>
    <row r="2237" spans="1:39" ht="13" customHeight="1">
      <c r="A2237" s="8" t="s">
        <v>11577</v>
      </c>
      <c r="B2237" s="16">
        <v>17</v>
      </c>
      <c r="C2237" s="8" t="s">
        <v>20</v>
      </c>
      <c r="D2237" s="8" t="s">
        <v>85</v>
      </c>
      <c r="E2237" s="8" t="s">
        <v>11578</v>
      </c>
      <c r="F2237" s="17">
        <v>41687</v>
      </c>
      <c r="G2237" s="8" t="s">
        <v>11579</v>
      </c>
      <c r="H2237" s="8" t="s">
        <v>726</v>
      </c>
      <c r="I2237" s="8" t="s">
        <v>73</v>
      </c>
      <c r="J2237" s="16" t="s">
        <v>11580</v>
      </c>
      <c r="K2237" s="2" t="s">
        <v>558</v>
      </c>
      <c r="L2237" s="8" t="s">
        <v>727</v>
      </c>
      <c r="M2237" s="8" t="s">
        <v>27</v>
      </c>
      <c r="N2237" s="2" t="s">
        <v>11581</v>
      </c>
      <c r="O2237" s="8" t="s">
        <v>1013</v>
      </c>
      <c r="P2237" s="8" t="s">
        <v>401</v>
      </c>
      <c r="Q2237" s="12" t="s">
        <v>11582</v>
      </c>
      <c r="R2237" s="8" t="s">
        <v>100</v>
      </c>
      <c r="S2237" s="7" t="s">
        <v>28</v>
      </c>
      <c r="T2237" s="6"/>
      <c r="U2237" s="8"/>
    </row>
    <row r="2238" spans="1:39" ht="13" customHeight="1">
      <c r="A2238" s="8" t="s">
        <v>11584</v>
      </c>
      <c r="B2238" s="16">
        <v>44</v>
      </c>
      <c r="C2238" s="8" t="s">
        <v>20</v>
      </c>
      <c r="D2238" s="8" t="s">
        <v>37</v>
      </c>
      <c r="F2238" s="17">
        <v>41687</v>
      </c>
      <c r="G2238" s="8" t="s">
        <v>11585</v>
      </c>
      <c r="H2238" s="8" t="s">
        <v>7628</v>
      </c>
      <c r="I2238" s="8" t="s">
        <v>217</v>
      </c>
      <c r="J2238" s="16" t="s">
        <v>11586</v>
      </c>
      <c r="K2238" s="2" t="s">
        <v>1259</v>
      </c>
      <c r="L2238" s="8" t="s">
        <v>11587</v>
      </c>
      <c r="M2238" s="8" t="s">
        <v>27</v>
      </c>
      <c r="N2238" s="2" t="s">
        <v>11588</v>
      </c>
      <c r="O2238" s="8" t="s">
        <v>1013</v>
      </c>
      <c r="P2238" s="8" t="s">
        <v>401</v>
      </c>
      <c r="Q2238" s="12" t="s">
        <v>11589</v>
      </c>
      <c r="R2238" s="8" t="s">
        <v>100</v>
      </c>
      <c r="S2238" s="7" t="s">
        <v>28</v>
      </c>
      <c r="T2238" s="6"/>
      <c r="U2238" s="8"/>
    </row>
    <row r="2239" spans="1:39" ht="13" customHeight="1">
      <c r="A2239" s="8" t="s">
        <v>11590</v>
      </c>
      <c r="B2239" s="16">
        <v>47</v>
      </c>
      <c r="C2239" s="8" t="s">
        <v>114</v>
      </c>
      <c r="D2239" s="8" t="s">
        <v>85</v>
      </c>
      <c r="E2239" s="8" t="s">
        <v>11591</v>
      </c>
      <c r="F2239" s="17">
        <v>41686</v>
      </c>
      <c r="G2239" s="8" t="s">
        <v>11592</v>
      </c>
      <c r="H2239" s="8" t="s">
        <v>11593</v>
      </c>
      <c r="I2239" s="8" t="s">
        <v>73</v>
      </c>
      <c r="J2239" s="16" t="s">
        <v>11594</v>
      </c>
      <c r="K2239" s="2" t="s">
        <v>11593</v>
      </c>
      <c r="L2239" s="8" t="s">
        <v>11595</v>
      </c>
      <c r="M2239" s="8" t="s">
        <v>27</v>
      </c>
      <c r="N2239" s="2" t="s">
        <v>11596</v>
      </c>
      <c r="O2239" s="8" t="s">
        <v>1790</v>
      </c>
      <c r="P2239" s="8" t="s">
        <v>1162</v>
      </c>
      <c r="Q2239" s="12" t="s">
        <v>11597</v>
      </c>
      <c r="R2239" s="8" t="s">
        <v>100</v>
      </c>
      <c r="S2239" s="7" t="s">
        <v>18</v>
      </c>
      <c r="T2239" s="6"/>
      <c r="U2239" s="8"/>
    </row>
    <row r="2240" spans="1:39" ht="13" customHeight="1">
      <c r="A2240" s="8" t="s">
        <v>11598</v>
      </c>
      <c r="B2240" s="16">
        <v>31</v>
      </c>
      <c r="C2240" s="8" t="s">
        <v>20</v>
      </c>
      <c r="D2240" s="8" t="s">
        <v>85</v>
      </c>
      <c r="E2240" s="8" t="s">
        <v>11599</v>
      </c>
      <c r="F2240" s="17">
        <v>41686</v>
      </c>
      <c r="G2240" s="8" t="s">
        <v>11600</v>
      </c>
      <c r="H2240" s="8" t="s">
        <v>1042</v>
      </c>
      <c r="I2240" s="8" t="s">
        <v>25</v>
      </c>
      <c r="J2240" s="16" t="s">
        <v>11601</v>
      </c>
      <c r="K2240" s="2" t="s">
        <v>2589</v>
      </c>
      <c r="L2240" s="8" t="s">
        <v>1044</v>
      </c>
      <c r="M2240" s="8" t="s">
        <v>27</v>
      </c>
      <c r="N2240" s="2" t="s">
        <v>11602</v>
      </c>
      <c r="O2240" s="8" t="s">
        <v>1013</v>
      </c>
      <c r="P2240" s="8" t="s">
        <v>401</v>
      </c>
      <c r="Q2240" s="12" t="s">
        <v>11603</v>
      </c>
      <c r="R2240" s="8" t="s">
        <v>100</v>
      </c>
      <c r="S2240" s="7" t="s">
        <v>28</v>
      </c>
      <c r="T2240" s="6"/>
      <c r="U2240" s="8"/>
    </row>
    <row r="2241" spans="1:34" ht="13" customHeight="1">
      <c r="A2241" s="8" t="s">
        <v>3267</v>
      </c>
      <c r="B2241" s="16">
        <v>47</v>
      </c>
      <c r="C2241" s="8" t="s">
        <v>20</v>
      </c>
      <c r="D2241" s="8" t="s">
        <v>30</v>
      </c>
      <c r="F2241" s="17">
        <v>41686</v>
      </c>
      <c r="G2241" s="8" t="s">
        <v>11611</v>
      </c>
      <c r="H2241" s="8" t="s">
        <v>1063</v>
      </c>
      <c r="I2241" s="8" t="s">
        <v>62</v>
      </c>
      <c r="J2241" s="16" t="s">
        <v>11612</v>
      </c>
      <c r="K2241" s="2" t="s">
        <v>1064</v>
      </c>
      <c r="L2241" s="8" t="s">
        <v>4453</v>
      </c>
      <c r="M2241" s="8" t="s">
        <v>27</v>
      </c>
      <c r="N2241" s="2" t="s">
        <v>11613</v>
      </c>
      <c r="O2241" s="8" t="s">
        <v>1013</v>
      </c>
      <c r="P2241" s="8" t="s">
        <v>401</v>
      </c>
      <c r="Q2241" s="12" t="s">
        <v>11614</v>
      </c>
      <c r="R2241" s="8" t="s">
        <v>555</v>
      </c>
      <c r="S2241" s="7" t="s">
        <v>28</v>
      </c>
      <c r="T2241" s="6"/>
      <c r="U2241" s="8"/>
    </row>
    <row r="2242" spans="1:34" ht="13" customHeight="1">
      <c r="A2242" s="8" t="s">
        <v>11615</v>
      </c>
      <c r="B2242" s="16">
        <v>28</v>
      </c>
      <c r="C2242" s="8" t="s">
        <v>20</v>
      </c>
      <c r="D2242" s="8" t="s">
        <v>30</v>
      </c>
      <c r="F2242" s="17">
        <v>41686</v>
      </c>
      <c r="G2242" s="8" t="s">
        <v>11605</v>
      </c>
      <c r="H2242" s="8" t="s">
        <v>11606</v>
      </c>
      <c r="I2242" s="8" t="s">
        <v>366</v>
      </c>
      <c r="J2242" s="16" t="s">
        <v>11607</v>
      </c>
      <c r="K2242" s="2" t="s">
        <v>1064</v>
      </c>
      <c r="L2242" s="8" t="s">
        <v>11608</v>
      </c>
      <c r="M2242" s="8" t="s">
        <v>379</v>
      </c>
      <c r="N2242" s="2" t="s">
        <v>11609</v>
      </c>
      <c r="O2242" s="8" t="s">
        <v>1013</v>
      </c>
      <c r="P2242" s="8" t="s">
        <v>401</v>
      </c>
      <c r="Q2242" s="12" t="s">
        <v>11610</v>
      </c>
      <c r="R2242" s="8" t="s">
        <v>100</v>
      </c>
      <c r="S2242" s="7" t="s">
        <v>18</v>
      </c>
      <c r="T2242" s="6"/>
      <c r="U2242" s="8"/>
    </row>
    <row r="2243" spans="1:34" ht="13" customHeight="1">
      <c r="A2243" s="8" t="s">
        <v>11604</v>
      </c>
      <c r="B2243" s="16">
        <v>20</v>
      </c>
      <c r="C2243" s="8" t="s">
        <v>20</v>
      </c>
      <c r="D2243" s="8" t="s">
        <v>30</v>
      </c>
      <c r="F2243" s="17">
        <v>41686</v>
      </c>
      <c r="G2243" s="8" t="s">
        <v>11605</v>
      </c>
      <c r="H2243" s="8" t="s">
        <v>11606</v>
      </c>
      <c r="I2243" s="8" t="s">
        <v>366</v>
      </c>
      <c r="J2243" s="16" t="s">
        <v>11607</v>
      </c>
      <c r="K2243" s="2" t="s">
        <v>1064</v>
      </c>
      <c r="L2243" s="8" t="s">
        <v>11608</v>
      </c>
      <c r="M2243" s="8" t="s">
        <v>379</v>
      </c>
      <c r="N2243" s="2" t="s">
        <v>11609</v>
      </c>
      <c r="O2243" s="8" t="s">
        <v>1013</v>
      </c>
      <c r="P2243" s="8" t="s">
        <v>401</v>
      </c>
      <c r="Q2243" s="12" t="s">
        <v>11610</v>
      </c>
      <c r="R2243" s="8" t="s">
        <v>100</v>
      </c>
      <c r="S2243" s="7" t="s">
        <v>379</v>
      </c>
      <c r="T2243" s="6"/>
      <c r="U2243" s="8"/>
    </row>
    <row r="2244" spans="1:34" ht="13" customHeight="1">
      <c r="A2244" s="8" t="s">
        <v>11616</v>
      </c>
      <c r="B2244" s="16">
        <v>34</v>
      </c>
      <c r="C2244" s="8" t="s">
        <v>20</v>
      </c>
      <c r="D2244" s="8" t="s">
        <v>37</v>
      </c>
      <c r="E2244" s="8" t="s">
        <v>11617</v>
      </c>
      <c r="F2244" s="17">
        <v>41686</v>
      </c>
      <c r="G2244" s="8" t="s">
        <v>11618</v>
      </c>
      <c r="H2244" s="8" t="s">
        <v>11619</v>
      </c>
      <c r="I2244" s="8" t="s">
        <v>303</v>
      </c>
      <c r="J2244" s="16" t="s">
        <v>11620</v>
      </c>
      <c r="K2244" s="2" t="s">
        <v>2155</v>
      </c>
      <c r="L2244" s="8" t="s">
        <v>11621</v>
      </c>
      <c r="M2244" s="8" t="s">
        <v>27</v>
      </c>
      <c r="N2244" s="2" t="s">
        <v>11622</v>
      </c>
      <c r="O2244" s="8" t="s">
        <v>1013</v>
      </c>
      <c r="P2244" s="8" t="s">
        <v>401</v>
      </c>
      <c r="Q2244" s="12" t="s">
        <v>11623</v>
      </c>
      <c r="R2244" s="8" t="s">
        <v>100</v>
      </c>
      <c r="S2244" s="7" t="s">
        <v>28</v>
      </c>
      <c r="T2244" s="6"/>
      <c r="U2244" s="8"/>
    </row>
    <row r="2245" spans="1:34" ht="13" customHeight="1">
      <c r="A2245" s="8" t="s">
        <v>11624</v>
      </c>
      <c r="B2245" s="16">
        <v>22</v>
      </c>
      <c r="C2245" s="8" t="s">
        <v>20</v>
      </c>
      <c r="D2245" s="8" t="s">
        <v>85</v>
      </c>
      <c r="F2245" s="17">
        <v>41685</v>
      </c>
      <c r="G2245" s="8" t="s">
        <v>11625</v>
      </c>
      <c r="H2245" s="8" t="s">
        <v>1596</v>
      </c>
      <c r="I2245" s="8" t="s">
        <v>52</v>
      </c>
      <c r="J2245" s="16" t="s">
        <v>11626</v>
      </c>
      <c r="K2245" s="2" t="s">
        <v>4727</v>
      </c>
      <c r="L2245" s="8" t="s">
        <v>2782</v>
      </c>
      <c r="M2245" s="8" t="s">
        <v>27</v>
      </c>
      <c r="N2245" s="2" t="s">
        <v>11627</v>
      </c>
      <c r="O2245" s="8" t="s">
        <v>550</v>
      </c>
      <c r="P2245" s="8" t="s">
        <v>401</v>
      </c>
      <c r="Q2245" s="12" t="s">
        <v>11628</v>
      </c>
      <c r="R2245" s="8" t="s">
        <v>100</v>
      </c>
      <c r="S2245" s="7" t="s">
        <v>28</v>
      </c>
      <c r="T2245" s="6"/>
      <c r="U2245" s="8"/>
    </row>
    <row r="2246" spans="1:34" ht="13" customHeight="1">
      <c r="A2246" s="8" t="s">
        <v>11629</v>
      </c>
      <c r="B2246" s="16">
        <v>44</v>
      </c>
      <c r="C2246" s="8" t="s">
        <v>20</v>
      </c>
      <c r="D2246" s="8" t="s">
        <v>48</v>
      </c>
      <c r="E2246" s="8" t="s">
        <v>11630</v>
      </c>
      <c r="F2246" s="17">
        <v>41685</v>
      </c>
      <c r="G2246" s="8" t="s">
        <v>11631</v>
      </c>
      <c r="H2246" s="8" t="s">
        <v>2651</v>
      </c>
      <c r="I2246" s="8" t="s">
        <v>395</v>
      </c>
      <c r="J2246" s="16" t="s">
        <v>11632</v>
      </c>
      <c r="K2246" s="2" t="s">
        <v>987</v>
      </c>
      <c r="L2246" s="8" t="s">
        <v>11633</v>
      </c>
      <c r="M2246" s="8" t="s">
        <v>5665</v>
      </c>
      <c r="N2246" s="2" t="s">
        <v>11634</v>
      </c>
      <c r="O2246" s="8" t="s">
        <v>550</v>
      </c>
      <c r="P2246" s="8" t="s">
        <v>401</v>
      </c>
      <c r="Q2246" s="12" t="s">
        <v>11635</v>
      </c>
      <c r="R2246" s="8" t="s">
        <v>100</v>
      </c>
      <c r="S2246" s="7" t="s">
        <v>18</v>
      </c>
      <c r="T2246" s="6"/>
      <c r="U2246" s="8"/>
    </row>
    <row r="2247" spans="1:34" ht="13" customHeight="1">
      <c r="A2247" s="8" t="s">
        <v>11644</v>
      </c>
      <c r="B2247" s="16">
        <v>18</v>
      </c>
      <c r="C2247" s="8" t="s">
        <v>20</v>
      </c>
      <c r="D2247" s="8" t="s">
        <v>37</v>
      </c>
      <c r="F2247" s="17">
        <v>41685</v>
      </c>
      <c r="G2247" s="8" t="s">
        <v>11645</v>
      </c>
      <c r="H2247" s="8" t="s">
        <v>548</v>
      </c>
      <c r="I2247" s="8" t="s">
        <v>69</v>
      </c>
      <c r="J2247" s="16" t="s">
        <v>11646</v>
      </c>
      <c r="K2247" s="2" t="s">
        <v>5552</v>
      </c>
      <c r="L2247" s="8" t="s">
        <v>2915</v>
      </c>
      <c r="M2247" s="8" t="s">
        <v>27</v>
      </c>
      <c r="N2247" s="2" t="s">
        <v>11647</v>
      </c>
      <c r="O2247" s="8" t="s">
        <v>1013</v>
      </c>
      <c r="P2247" s="8" t="s">
        <v>401</v>
      </c>
      <c r="Q2247" s="12" t="s">
        <v>11648</v>
      </c>
      <c r="R2247" s="8" t="s">
        <v>555</v>
      </c>
      <c r="S2247" s="7" t="s">
        <v>28</v>
      </c>
      <c r="T2247" s="6"/>
      <c r="U2247" s="8"/>
    </row>
    <row r="2248" spans="1:34" ht="13" customHeight="1">
      <c r="A2248" s="8" t="s">
        <v>11636</v>
      </c>
      <c r="B2248" s="16">
        <v>45</v>
      </c>
      <c r="C2248" s="8" t="s">
        <v>20</v>
      </c>
      <c r="D2248" s="8" t="s">
        <v>37</v>
      </c>
      <c r="E2248" s="8" t="s">
        <v>11637</v>
      </c>
      <c r="F2248" s="17">
        <v>41685</v>
      </c>
      <c r="G2248" s="8" t="s">
        <v>11638</v>
      </c>
      <c r="H2248" s="8" t="s">
        <v>5408</v>
      </c>
      <c r="I2248" s="8" t="s">
        <v>423</v>
      </c>
      <c r="J2248" s="16" t="s">
        <v>11639</v>
      </c>
      <c r="K2248" s="2" t="s">
        <v>11640</v>
      </c>
      <c r="L2248" s="8" t="s">
        <v>11641</v>
      </c>
      <c r="M2248" s="8" t="s">
        <v>27</v>
      </c>
      <c r="N2248" s="2" t="s">
        <v>11642</v>
      </c>
      <c r="O2248" s="8" t="s">
        <v>550</v>
      </c>
      <c r="P2248" s="8" t="s">
        <v>401</v>
      </c>
      <c r="Q2248" s="12" t="s">
        <v>11643</v>
      </c>
      <c r="R2248" s="8" t="s">
        <v>29</v>
      </c>
      <c r="S2248" s="7" t="s">
        <v>28</v>
      </c>
      <c r="T2248" s="6"/>
      <c r="U2248" s="8"/>
      <c r="Y2248" s="8"/>
      <c r="Z2248" s="8"/>
      <c r="AA2248" s="8"/>
      <c r="AB2248" s="8"/>
      <c r="AC2248" s="8"/>
      <c r="AD2248" s="8"/>
      <c r="AE2248" s="8"/>
      <c r="AF2248" s="8"/>
      <c r="AG2248" s="8"/>
      <c r="AH2248" s="8"/>
    </row>
    <row r="2249" spans="1:34" ht="13" customHeight="1">
      <c r="A2249" s="8" t="s">
        <v>11649</v>
      </c>
      <c r="B2249" s="16">
        <v>20</v>
      </c>
      <c r="C2249" s="8" t="s">
        <v>20</v>
      </c>
      <c r="D2249" s="8" t="s">
        <v>85</v>
      </c>
      <c r="E2249" s="8" t="s">
        <v>11650</v>
      </c>
      <c r="F2249" s="17">
        <v>41684</v>
      </c>
      <c r="G2249" s="8" t="s">
        <v>11651</v>
      </c>
      <c r="H2249" s="8" t="s">
        <v>657</v>
      </c>
      <c r="I2249" s="8" t="s">
        <v>269</v>
      </c>
      <c r="J2249" s="16" t="s">
        <v>11652</v>
      </c>
      <c r="K2249" s="2" t="s">
        <v>570</v>
      </c>
      <c r="L2249" s="8" t="s">
        <v>11653</v>
      </c>
      <c r="M2249" s="8" t="s">
        <v>27</v>
      </c>
      <c r="N2249" s="2" t="s">
        <v>11654</v>
      </c>
      <c r="O2249" s="8" t="s">
        <v>29</v>
      </c>
      <c r="P2249" s="8" t="s">
        <v>401</v>
      </c>
      <c r="Q2249" s="12" t="s">
        <v>21473</v>
      </c>
      <c r="R2249" s="8" t="s">
        <v>555</v>
      </c>
      <c r="S2249" s="7" t="s">
        <v>18</v>
      </c>
      <c r="T2249" s="6"/>
      <c r="U2249" s="8"/>
    </row>
    <row r="2250" spans="1:34" ht="13" customHeight="1">
      <c r="A2250" s="8" t="s">
        <v>11655</v>
      </c>
      <c r="B2250" s="16">
        <v>17</v>
      </c>
      <c r="C2250" s="8" t="s">
        <v>20</v>
      </c>
      <c r="D2250" s="8" t="s">
        <v>37</v>
      </c>
      <c r="E2250" s="8" t="s">
        <v>11656</v>
      </c>
      <c r="F2250" s="17">
        <v>41684</v>
      </c>
      <c r="G2250" s="8" t="s">
        <v>11657</v>
      </c>
      <c r="H2250" s="8" t="s">
        <v>11658</v>
      </c>
      <c r="I2250" s="8" t="s">
        <v>173</v>
      </c>
      <c r="J2250" s="16">
        <v>30120</v>
      </c>
      <c r="K2250" s="2" t="s">
        <v>1121</v>
      </c>
      <c r="L2250" s="8" t="s">
        <v>11659</v>
      </c>
      <c r="M2250" s="8" t="s">
        <v>27</v>
      </c>
      <c r="N2250" s="2" t="s">
        <v>11660</v>
      </c>
      <c r="O2250" s="8" t="s">
        <v>1790</v>
      </c>
      <c r="P2250" s="8" t="s">
        <v>1162</v>
      </c>
      <c r="Q2250" s="12" t="s">
        <v>11661</v>
      </c>
      <c r="R2250" s="8" t="s">
        <v>100</v>
      </c>
      <c r="S2250" s="7" t="s">
        <v>18</v>
      </c>
      <c r="T2250" s="6"/>
      <c r="U2250" s="8"/>
    </row>
    <row r="2251" spans="1:34" ht="13" customHeight="1">
      <c r="A2251" s="8" t="s">
        <v>11662</v>
      </c>
      <c r="B2251" s="16">
        <v>21</v>
      </c>
      <c r="C2251" s="8" t="s">
        <v>20</v>
      </c>
      <c r="D2251" s="8" t="s">
        <v>48</v>
      </c>
      <c r="F2251" s="17">
        <v>41683</v>
      </c>
      <c r="G2251" s="8" t="s">
        <v>11663</v>
      </c>
      <c r="H2251" s="8" t="s">
        <v>634</v>
      </c>
      <c r="I2251" s="8" t="s">
        <v>123</v>
      </c>
      <c r="J2251" s="16" t="s">
        <v>2816</v>
      </c>
      <c r="K2251" s="2" t="s">
        <v>635</v>
      </c>
      <c r="L2251" s="8" t="s">
        <v>636</v>
      </c>
      <c r="M2251" s="8" t="s">
        <v>27</v>
      </c>
      <c r="N2251" s="2" t="s">
        <v>11664</v>
      </c>
      <c r="O2251" s="8" t="s">
        <v>1013</v>
      </c>
      <c r="P2251" s="8" t="s">
        <v>401</v>
      </c>
      <c r="Q2251" s="12" t="str">
        <f>HYPERLINK("http://www.abc15.com/dpp/news/region_phoenix_metro/central_phoenix/phoenix-police-investigating-officer-involved-shooting-near-19th-avenue-and-culver-street","http://www.abc15.com/dpp/news/region_phoenix_metro/central_phoenix/phoenix-police-investigating-officer-involved-shooting-near-19th-avenue-and-culver-street")</f>
        <v>http://www.abc15.com/dpp/news/region_phoenix_metro/central_phoenix/phoenix-police-investigating-officer-involved-shooting-near-19th-avenue-and-culver-street</v>
      </c>
      <c r="R2251" s="8" t="s">
        <v>100</v>
      </c>
      <c r="S2251" s="7" t="s">
        <v>28</v>
      </c>
      <c r="T2251" s="6"/>
      <c r="U2251" s="8"/>
      <c r="V2251" s="8"/>
      <c r="W2251" s="8"/>
      <c r="X2251" s="8"/>
    </row>
    <row r="2252" spans="1:34" ht="13" customHeight="1">
      <c r="A2252" s="8" t="s">
        <v>11665</v>
      </c>
      <c r="B2252" s="16">
        <v>35</v>
      </c>
      <c r="C2252" s="8" t="s">
        <v>20</v>
      </c>
      <c r="D2252" s="8" t="s">
        <v>48</v>
      </c>
      <c r="F2252" s="17">
        <v>41683</v>
      </c>
      <c r="G2252" s="8" t="s">
        <v>11666</v>
      </c>
      <c r="H2252" s="8" t="s">
        <v>5857</v>
      </c>
      <c r="I2252" s="8" t="s">
        <v>45</v>
      </c>
      <c r="J2252" s="16" t="s">
        <v>11667</v>
      </c>
      <c r="K2252" s="2" t="s">
        <v>98</v>
      </c>
      <c r="L2252" s="8" t="s">
        <v>414</v>
      </c>
      <c r="M2252" s="8" t="s">
        <v>27</v>
      </c>
      <c r="N2252" s="2" t="s">
        <v>11668</v>
      </c>
      <c r="O2252" s="8" t="s">
        <v>1013</v>
      </c>
      <c r="P2252" s="8" t="s">
        <v>401</v>
      </c>
      <c r="Q2252" s="12" t="s">
        <v>11669</v>
      </c>
      <c r="R2252" s="8" t="s">
        <v>100</v>
      </c>
      <c r="S2252" s="7" t="s">
        <v>28</v>
      </c>
      <c r="T2252" s="6"/>
      <c r="U2252" s="8"/>
    </row>
    <row r="2253" spans="1:34" ht="13" customHeight="1">
      <c r="A2253" s="8" t="s">
        <v>11670</v>
      </c>
      <c r="B2253" s="16">
        <v>48</v>
      </c>
      <c r="C2253" s="8" t="s">
        <v>20</v>
      </c>
      <c r="D2253" s="8" t="s">
        <v>37</v>
      </c>
      <c r="E2253" s="8" t="s">
        <v>11671</v>
      </c>
      <c r="F2253" s="17">
        <v>41683</v>
      </c>
      <c r="G2253" s="8" t="s">
        <v>11672</v>
      </c>
      <c r="H2253" s="8" t="s">
        <v>8925</v>
      </c>
      <c r="I2253" s="8" t="s">
        <v>303</v>
      </c>
      <c r="J2253" s="16" t="s">
        <v>8926</v>
      </c>
      <c r="K2253" s="2" t="s">
        <v>1547</v>
      </c>
      <c r="L2253" s="8" t="s">
        <v>8927</v>
      </c>
      <c r="M2253" s="8" t="s">
        <v>27</v>
      </c>
      <c r="N2253" s="2" t="s">
        <v>11673</v>
      </c>
      <c r="O2253" s="8" t="s">
        <v>550</v>
      </c>
      <c r="P2253" s="8" t="s">
        <v>401</v>
      </c>
      <c r="Q2253" s="12" t="str">
        <f>HYPERLINK("http://www.chronline.com/article_b54aecd0-94b9-11e3-8b34-001a4bcf887a.html","http://www.chronline.com/article_b54aecd0-94b9-11e3-8b34-001a4bcf887a.html")</f>
        <v>http://www.chronline.com/article_b54aecd0-94b9-11e3-8b34-001a4bcf887a.html</v>
      </c>
      <c r="R2253" s="8" t="s">
        <v>100</v>
      </c>
      <c r="S2253" s="7" t="s">
        <v>28</v>
      </c>
      <c r="T2253" s="6"/>
      <c r="U2253" s="8"/>
    </row>
    <row r="2254" spans="1:34" ht="13" customHeight="1">
      <c r="A2254" s="8" t="s">
        <v>11674</v>
      </c>
      <c r="B2254" s="16">
        <v>27</v>
      </c>
      <c r="C2254" s="8" t="s">
        <v>20</v>
      </c>
      <c r="D2254" s="8" t="s">
        <v>85</v>
      </c>
      <c r="E2254" s="8" t="s">
        <v>11675</v>
      </c>
      <c r="F2254" s="17">
        <v>41682</v>
      </c>
      <c r="G2254" s="8" t="s">
        <v>11676</v>
      </c>
      <c r="H2254" s="8" t="s">
        <v>712</v>
      </c>
      <c r="I2254" s="8" t="s">
        <v>431</v>
      </c>
      <c r="J2254" s="16" t="s">
        <v>11677</v>
      </c>
      <c r="K2254" s="2" t="s">
        <v>712</v>
      </c>
      <c r="L2254" s="8" t="s">
        <v>4545</v>
      </c>
      <c r="M2254" s="8" t="s">
        <v>27</v>
      </c>
      <c r="N2254" s="2" t="s">
        <v>11678</v>
      </c>
      <c r="O2254" s="8" t="s">
        <v>1013</v>
      </c>
      <c r="P2254" s="8" t="s">
        <v>401</v>
      </c>
      <c r="Q2254" s="12" t="s">
        <v>11679</v>
      </c>
      <c r="R2254" s="8" t="s">
        <v>100</v>
      </c>
      <c r="S2254" s="7" t="s">
        <v>28</v>
      </c>
      <c r="T2254" s="6"/>
      <c r="U2254" s="8"/>
    </row>
    <row r="2255" spans="1:34" ht="13" customHeight="1">
      <c r="A2255" s="8" t="s">
        <v>11680</v>
      </c>
      <c r="B2255" s="16">
        <v>32</v>
      </c>
      <c r="C2255" s="8" t="s">
        <v>20</v>
      </c>
      <c r="D2255" s="8" t="s">
        <v>37</v>
      </c>
      <c r="E2255" s="8" t="s">
        <v>11681</v>
      </c>
      <c r="F2255" s="17">
        <v>41682</v>
      </c>
      <c r="G2255" s="8" t="s">
        <v>11682</v>
      </c>
      <c r="H2255" s="8" t="s">
        <v>11683</v>
      </c>
      <c r="I2255" s="8" t="s">
        <v>438</v>
      </c>
      <c r="J2255" s="16" t="s">
        <v>11684</v>
      </c>
      <c r="K2255" s="2" t="s">
        <v>6085</v>
      </c>
      <c r="L2255" s="8" t="s">
        <v>11685</v>
      </c>
      <c r="M2255" s="8" t="s">
        <v>27</v>
      </c>
      <c r="N2255" s="2" t="s">
        <v>11686</v>
      </c>
      <c r="O2255" s="8" t="s">
        <v>550</v>
      </c>
      <c r="P2255" s="8" t="s">
        <v>401</v>
      </c>
      <c r="Q2255" s="12" t="str">
        <f>HYPERLINK("http://chippewa.com/dunnconnect/news/local/suspect-shot-during-search-warrant-in-town-of-red-cedar/article_c7a4ae88-2f57-59fd-a566-2ee0bef8573b.html","http://chippewa.com/dunnconnect/news/local/suspect-shot-during-search-warrant-in-town-of-red-cedar/article_c7a4ae88-2f57-59fd-a566-2ee0bef8573b.html")</f>
        <v>http://chippewa.com/dunnconnect/news/local/suspect-shot-during-search-warrant-in-town-of-red-cedar/article_c7a4ae88-2f57-59fd-a566-2ee0bef8573b.html</v>
      </c>
      <c r="R2255" s="8" t="s">
        <v>100</v>
      </c>
      <c r="S2255" s="7" t="s">
        <v>28</v>
      </c>
      <c r="T2255" s="6"/>
      <c r="U2255" s="8"/>
    </row>
    <row r="2256" spans="1:34" ht="13" customHeight="1">
      <c r="A2256" s="8" t="s">
        <v>11687</v>
      </c>
      <c r="B2256" s="16">
        <v>52</v>
      </c>
      <c r="C2256" s="8" t="s">
        <v>114</v>
      </c>
      <c r="D2256" s="8" t="s">
        <v>30</v>
      </c>
      <c r="F2256" s="17">
        <v>41681</v>
      </c>
      <c r="G2256" s="8" t="s">
        <v>11688</v>
      </c>
      <c r="H2256" s="8" t="s">
        <v>2031</v>
      </c>
      <c r="I2256" s="8" t="s">
        <v>319</v>
      </c>
      <c r="J2256" s="16" t="s">
        <v>11689</v>
      </c>
      <c r="K2256" s="2" t="s">
        <v>882</v>
      </c>
      <c r="L2256" s="8" t="s">
        <v>883</v>
      </c>
      <c r="M2256" s="8" t="s">
        <v>27</v>
      </c>
      <c r="N2256" s="2" t="s">
        <v>11690</v>
      </c>
      <c r="O2256" s="8" t="s">
        <v>1013</v>
      </c>
      <c r="P2256" s="8" t="s">
        <v>401</v>
      </c>
      <c r="Q2256" s="12" t="s">
        <v>11691</v>
      </c>
      <c r="R2256" s="8" t="s">
        <v>555</v>
      </c>
      <c r="S2256" s="7" t="s">
        <v>28</v>
      </c>
      <c r="T2256" s="6"/>
      <c r="U2256" s="8"/>
    </row>
    <row r="2257" spans="1:24" ht="13" customHeight="1">
      <c r="A2257" s="8" t="s">
        <v>11692</v>
      </c>
      <c r="B2257" s="16">
        <v>23</v>
      </c>
      <c r="C2257" s="8" t="s">
        <v>20</v>
      </c>
      <c r="D2257" s="8" t="s">
        <v>37</v>
      </c>
      <c r="E2257" s="8" t="s">
        <v>11693</v>
      </c>
      <c r="F2257" s="17">
        <v>41681</v>
      </c>
      <c r="G2257" s="8" t="s">
        <v>11694</v>
      </c>
      <c r="H2257" s="8" t="s">
        <v>11695</v>
      </c>
      <c r="I2257" s="8" t="s">
        <v>303</v>
      </c>
      <c r="J2257" s="16" t="s">
        <v>11696</v>
      </c>
      <c r="K2257" s="2" t="s">
        <v>841</v>
      </c>
      <c r="L2257" s="8" t="s">
        <v>11539</v>
      </c>
      <c r="M2257" s="8" t="s">
        <v>27</v>
      </c>
      <c r="N2257" s="2" t="s">
        <v>11697</v>
      </c>
      <c r="O2257" s="8" t="s">
        <v>1013</v>
      </c>
      <c r="P2257" s="8" t="s">
        <v>401</v>
      </c>
      <c r="Q2257" s="12" t="str">
        <f>HYPERLINK("http://www.spokesman.com/stories/2014/feb/11/possible-officer-involved-shooting-spokane-valley/","http://www.spokesman.com/stories/2014/feb/11/possible-officer-involved-shooting-spokane-valley/")</f>
        <v>http://www.spokesman.com/stories/2014/feb/11/possible-officer-involved-shooting-spokane-valley/</v>
      </c>
      <c r="R2257" s="8" t="s">
        <v>555</v>
      </c>
      <c r="S2257" s="7" t="s">
        <v>28</v>
      </c>
      <c r="T2257" s="6"/>
      <c r="U2257" s="8"/>
    </row>
    <row r="2258" spans="1:24" ht="13" customHeight="1">
      <c r="A2258" s="8" t="s">
        <v>11704</v>
      </c>
      <c r="B2258" s="16">
        <v>68</v>
      </c>
      <c r="C2258" s="8" t="s">
        <v>20</v>
      </c>
      <c r="D2258" s="8" t="s">
        <v>85</v>
      </c>
      <c r="E2258" s="8" t="s">
        <v>11705</v>
      </c>
      <c r="F2258" s="17">
        <v>41680</v>
      </c>
      <c r="G2258" s="8" t="s">
        <v>11706</v>
      </c>
      <c r="H2258" s="8" t="s">
        <v>1785</v>
      </c>
      <c r="I2258" s="8" t="s">
        <v>32</v>
      </c>
      <c r="J2258" s="16" t="s">
        <v>11707</v>
      </c>
      <c r="K2258" s="2" t="s">
        <v>11708</v>
      </c>
      <c r="L2258" s="8" t="s">
        <v>11709</v>
      </c>
      <c r="M2258" s="8" t="s">
        <v>27</v>
      </c>
      <c r="N2258" s="2" t="s">
        <v>11710</v>
      </c>
      <c r="O2258" s="8" t="s">
        <v>1790</v>
      </c>
      <c r="P2258" s="8" t="s">
        <v>1162</v>
      </c>
      <c r="Q2258" s="12" t="str">
        <f>HYPERLINK("http://www.washingtonpost.com/news/morning-mix/wp/2015/04/08/south-carolina-cop-now-faces-felony-charge-for-fatally-shooting-a-black-man-in-his-driveway/","http://www.washingtonpost.com/news/morning-mix/wp/2015/04/08/south-carolina-cop-now-faces-felony-charge-for-fatally-shooting-a-black-man-in-his-driveway/")</f>
        <v>http://www.washingtonpost.com/news/morning-mix/wp/2015/04/08/south-carolina-cop-now-faces-felony-charge-for-fatally-shooting-a-black-man-in-his-driveway/</v>
      </c>
      <c r="R2258" s="8" t="s">
        <v>100</v>
      </c>
      <c r="S2258" s="7" t="s">
        <v>18</v>
      </c>
      <c r="T2258" s="6"/>
      <c r="U2258" s="8"/>
    </row>
    <row r="2259" spans="1:24" ht="13" customHeight="1">
      <c r="A2259" s="8" t="s">
        <v>11711</v>
      </c>
      <c r="B2259" s="16">
        <v>16</v>
      </c>
      <c r="C2259" s="8" t="s">
        <v>20</v>
      </c>
      <c r="D2259" s="8" t="s">
        <v>85</v>
      </c>
      <c r="E2259" s="8" t="str">
        <f>HYPERLINK("http://kollegekidd.com/news/friends-family-remember-slain-robbery-suspect-deonta-mackey/","http://kollegekidd.com/news/friends-family-remember-slain-robbery-suspect-deonta-mackey/")</f>
        <v>http://kollegekidd.com/news/friends-family-remember-slain-robbery-suspect-deonta-mackey/</v>
      </c>
      <c r="F2259" s="17">
        <v>41680</v>
      </c>
      <c r="G2259" s="8" t="s">
        <v>11712</v>
      </c>
      <c r="H2259" s="8" t="s">
        <v>87</v>
      </c>
      <c r="I2259" s="8" t="s">
        <v>44</v>
      </c>
      <c r="J2259" s="16" t="s">
        <v>11713</v>
      </c>
      <c r="K2259" s="2" t="s">
        <v>88</v>
      </c>
      <c r="L2259" s="8" t="s">
        <v>11714</v>
      </c>
      <c r="M2259" s="8" t="s">
        <v>27</v>
      </c>
      <c r="N2259" s="2" t="s">
        <v>11715</v>
      </c>
      <c r="O2259" s="8" t="s">
        <v>1013</v>
      </c>
      <c r="P2259" s="8" t="s">
        <v>401</v>
      </c>
      <c r="Q2259" s="12" t="s">
        <v>11716</v>
      </c>
      <c r="R2259" s="8" t="s">
        <v>100</v>
      </c>
      <c r="S2259" s="7" t="s">
        <v>28</v>
      </c>
      <c r="T2259" s="6"/>
      <c r="U2259" s="8"/>
    </row>
    <row r="2260" spans="1:24" ht="13" customHeight="1">
      <c r="A2260" s="8" t="s">
        <v>11698</v>
      </c>
      <c r="B2260" s="16">
        <v>21</v>
      </c>
      <c r="C2260" s="8" t="s">
        <v>20</v>
      </c>
      <c r="D2260" s="8" t="s">
        <v>85</v>
      </c>
      <c r="E2260" s="8" t="s">
        <v>11699</v>
      </c>
      <c r="F2260" s="17">
        <v>41680</v>
      </c>
      <c r="G2260" s="8" t="s">
        <v>11700</v>
      </c>
      <c r="H2260" s="8" t="s">
        <v>5622</v>
      </c>
      <c r="I2260" s="8" t="s">
        <v>62</v>
      </c>
      <c r="J2260" s="16" t="s">
        <v>11701</v>
      </c>
      <c r="K2260" s="2" t="s">
        <v>5624</v>
      </c>
      <c r="L2260" s="8" t="s">
        <v>5625</v>
      </c>
      <c r="M2260" s="8" t="s">
        <v>27</v>
      </c>
      <c r="N2260" s="2" t="s">
        <v>11702</v>
      </c>
      <c r="O2260" s="8" t="s">
        <v>550</v>
      </c>
      <c r="P2260" s="8" t="s">
        <v>401</v>
      </c>
      <c r="Q2260" s="12" t="s">
        <v>11703</v>
      </c>
      <c r="R2260" s="8" t="s">
        <v>967</v>
      </c>
      <c r="S2260" s="7" t="s">
        <v>18</v>
      </c>
      <c r="T2260" s="6"/>
      <c r="U2260" s="8"/>
      <c r="V2260" s="8"/>
      <c r="W2260" s="8"/>
      <c r="X2260" s="8"/>
    </row>
    <row r="2261" spans="1:24" ht="13" customHeight="1">
      <c r="A2261" s="8" t="s">
        <v>11717</v>
      </c>
      <c r="B2261" s="16">
        <v>20</v>
      </c>
      <c r="C2261" s="8" t="s">
        <v>20</v>
      </c>
      <c r="D2261" s="8" t="s">
        <v>85</v>
      </c>
      <c r="E2261" s="8" t="s">
        <v>11718</v>
      </c>
      <c r="F2261" s="17">
        <v>41680</v>
      </c>
      <c r="G2261" s="8" t="s">
        <v>11719</v>
      </c>
      <c r="H2261" s="8" t="s">
        <v>726</v>
      </c>
      <c r="I2261" s="8" t="s">
        <v>73</v>
      </c>
      <c r="J2261" s="16" t="s">
        <v>11720</v>
      </c>
      <c r="K2261" s="2" t="s">
        <v>558</v>
      </c>
      <c r="L2261" s="8" t="s">
        <v>11721</v>
      </c>
      <c r="M2261" s="8" t="s">
        <v>27</v>
      </c>
      <c r="N2261" s="2" t="s">
        <v>11722</v>
      </c>
      <c r="O2261" s="8" t="s">
        <v>1013</v>
      </c>
      <c r="P2261" s="8" t="s">
        <v>401</v>
      </c>
      <c r="Q2261" s="12" t="s">
        <v>11723</v>
      </c>
      <c r="R2261" s="8" t="s">
        <v>100</v>
      </c>
      <c r="S2261" s="7" t="s">
        <v>35</v>
      </c>
      <c r="T2261" s="6"/>
      <c r="U2261" s="8"/>
    </row>
    <row r="2262" spans="1:24" ht="13" customHeight="1">
      <c r="A2262" s="8" t="s">
        <v>11724</v>
      </c>
      <c r="B2262" s="16">
        <v>23</v>
      </c>
      <c r="C2262" s="8" t="s">
        <v>20</v>
      </c>
      <c r="D2262" s="8" t="s">
        <v>48</v>
      </c>
      <c r="E2262" s="8" t="s">
        <v>11725</v>
      </c>
      <c r="F2262" s="17">
        <v>41680</v>
      </c>
      <c r="G2262" s="8" t="s">
        <v>11726</v>
      </c>
      <c r="H2262" s="8" t="s">
        <v>11727</v>
      </c>
      <c r="I2262" s="8" t="s">
        <v>45</v>
      </c>
      <c r="J2262" s="16" t="s">
        <v>11728</v>
      </c>
      <c r="K2262" s="2" t="s">
        <v>1064</v>
      </c>
      <c r="L2262" s="8" t="s">
        <v>11729</v>
      </c>
      <c r="M2262" s="8" t="s">
        <v>27</v>
      </c>
      <c r="N2262" s="2" t="s">
        <v>11730</v>
      </c>
      <c r="O2262" s="8" t="s">
        <v>1013</v>
      </c>
      <c r="P2262" s="8" t="s">
        <v>401</v>
      </c>
      <c r="Q2262" s="12" t="s">
        <v>11731</v>
      </c>
      <c r="R2262" s="8" t="s">
        <v>29</v>
      </c>
      <c r="S2262" s="7" t="s">
        <v>28</v>
      </c>
      <c r="T2262" s="6"/>
      <c r="U2262" s="8"/>
    </row>
    <row r="2263" spans="1:24" ht="13" customHeight="1">
      <c r="A2263" s="8" t="s">
        <v>3267</v>
      </c>
      <c r="B2263" s="16" t="s">
        <v>29</v>
      </c>
      <c r="C2263" s="8" t="s">
        <v>20</v>
      </c>
      <c r="D2263" s="8" t="s">
        <v>30</v>
      </c>
      <c r="F2263" s="17">
        <v>41680</v>
      </c>
      <c r="G2263" s="8" t="s">
        <v>11700</v>
      </c>
      <c r="H2263" s="8" t="s">
        <v>11732</v>
      </c>
      <c r="I2263" s="8" t="s">
        <v>62</v>
      </c>
      <c r="J2263" s="16" t="s">
        <v>11701</v>
      </c>
      <c r="K2263" s="2" t="s">
        <v>5624</v>
      </c>
      <c r="L2263" s="8" t="s">
        <v>5625</v>
      </c>
      <c r="M2263" s="8" t="s">
        <v>27</v>
      </c>
      <c r="N2263" s="2" t="s">
        <v>21474</v>
      </c>
      <c r="O2263" s="8" t="s">
        <v>1013</v>
      </c>
      <c r="P2263" s="8" t="s">
        <v>401</v>
      </c>
      <c r="Q2263" s="12" t="s">
        <v>11733</v>
      </c>
      <c r="R2263" s="8" t="s">
        <v>100</v>
      </c>
      <c r="S2263" s="7" t="s">
        <v>18</v>
      </c>
      <c r="T2263" s="6"/>
      <c r="U2263" s="8"/>
    </row>
    <row r="2264" spans="1:24" ht="13" customHeight="1">
      <c r="A2264" s="8" t="s">
        <v>11734</v>
      </c>
      <c r="B2264" s="16">
        <v>45</v>
      </c>
      <c r="C2264" s="8" t="s">
        <v>20</v>
      </c>
      <c r="D2264" s="8" t="s">
        <v>85</v>
      </c>
      <c r="E2264" s="8" t="s">
        <v>11735</v>
      </c>
      <c r="F2264" s="17">
        <v>41679</v>
      </c>
      <c r="G2264" s="8" t="s">
        <v>11736</v>
      </c>
      <c r="H2264" s="8" t="s">
        <v>1763</v>
      </c>
      <c r="I2264" s="8" t="s">
        <v>45</v>
      </c>
      <c r="J2264" s="16" t="s">
        <v>5114</v>
      </c>
      <c r="K2264" s="2" t="s">
        <v>1765</v>
      </c>
      <c r="L2264" s="8" t="s">
        <v>1766</v>
      </c>
      <c r="M2264" s="8" t="s">
        <v>27</v>
      </c>
      <c r="N2264" s="2" t="s">
        <v>11737</v>
      </c>
      <c r="O2264" s="8" t="s">
        <v>1013</v>
      </c>
      <c r="P2264" s="8" t="s">
        <v>401</v>
      </c>
      <c r="Q2264" s="12" t="s">
        <v>11738</v>
      </c>
      <c r="R2264" s="8" t="s">
        <v>100</v>
      </c>
      <c r="S2264" s="7" t="s">
        <v>28</v>
      </c>
      <c r="T2264" s="6"/>
      <c r="U2264" s="8"/>
    </row>
    <row r="2265" spans="1:24" ht="13" customHeight="1">
      <c r="A2265" s="8" t="s">
        <v>11739</v>
      </c>
      <c r="B2265" s="16">
        <v>27</v>
      </c>
      <c r="C2265" s="8" t="s">
        <v>20</v>
      </c>
      <c r="D2265" s="8" t="s">
        <v>85</v>
      </c>
      <c r="F2265" s="17">
        <v>41677</v>
      </c>
      <c r="G2265" s="8" t="s">
        <v>11740</v>
      </c>
      <c r="H2265" s="8" t="s">
        <v>11741</v>
      </c>
      <c r="I2265" s="8" t="s">
        <v>25</v>
      </c>
      <c r="J2265" s="16" t="s">
        <v>11742</v>
      </c>
      <c r="K2265" s="2" t="s">
        <v>2324</v>
      </c>
      <c r="L2265" s="8" t="s">
        <v>11743</v>
      </c>
      <c r="M2265" s="8" t="s">
        <v>27</v>
      </c>
      <c r="N2265" s="2" t="s">
        <v>11744</v>
      </c>
      <c r="O2265" s="8" t="s">
        <v>1013</v>
      </c>
      <c r="P2265" s="8" t="s">
        <v>401</v>
      </c>
      <c r="Q2265" s="12" t="str">
        <f>HYPERLINK("http://www.ktbs.com/story/24667057/officer-involved-shooting-in-ruston-leaves-one-dead","http://www.ktbs.com/story/24667057/officer-involved-shooting-in-ruston-leaves-one-dead")</f>
        <v>http://www.ktbs.com/story/24667057/officer-involved-shooting-in-ruston-leaves-one-dead</v>
      </c>
      <c r="R2265" s="8" t="s">
        <v>100</v>
      </c>
      <c r="S2265" s="7" t="s">
        <v>28</v>
      </c>
      <c r="T2265" s="6"/>
      <c r="U2265" s="8"/>
    </row>
    <row r="2266" spans="1:24" ht="13" customHeight="1">
      <c r="A2266" s="8" t="s">
        <v>11745</v>
      </c>
      <c r="B2266" s="16" t="s">
        <v>11746</v>
      </c>
      <c r="C2266" s="8" t="s">
        <v>20</v>
      </c>
      <c r="D2266" s="8" t="s">
        <v>37</v>
      </c>
      <c r="F2266" s="17">
        <v>41677</v>
      </c>
      <c r="G2266" s="8" t="s">
        <v>11747</v>
      </c>
      <c r="H2266" s="8" t="s">
        <v>11748</v>
      </c>
      <c r="I2266" s="8" t="s">
        <v>133</v>
      </c>
      <c r="J2266" s="16" t="s">
        <v>11749</v>
      </c>
      <c r="K2266" s="2" t="s">
        <v>1075</v>
      </c>
      <c r="L2266" s="8" t="s">
        <v>11750</v>
      </c>
      <c r="M2266" s="8" t="s">
        <v>27</v>
      </c>
      <c r="N2266" s="2" t="s">
        <v>11751</v>
      </c>
      <c r="O2266" s="8" t="s">
        <v>29</v>
      </c>
      <c r="P2266" s="8" t="s">
        <v>401</v>
      </c>
      <c r="Q2266" s="12" t="s">
        <v>11752</v>
      </c>
      <c r="R2266" s="8" t="s">
        <v>100</v>
      </c>
      <c r="S2266" s="7" t="s">
        <v>28</v>
      </c>
      <c r="T2266" s="6"/>
      <c r="U2266" s="8"/>
    </row>
    <row r="2267" spans="1:24" ht="13" customHeight="1">
      <c r="A2267" s="8" t="s">
        <v>11759</v>
      </c>
      <c r="B2267" s="16">
        <v>42</v>
      </c>
      <c r="C2267" s="8" t="s">
        <v>20</v>
      </c>
      <c r="D2267" s="8" t="s">
        <v>37</v>
      </c>
      <c r="E2267" s="8" t="s">
        <v>11760</v>
      </c>
      <c r="F2267" s="17">
        <v>41677</v>
      </c>
      <c r="G2267" s="8" t="s">
        <v>11761</v>
      </c>
      <c r="H2267" s="8" t="s">
        <v>2350</v>
      </c>
      <c r="I2267" s="8" t="s">
        <v>57</v>
      </c>
      <c r="J2267" s="16" t="s">
        <v>11762</v>
      </c>
      <c r="K2267" s="2" t="s">
        <v>2350</v>
      </c>
      <c r="L2267" s="8" t="s">
        <v>11763</v>
      </c>
      <c r="M2267" s="8" t="s">
        <v>27</v>
      </c>
      <c r="N2267" s="2" t="s">
        <v>11764</v>
      </c>
      <c r="O2267" s="8" t="s">
        <v>550</v>
      </c>
      <c r="P2267" s="8" t="s">
        <v>401</v>
      </c>
      <c r="Q2267" s="12" t="s">
        <v>11765</v>
      </c>
      <c r="R2267" s="8" t="s">
        <v>100</v>
      </c>
      <c r="S2267" s="7" t="s">
        <v>28</v>
      </c>
      <c r="T2267" s="6"/>
      <c r="U2267" s="8"/>
    </row>
    <row r="2268" spans="1:24" ht="13" customHeight="1">
      <c r="A2268" s="8" t="s">
        <v>11753</v>
      </c>
      <c r="B2268" s="16">
        <v>49</v>
      </c>
      <c r="C2268" s="8" t="s">
        <v>20</v>
      </c>
      <c r="D2268" s="8" t="s">
        <v>37</v>
      </c>
      <c r="E2268" s="8" t="s">
        <v>11754</v>
      </c>
      <c r="F2268" s="17">
        <v>41677</v>
      </c>
      <c r="G2268" s="8" t="s">
        <v>11755</v>
      </c>
      <c r="H2268" s="8" t="s">
        <v>833</v>
      </c>
      <c r="I2268" s="8" t="s">
        <v>73</v>
      </c>
      <c r="J2268" s="16" t="s">
        <v>11756</v>
      </c>
      <c r="K2268" s="2" t="s">
        <v>834</v>
      </c>
      <c r="L2268" s="8" t="s">
        <v>835</v>
      </c>
      <c r="M2268" s="8" t="s">
        <v>27</v>
      </c>
      <c r="N2268" s="2" t="s">
        <v>11757</v>
      </c>
      <c r="O2268" s="8" t="s">
        <v>1013</v>
      </c>
      <c r="P2268" s="8" t="s">
        <v>401</v>
      </c>
      <c r="Q2268" s="12" t="s">
        <v>11758</v>
      </c>
      <c r="R2268" s="8" t="s">
        <v>100</v>
      </c>
      <c r="S2268" s="7" t="s">
        <v>28</v>
      </c>
      <c r="T2268" s="6"/>
      <c r="U2268" s="8"/>
    </row>
    <row r="2269" spans="1:24" ht="13" customHeight="1">
      <c r="A2269" s="8" t="s">
        <v>11766</v>
      </c>
      <c r="B2269" s="16" t="s">
        <v>11746</v>
      </c>
      <c r="C2269" s="8" t="s">
        <v>114</v>
      </c>
      <c r="D2269" s="8" t="s">
        <v>37</v>
      </c>
      <c r="F2269" s="17">
        <v>41677</v>
      </c>
      <c r="G2269" s="8" t="s">
        <v>11747</v>
      </c>
      <c r="H2269" s="8" t="s">
        <v>11748</v>
      </c>
      <c r="I2269" s="8" t="s">
        <v>133</v>
      </c>
      <c r="J2269" s="16" t="s">
        <v>11749</v>
      </c>
      <c r="K2269" s="2" t="s">
        <v>1075</v>
      </c>
      <c r="L2269" s="8" t="s">
        <v>11750</v>
      </c>
      <c r="M2269" s="8" t="s">
        <v>27</v>
      </c>
      <c r="N2269" s="2" t="s">
        <v>11767</v>
      </c>
      <c r="O2269" s="8" t="s">
        <v>29</v>
      </c>
      <c r="P2269" s="8" t="s">
        <v>401</v>
      </c>
      <c r="Q2269" s="12" t="s">
        <v>11752</v>
      </c>
      <c r="R2269" s="8" t="s">
        <v>100</v>
      </c>
      <c r="S2269" s="7" t="s">
        <v>28</v>
      </c>
      <c r="T2269" s="6"/>
      <c r="U2269" s="8"/>
    </row>
    <row r="2270" spans="1:24" ht="13" customHeight="1">
      <c r="A2270" s="8" t="s">
        <v>11768</v>
      </c>
      <c r="B2270" s="16">
        <v>43</v>
      </c>
      <c r="C2270" s="8" t="s">
        <v>20</v>
      </c>
      <c r="D2270" s="8" t="s">
        <v>37</v>
      </c>
      <c r="F2270" s="17">
        <v>41676</v>
      </c>
      <c r="G2270" s="8" t="s">
        <v>11769</v>
      </c>
      <c r="H2270" s="8" t="s">
        <v>3339</v>
      </c>
      <c r="I2270" s="8" t="s">
        <v>123</v>
      </c>
      <c r="J2270" s="16" t="s">
        <v>11770</v>
      </c>
      <c r="K2270" s="2" t="s">
        <v>635</v>
      </c>
      <c r="L2270" s="8" t="s">
        <v>3342</v>
      </c>
      <c r="M2270" s="8" t="s">
        <v>27</v>
      </c>
      <c r="N2270" s="2" t="s">
        <v>11771</v>
      </c>
      <c r="O2270" s="8" t="s">
        <v>1013</v>
      </c>
      <c r="P2270" s="8" t="s">
        <v>401</v>
      </c>
      <c r="Q2270" s="12" t="s">
        <v>11772</v>
      </c>
      <c r="R2270" s="8" t="s">
        <v>100</v>
      </c>
      <c r="S2270" s="7" t="s">
        <v>28</v>
      </c>
      <c r="T2270" s="6"/>
      <c r="U2270" s="8"/>
    </row>
    <row r="2271" spans="1:24" ht="13" customHeight="1">
      <c r="A2271" s="8" t="s">
        <v>11778</v>
      </c>
      <c r="B2271" s="16">
        <v>25</v>
      </c>
      <c r="C2271" s="8" t="s">
        <v>20</v>
      </c>
      <c r="D2271" s="8" t="s">
        <v>85</v>
      </c>
      <c r="E2271" s="8" t="s">
        <v>11779</v>
      </c>
      <c r="F2271" s="17">
        <v>41675</v>
      </c>
      <c r="G2271" s="8" t="s">
        <v>11780</v>
      </c>
      <c r="H2271" s="8" t="s">
        <v>3922</v>
      </c>
      <c r="I2271" s="8" t="s">
        <v>52</v>
      </c>
      <c r="J2271" s="16" t="s">
        <v>3923</v>
      </c>
      <c r="K2271" s="2" t="s">
        <v>3924</v>
      </c>
      <c r="L2271" s="8" t="s">
        <v>698</v>
      </c>
      <c r="M2271" s="8" t="s">
        <v>27</v>
      </c>
      <c r="N2271" s="2" t="s">
        <v>11781</v>
      </c>
      <c r="O2271" s="8" t="s">
        <v>550</v>
      </c>
      <c r="P2271" s="8" t="s">
        <v>401</v>
      </c>
      <c r="Q2271" s="12" t="str">
        <f>HYPERLINK("http://www.delmarvanow.com/article/20140205/NEWS/302050037","http://www.delmarvanow.com/article/20140205/NEWS/302050037")</f>
        <v>http://www.delmarvanow.com/article/20140205/NEWS/302050037</v>
      </c>
      <c r="R2271" s="8" t="s">
        <v>100</v>
      </c>
      <c r="S2271" s="7" t="s">
        <v>28</v>
      </c>
      <c r="T2271" s="6"/>
      <c r="U2271" s="8"/>
    </row>
    <row r="2272" spans="1:24" ht="13" customHeight="1">
      <c r="A2272" s="8" t="s">
        <v>11773</v>
      </c>
      <c r="B2272" s="16">
        <v>21</v>
      </c>
      <c r="C2272" s="8" t="s">
        <v>20</v>
      </c>
      <c r="D2272" s="8" t="s">
        <v>85</v>
      </c>
      <c r="E2272" s="8" t="s">
        <v>11774</v>
      </c>
      <c r="F2272" s="17">
        <v>41675</v>
      </c>
      <c r="G2272" s="8" t="s">
        <v>11775</v>
      </c>
      <c r="H2272" s="8" t="s">
        <v>11776</v>
      </c>
      <c r="I2272" s="8" t="s">
        <v>62</v>
      </c>
      <c r="J2272" s="16" t="s">
        <v>9127</v>
      </c>
      <c r="K2272" s="2" t="s">
        <v>161</v>
      </c>
      <c r="L2272" s="8" t="s">
        <v>162</v>
      </c>
      <c r="M2272" s="8" t="s">
        <v>391</v>
      </c>
      <c r="N2272" s="2" t="s">
        <v>11777</v>
      </c>
      <c r="O2272" s="8" t="s">
        <v>1013</v>
      </c>
      <c r="P2272" s="8" t="s">
        <v>401</v>
      </c>
      <c r="Q2272" s="12" t="s">
        <v>11457</v>
      </c>
      <c r="R2272" s="8" t="s">
        <v>100</v>
      </c>
      <c r="S2272" s="7" t="s">
        <v>18</v>
      </c>
      <c r="T2272" s="6"/>
      <c r="U2272" s="8"/>
    </row>
    <row r="2273" spans="1:34" ht="13" customHeight="1">
      <c r="A2273" s="8" t="s">
        <v>11782</v>
      </c>
      <c r="B2273" s="16">
        <v>51</v>
      </c>
      <c r="C2273" s="8" t="s">
        <v>20</v>
      </c>
      <c r="D2273" s="8" t="s">
        <v>30</v>
      </c>
      <c r="F2273" s="17">
        <v>41675</v>
      </c>
      <c r="G2273" s="8" t="s">
        <v>11783</v>
      </c>
      <c r="H2273" s="8" t="s">
        <v>2512</v>
      </c>
      <c r="I2273" s="8" t="s">
        <v>62</v>
      </c>
      <c r="J2273" s="16" t="s">
        <v>11784</v>
      </c>
      <c r="K2273" s="2" t="s">
        <v>7337</v>
      </c>
      <c r="L2273" s="8" t="s">
        <v>11785</v>
      </c>
      <c r="M2273" s="8" t="s">
        <v>27</v>
      </c>
      <c r="N2273" s="2" t="s">
        <v>11786</v>
      </c>
      <c r="O2273" s="8" t="s">
        <v>550</v>
      </c>
      <c r="P2273" s="8" t="s">
        <v>401</v>
      </c>
      <c r="Q2273" s="12" t="str">
        <f>HYPERLINK("http://www.wtxl.com/news/update-officer-involved-shooting-at-taylor-county-car-dealership/article_a27a9ab0-8e83-11e3-8e81-0017a43b2370.html","http://www.wtxl.com/news/update-officer-involved-shooting-at-taylor-county-car-dealership/article_a27a9ab0-8e83-11e3-8e81-0017a43b2370.html")</f>
        <v>http://www.wtxl.com/news/update-officer-involved-shooting-at-taylor-county-car-dealership/article_a27a9ab0-8e83-11e3-8e81-0017a43b2370.html</v>
      </c>
      <c r="R2273" s="8" t="s">
        <v>29</v>
      </c>
      <c r="S2273" s="7" t="s">
        <v>28</v>
      </c>
      <c r="T2273" s="6"/>
      <c r="U2273" s="8"/>
    </row>
    <row r="2274" spans="1:34" ht="13" customHeight="1">
      <c r="A2274" s="8" t="s">
        <v>11793</v>
      </c>
      <c r="B2274" s="16">
        <v>34</v>
      </c>
      <c r="C2274" s="8" t="s">
        <v>20</v>
      </c>
      <c r="D2274" s="8" t="s">
        <v>85</v>
      </c>
      <c r="E2274" s="8" t="s">
        <v>11794</v>
      </c>
      <c r="F2274" s="17">
        <v>41674</v>
      </c>
      <c r="G2274" s="8" t="s">
        <v>11795</v>
      </c>
      <c r="H2274" s="8" t="s">
        <v>11796</v>
      </c>
      <c r="I2274" s="8" t="s">
        <v>209</v>
      </c>
      <c r="J2274" s="16" t="s">
        <v>11797</v>
      </c>
      <c r="K2274" s="2" t="s">
        <v>1781</v>
      </c>
      <c r="L2274" s="8" t="s">
        <v>11798</v>
      </c>
      <c r="M2274" s="8" t="s">
        <v>27</v>
      </c>
      <c r="N2274" s="2" t="s">
        <v>11799</v>
      </c>
      <c r="O2274" s="8" t="s">
        <v>1013</v>
      </c>
      <c r="P2274" s="8" t="s">
        <v>401</v>
      </c>
      <c r="Q2274" s="12" t="s">
        <v>11800</v>
      </c>
      <c r="R2274" s="8" t="s">
        <v>100</v>
      </c>
      <c r="S2274" s="7" t="s">
        <v>28</v>
      </c>
      <c r="T2274" s="6"/>
      <c r="U2274" s="8"/>
      <c r="Y2274" s="13"/>
      <c r="Z2274" s="13"/>
      <c r="AA2274" s="13"/>
      <c r="AB2274" s="13"/>
      <c r="AC2274" s="13"/>
      <c r="AD2274" s="13"/>
      <c r="AE2274" s="13"/>
      <c r="AF2274" s="13"/>
      <c r="AG2274" s="13"/>
      <c r="AH2274" s="13"/>
    </row>
    <row r="2275" spans="1:34" ht="13" customHeight="1">
      <c r="A2275" s="8" t="s">
        <v>11787</v>
      </c>
      <c r="B2275" s="16">
        <v>28</v>
      </c>
      <c r="C2275" s="8" t="s">
        <v>20</v>
      </c>
      <c r="D2275" s="8" t="s">
        <v>85</v>
      </c>
      <c r="E2275" s="8" t="s">
        <v>11788</v>
      </c>
      <c r="F2275" s="17">
        <v>41674</v>
      </c>
      <c r="G2275" s="8" t="s">
        <v>11789</v>
      </c>
      <c r="H2275" s="8" t="s">
        <v>5353</v>
      </c>
      <c r="I2275" s="8" t="s">
        <v>62</v>
      </c>
      <c r="J2275" s="16" t="s">
        <v>11790</v>
      </c>
      <c r="K2275" s="2" t="s">
        <v>5354</v>
      </c>
      <c r="L2275" s="8" t="s">
        <v>63</v>
      </c>
      <c r="M2275" s="8" t="s">
        <v>27</v>
      </c>
      <c r="N2275" s="2" t="s">
        <v>11791</v>
      </c>
      <c r="O2275" s="8" t="s">
        <v>550</v>
      </c>
      <c r="P2275" s="8" t="s">
        <v>401</v>
      </c>
      <c r="Q2275" s="12" t="s">
        <v>11792</v>
      </c>
      <c r="R2275" s="8" t="s">
        <v>967</v>
      </c>
      <c r="S2275" s="7" t="s">
        <v>18</v>
      </c>
      <c r="T2275" s="6"/>
      <c r="U2275" s="8"/>
    </row>
    <row r="2276" spans="1:34" ht="13" customHeight="1">
      <c r="A2276" s="8" t="s">
        <v>11801</v>
      </c>
      <c r="B2276" s="16">
        <v>39</v>
      </c>
      <c r="C2276" s="8" t="s">
        <v>20</v>
      </c>
      <c r="D2276" s="8" t="s">
        <v>945</v>
      </c>
      <c r="E2276" s="8" t="s">
        <v>11802</v>
      </c>
      <c r="F2276" s="17">
        <v>41674</v>
      </c>
      <c r="G2276" s="8" t="s">
        <v>11803</v>
      </c>
      <c r="H2276" s="8" t="s">
        <v>11804</v>
      </c>
      <c r="I2276" s="8" t="s">
        <v>873</v>
      </c>
      <c r="J2276" s="16" t="s">
        <v>11805</v>
      </c>
      <c r="K2276" s="2" t="s">
        <v>3968</v>
      </c>
      <c r="L2276" s="8" t="s">
        <v>11806</v>
      </c>
      <c r="M2276" s="8" t="s">
        <v>2297</v>
      </c>
      <c r="N2276" s="2" t="s">
        <v>11807</v>
      </c>
      <c r="O2276" s="8" t="s">
        <v>1013</v>
      </c>
      <c r="P2276" s="8" t="s">
        <v>401</v>
      </c>
      <c r="Q2276" s="12" t="s">
        <v>11808</v>
      </c>
      <c r="R2276" s="8" t="s">
        <v>100</v>
      </c>
      <c r="S2276" s="7" t="s">
        <v>18</v>
      </c>
      <c r="T2276" s="6"/>
      <c r="U2276" s="8"/>
    </row>
    <row r="2277" spans="1:34" ht="13" customHeight="1">
      <c r="A2277" s="8" t="s">
        <v>3267</v>
      </c>
      <c r="B2277" s="16">
        <v>45</v>
      </c>
      <c r="C2277" s="8" t="s">
        <v>20</v>
      </c>
      <c r="D2277" s="8" t="s">
        <v>30</v>
      </c>
      <c r="F2277" s="17">
        <v>41674</v>
      </c>
      <c r="G2277" s="8" t="s">
        <v>11809</v>
      </c>
      <c r="H2277" s="8" t="s">
        <v>1103</v>
      </c>
      <c r="I2277" s="8" t="s">
        <v>404</v>
      </c>
      <c r="J2277" s="16" t="s">
        <v>11810</v>
      </c>
      <c r="K2277" s="2" t="s">
        <v>1103</v>
      </c>
      <c r="L2277" s="8" t="s">
        <v>1104</v>
      </c>
      <c r="M2277" s="8" t="s">
        <v>27</v>
      </c>
      <c r="N2277" s="2" t="s">
        <v>11811</v>
      </c>
      <c r="O2277" s="8" t="s">
        <v>1013</v>
      </c>
      <c r="P2277" s="8" t="s">
        <v>401</v>
      </c>
      <c r="Q2277" s="12" t="s">
        <v>11812</v>
      </c>
      <c r="R2277" s="8" t="s">
        <v>29</v>
      </c>
      <c r="S2277" s="7" t="s">
        <v>18</v>
      </c>
      <c r="T2277" s="6"/>
      <c r="U2277" s="8"/>
    </row>
    <row r="2278" spans="1:34" ht="13" customHeight="1">
      <c r="A2278" s="8" t="s">
        <v>11813</v>
      </c>
      <c r="B2278" s="16">
        <v>62</v>
      </c>
      <c r="C2278" s="8" t="s">
        <v>114</v>
      </c>
      <c r="D2278" s="8" t="s">
        <v>30</v>
      </c>
      <c r="F2278" s="17">
        <v>41674</v>
      </c>
      <c r="G2278" s="8" t="s">
        <v>11814</v>
      </c>
      <c r="H2278" s="8" t="s">
        <v>8765</v>
      </c>
      <c r="I2278" s="8" t="s">
        <v>45</v>
      </c>
      <c r="J2278" s="16" t="s">
        <v>8766</v>
      </c>
      <c r="K2278" s="2" t="s">
        <v>604</v>
      </c>
      <c r="L2278" s="8" t="s">
        <v>8767</v>
      </c>
      <c r="M2278" s="8" t="s">
        <v>27</v>
      </c>
      <c r="N2278" s="2" t="s">
        <v>21463</v>
      </c>
      <c r="O2278" s="8" t="s">
        <v>400</v>
      </c>
      <c r="P2278" s="8" t="s">
        <v>401</v>
      </c>
      <c r="Q2278" s="12" t="str">
        <f>HYPERLINK("http://www.sfgate.com/crime/article/Hayward-police-shoot-and-kill-armed-woman-5205798.php","http://www.sfgate.com/crime/article/Hayward-police-shoot-and-kill-armed-woman-5205798.php")</f>
        <v>http://www.sfgate.com/crime/article/Hayward-police-shoot-and-kill-armed-woman-5205798.php</v>
      </c>
      <c r="R2278" s="8" t="s">
        <v>555</v>
      </c>
      <c r="S2278" s="7" t="s">
        <v>18</v>
      </c>
      <c r="T2278" s="6"/>
      <c r="U2278" s="8"/>
    </row>
    <row r="2279" spans="1:34" ht="13" customHeight="1">
      <c r="A2279" s="8" t="s">
        <v>11815</v>
      </c>
      <c r="B2279" s="16">
        <v>56</v>
      </c>
      <c r="C2279" s="8" t="s">
        <v>20</v>
      </c>
      <c r="D2279" s="8" t="s">
        <v>48</v>
      </c>
      <c r="F2279" s="17">
        <v>41673</v>
      </c>
      <c r="G2279" s="8" t="s">
        <v>11816</v>
      </c>
      <c r="H2279" s="8" t="s">
        <v>87</v>
      </c>
      <c r="I2279" s="8" t="s">
        <v>44</v>
      </c>
      <c r="J2279" s="16" t="s">
        <v>11817</v>
      </c>
      <c r="K2279" s="2" t="s">
        <v>88</v>
      </c>
      <c r="L2279" s="8" t="s">
        <v>89</v>
      </c>
      <c r="M2279" s="8" t="s">
        <v>27</v>
      </c>
      <c r="N2279" s="2" t="s">
        <v>11818</v>
      </c>
      <c r="O2279" s="8" t="s">
        <v>1013</v>
      </c>
      <c r="P2279" s="8" t="s">
        <v>401</v>
      </c>
      <c r="Q2279" s="12" t="s">
        <v>11819</v>
      </c>
      <c r="R2279" s="8" t="s">
        <v>100</v>
      </c>
      <c r="S2279" s="7" t="s">
        <v>28</v>
      </c>
      <c r="T2279" s="6"/>
      <c r="U2279" s="8"/>
    </row>
    <row r="2280" spans="1:34" ht="13" customHeight="1">
      <c r="A2280" s="8" t="s">
        <v>11820</v>
      </c>
      <c r="B2280" s="16">
        <v>25</v>
      </c>
      <c r="C2280" s="8" t="s">
        <v>20</v>
      </c>
      <c r="D2280" s="8" t="s">
        <v>85</v>
      </c>
      <c r="E2280" s="8" t="str">
        <f>HYPERLINK("http://thumbs.mugshots.com/gallery/images/8d/63/Kevin-Dejon-Grissett-mugshot-24130338.400x800.jpg","http://thumbs.mugshots.com/gallery/images/8d/63/Kevin-Dejon-Grissett-mugshot-24130338.400x800.jpg")</f>
        <v>http://thumbs.mugshots.com/gallery/images/8d/63/Kevin-Dejon-Grissett-mugshot-24130338.400x800.jpg</v>
      </c>
      <c r="F2280" s="17">
        <v>41671</v>
      </c>
      <c r="G2280" s="8" t="s">
        <v>11821</v>
      </c>
      <c r="H2280" s="8" t="s">
        <v>9119</v>
      </c>
      <c r="I2280" s="8" t="s">
        <v>366</v>
      </c>
      <c r="J2280" s="16" t="s">
        <v>8318</v>
      </c>
      <c r="K2280" s="2" t="s">
        <v>3167</v>
      </c>
      <c r="L2280" s="8" t="s">
        <v>9121</v>
      </c>
      <c r="M2280" s="8" t="s">
        <v>27</v>
      </c>
      <c r="N2280" s="2" t="s">
        <v>11822</v>
      </c>
      <c r="O2280" s="8" t="s">
        <v>1013</v>
      </c>
      <c r="P2280" s="8" t="s">
        <v>401</v>
      </c>
      <c r="Q2280" s="12" t="s">
        <v>11823</v>
      </c>
      <c r="R2280" s="8" t="s">
        <v>967</v>
      </c>
      <c r="S2280" s="7" t="s">
        <v>28</v>
      </c>
      <c r="T2280" s="6"/>
      <c r="U2280" s="8"/>
    </row>
    <row r="2281" spans="1:34" ht="13" customHeight="1">
      <c r="A2281" s="8" t="s">
        <v>11824</v>
      </c>
      <c r="B2281" s="16">
        <v>21</v>
      </c>
      <c r="C2281" s="8" t="s">
        <v>20</v>
      </c>
      <c r="D2281" s="8" t="s">
        <v>37</v>
      </c>
      <c r="F2281" s="17">
        <v>41671</v>
      </c>
      <c r="G2281" s="8" t="s">
        <v>11825</v>
      </c>
      <c r="H2281" s="8" t="s">
        <v>11826</v>
      </c>
      <c r="I2281" s="8" t="s">
        <v>303</v>
      </c>
      <c r="J2281" s="16" t="s">
        <v>11827</v>
      </c>
      <c r="K2281" s="2" t="s">
        <v>886</v>
      </c>
      <c r="L2281" s="8" t="s">
        <v>11828</v>
      </c>
      <c r="M2281" s="8" t="s">
        <v>27</v>
      </c>
      <c r="N2281" s="2" t="s">
        <v>11829</v>
      </c>
      <c r="O2281" s="8" t="s">
        <v>1013</v>
      </c>
      <c r="P2281" s="8" t="s">
        <v>401</v>
      </c>
      <c r="Q2281" s="12" t="s">
        <v>11830</v>
      </c>
      <c r="R2281" s="8" t="s">
        <v>100</v>
      </c>
      <c r="S2281" s="7" t="s">
        <v>28</v>
      </c>
      <c r="T2281" s="6"/>
      <c r="U2281" s="8"/>
    </row>
    <row r="2282" spans="1:34" ht="13" customHeight="1">
      <c r="A2282" s="8" t="s">
        <v>11831</v>
      </c>
      <c r="B2282" s="16">
        <v>28</v>
      </c>
      <c r="C2282" s="8" t="s">
        <v>20</v>
      </c>
      <c r="D2282" s="8" t="s">
        <v>37</v>
      </c>
      <c r="F2282" s="17">
        <v>41671</v>
      </c>
      <c r="G2282" s="8" t="s">
        <v>11832</v>
      </c>
      <c r="H2282" s="8" t="s">
        <v>11833</v>
      </c>
      <c r="I2282" s="8" t="s">
        <v>269</v>
      </c>
      <c r="J2282" s="16" t="s">
        <v>11834</v>
      </c>
      <c r="K2282" s="2" t="s">
        <v>570</v>
      </c>
      <c r="L2282" s="8" t="s">
        <v>571</v>
      </c>
      <c r="M2282" s="8" t="s">
        <v>27</v>
      </c>
      <c r="N2282" s="2" t="s">
        <v>11835</v>
      </c>
      <c r="O2282" s="8" t="s">
        <v>1013</v>
      </c>
      <c r="P2282" s="8" t="s">
        <v>401</v>
      </c>
      <c r="Q2282" s="12" t="s">
        <v>11836</v>
      </c>
      <c r="R2282" s="8" t="s">
        <v>555</v>
      </c>
      <c r="S2282" s="7" t="s">
        <v>28</v>
      </c>
      <c r="T2282" s="6"/>
      <c r="U2282" s="8"/>
    </row>
    <row r="2283" spans="1:34" ht="13" customHeight="1">
      <c r="A2283" s="8" t="s">
        <v>11837</v>
      </c>
      <c r="B2283" s="16">
        <v>31</v>
      </c>
      <c r="C2283" s="8" t="s">
        <v>20</v>
      </c>
      <c r="D2283" s="8" t="s">
        <v>85</v>
      </c>
      <c r="E2283" s="8" t="str">
        <f>HYPERLINK("http://bloximages.newyork1.vip.townnews.com/scnow.com/content/tncms/assets/v3/editorial/9/af/9af467d9-6895-55d0-a65f-5d532b203c84/52f5bad3778ea.preview-300.jpg","http://bloximages.newyork1.vip.townnews.com/scnow.com/content/tncms/assets/v3/editorial/9/af/9af467d9-6895-55d0-a65f-5d532b203c84/52f5bad3778ea.preview-300.jpg")</f>
        <v>http://bloximages.newyork1.vip.townnews.com/scnow.com/content/tncms/assets/v3/editorial/9/af/9af467d9-6895-55d0-a65f-5d532b203c84/52f5bad3778ea.preview-300.jpg</v>
      </c>
      <c r="F2283" s="17">
        <v>41670</v>
      </c>
      <c r="G2283" s="8" t="s">
        <v>11838</v>
      </c>
      <c r="H2283" s="8" t="s">
        <v>11839</v>
      </c>
      <c r="I2283" s="8" t="s">
        <v>32</v>
      </c>
      <c r="J2283" s="16" t="s">
        <v>11840</v>
      </c>
      <c r="K2283" s="2" t="s">
        <v>3382</v>
      </c>
      <c r="L2283" s="8" t="s">
        <v>11841</v>
      </c>
      <c r="M2283" s="8" t="s">
        <v>27</v>
      </c>
      <c r="N2283" s="2" t="s">
        <v>11842</v>
      </c>
      <c r="O2283" s="8" t="s">
        <v>550</v>
      </c>
      <c r="P2283" s="8" t="s">
        <v>401</v>
      </c>
      <c r="Q2283" s="12" t="s">
        <v>11843</v>
      </c>
      <c r="R2283" s="8" t="s">
        <v>29</v>
      </c>
      <c r="S2283" s="7" t="s">
        <v>28</v>
      </c>
      <c r="T2283" s="6"/>
      <c r="U2283" s="8"/>
    </row>
    <row r="2284" spans="1:34" ht="13" customHeight="1">
      <c r="A2284" s="8" t="s">
        <v>11850</v>
      </c>
      <c r="B2284" s="16">
        <v>27</v>
      </c>
      <c r="C2284" s="8" t="s">
        <v>20</v>
      </c>
      <c r="D2284" s="8" t="s">
        <v>48</v>
      </c>
      <c r="E2284" s="8" t="s">
        <v>11851</v>
      </c>
      <c r="F2284" s="17">
        <v>41670</v>
      </c>
      <c r="G2284" s="8" t="s">
        <v>11852</v>
      </c>
      <c r="H2284" s="8" t="s">
        <v>11853</v>
      </c>
      <c r="I2284" s="8" t="s">
        <v>240</v>
      </c>
      <c r="J2284" s="16" t="s">
        <v>11854</v>
      </c>
      <c r="K2284" s="2" t="s">
        <v>11855</v>
      </c>
      <c r="L2284" s="8" t="s">
        <v>11856</v>
      </c>
      <c r="M2284" s="8" t="s">
        <v>27</v>
      </c>
      <c r="N2284" s="2" t="s">
        <v>11857</v>
      </c>
      <c r="O2284" s="8" t="s">
        <v>550</v>
      </c>
      <c r="P2284" s="8" t="s">
        <v>401</v>
      </c>
      <c r="Q2284" s="12" t="s">
        <v>11858</v>
      </c>
      <c r="R2284" s="8" t="s">
        <v>100</v>
      </c>
      <c r="S2284" s="7" t="s">
        <v>28</v>
      </c>
      <c r="T2284" s="6"/>
      <c r="U2284" s="8"/>
    </row>
    <row r="2285" spans="1:34" ht="13" customHeight="1">
      <c r="A2285" s="8" t="s">
        <v>11844</v>
      </c>
      <c r="B2285" s="16">
        <v>33</v>
      </c>
      <c r="C2285" s="8" t="s">
        <v>20</v>
      </c>
      <c r="D2285" s="8" t="s">
        <v>48</v>
      </c>
      <c r="E2285" s="8" t="s">
        <v>11845</v>
      </c>
      <c r="F2285" s="17">
        <v>41670</v>
      </c>
      <c r="G2285" s="8" t="s">
        <v>11846</v>
      </c>
      <c r="H2285" s="8" t="s">
        <v>11847</v>
      </c>
      <c r="I2285" s="8" t="s">
        <v>45</v>
      </c>
      <c r="J2285" s="16" t="s">
        <v>11848</v>
      </c>
      <c r="K2285" s="2" t="s">
        <v>156</v>
      </c>
      <c r="L2285" s="8" t="s">
        <v>2120</v>
      </c>
      <c r="M2285" s="8" t="s">
        <v>27</v>
      </c>
      <c r="N2285" s="2" t="s">
        <v>11849</v>
      </c>
      <c r="O2285" s="8" t="s">
        <v>1013</v>
      </c>
      <c r="P2285" s="8" t="s">
        <v>401</v>
      </c>
      <c r="Q2285" s="12" t="s">
        <v>21475</v>
      </c>
      <c r="R2285" s="8" t="s">
        <v>555</v>
      </c>
      <c r="S2285" s="7" t="s">
        <v>18</v>
      </c>
      <c r="T2285" s="6"/>
      <c r="U2285" s="8"/>
    </row>
    <row r="2286" spans="1:34" ht="13" customHeight="1">
      <c r="A2286" s="8" t="s">
        <v>11859</v>
      </c>
      <c r="B2286" s="16">
        <v>36</v>
      </c>
      <c r="C2286" s="8" t="s">
        <v>20</v>
      </c>
      <c r="D2286" s="8" t="s">
        <v>48</v>
      </c>
      <c r="E2286" s="8" t="s">
        <v>11860</v>
      </c>
      <c r="F2286" s="17">
        <v>41669</v>
      </c>
      <c r="G2286" s="8" t="s">
        <v>11861</v>
      </c>
      <c r="H2286" s="8" t="s">
        <v>11862</v>
      </c>
      <c r="I2286" s="8" t="s">
        <v>45</v>
      </c>
      <c r="J2286" s="16" t="s">
        <v>11863</v>
      </c>
      <c r="K2286" s="2" t="s">
        <v>9959</v>
      </c>
      <c r="L2286" s="8" t="s">
        <v>19730</v>
      </c>
      <c r="M2286" s="8" t="s">
        <v>27</v>
      </c>
      <c r="N2286" s="2" t="s">
        <v>11864</v>
      </c>
      <c r="O2286" s="8" t="s">
        <v>1013</v>
      </c>
      <c r="P2286" s="8" t="s">
        <v>401</v>
      </c>
      <c r="Q2286" s="12" t="str">
        <f>HYPERLINK("http://www.ivpressonline.com/news/local/one-suspect-dead-in-el-centro-shooting/article_8fb45b2a-8a44-11e3-8222-001a4bcf6878.html","http://www.ivpressonline.com/news/local/one-suspect-dead-in-el-centro-shooting/article_8fb45b2a-8a44-11e3-8222-001a4bcf6878.html")</f>
        <v>http://www.ivpressonline.com/news/local/one-suspect-dead-in-el-centro-shooting/article_8fb45b2a-8a44-11e3-8222-001a4bcf6878.html</v>
      </c>
      <c r="R2286" s="8" t="s">
        <v>100</v>
      </c>
      <c r="S2286" s="7" t="s">
        <v>28</v>
      </c>
      <c r="T2286" s="6"/>
      <c r="U2286" s="8"/>
    </row>
    <row r="2287" spans="1:34" ht="13" customHeight="1">
      <c r="A2287" s="8" t="s">
        <v>11865</v>
      </c>
      <c r="B2287" s="16">
        <v>47</v>
      </c>
      <c r="C2287" s="8" t="s">
        <v>20</v>
      </c>
      <c r="D2287" s="8" t="s">
        <v>37</v>
      </c>
      <c r="E2287" s="8" t="s">
        <v>11866</v>
      </c>
      <c r="F2287" s="17">
        <v>41669</v>
      </c>
      <c r="G2287" s="8" t="s">
        <v>11867</v>
      </c>
      <c r="H2287" s="8" t="s">
        <v>11868</v>
      </c>
      <c r="I2287" s="8" t="s">
        <v>45</v>
      </c>
      <c r="J2287" s="16" t="s">
        <v>11869</v>
      </c>
      <c r="K2287" s="2" t="s">
        <v>98</v>
      </c>
      <c r="L2287" s="8" t="s">
        <v>414</v>
      </c>
      <c r="M2287" s="8" t="s">
        <v>27</v>
      </c>
      <c r="N2287" s="2" t="s">
        <v>11870</v>
      </c>
      <c r="O2287" s="8" t="s">
        <v>400</v>
      </c>
      <c r="P2287" s="8" t="s">
        <v>401</v>
      </c>
      <c r="Q2287" s="12" t="s">
        <v>11871</v>
      </c>
      <c r="R2287" s="8" t="s">
        <v>555</v>
      </c>
      <c r="S2287" s="7" t="s">
        <v>28</v>
      </c>
      <c r="T2287" s="6"/>
      <c r="U2287" s="8"/>
    </row>
    <row r="2288" spans="1:34" ht="13" customHeight="1">
      <c r="A2288" s="8" t="s">
        <v>11879</v>
      </c>
      <c r="B2288" s="16">
        <v>19</v>
      </c>
      <c r="C2288" s="8" t="s">
        <v>20</v>
      </c>
      <c r="D2288" s="8" t="s">
        <v>85</v>
      </c>
      <c r="E2288" s="8" t="s">
        <v>11880</v>
      </c>
      <c r="F2288" s="17">
        <v>41668</v>
      </c>
      <c r="G2288" s="8" t="s">
        <v>11881</v>
      </c>
      <c r="H2288" s="8" t="s">
        <v>890</v>
      </c>
      <c r="I2288" s="8" t="s">
        <v>438</v>
      </c>
      <c r="J2288" s="16" t="s">
        <v>11882</v>
      </c>
      <c r="K2288" s="2" t="s">
        <v>890</v>
      </c>
      <c r="L2288" s="8" t="s">
        <v>3889</v>
      </c>
      <c r="M2288" s="8" t="s">
        <v>27</v>
      </c>
      <c r="N2288" s="2" t="s">
        <v>11883</v>
      </c>
      <c r="O2288" s="8" t="s">
        <v>1013</v>
      </c>
      <c r="P2288" s="8" t="s">
        <v>401</v>
      </c>
      <c r="Q2288" s="12" t="s">
        <v>11884</v>
      </c>
      <c r="R2288" s="8" t="s">
        <v>100</v>
      </c>
      <c r="S2288" s="7" t="s">
        <v>28</v>
      </c>
      <c r="T2288" s="6"/>
      <c r="U2288" s="8"/>
    </row>
    <row r="2289" spans="1:39" ht="13" customHeight="1">
      <c r="A2289" s="8" t="s">
        <v>11872</v>
      </c>
      <c r="B2289" s="16">
        <v>25</v>
      </c>
      <c r="C2289" s="8" t="s">
        <v>20</v>
      </c>
      <c r="D2289" s="8" t="s">
        <v>85</v>
      </c>
      <c r="E2289" s="8" t="s">
        <v>11873</v>
      </c>
      <c r="F2289" s="17">
        <v>41668</v>
      </c>
      <c r="G2289" s="8" t="s">
        <v>11874</v>
      </c>
      <c r="H2289" s="8" t="s">
        <v>11875</v>
      </c>
      <c r="I2289" s="8" t="s">
        <v>52</v>
      </c>
      <c r="J2289" s="16" t="s">
        <v>11876</v>
      </c>
      <c r="K2289" s="2" t="s">
        <v>1059</v>
      </c>
      <c r="L2289" s="8" t="s">
        <v>2367</v>
      </c>
      <c r="M2289" s="8" t="s">
        <v>27</v>
      </c>
      <c r="N2289" s="2" t="s">
        <v>11877</v>
      </c>
      <c r="O2289" s="8" t="s">
        <v>1013</v>
      </c>
      <c r="P2289" s="8" t="s">
        <v>401</v>
      </c>
      <c r="Q2289" s="12" t="s">
        <v>11878</v>
      </c>
      <c r="R2289" s="8" t="s">
        <v>29</v>
      </c>
      <c r="S2289" s="7" t="s">
        <v>28</v>
      </c>
      <c r="T2289" s="6"/>
      <c r="U2289" s="8"/>
    </row>
    <row r="2290" spans="1:39" ht="13" customHeight="1">
      <c r="A2290" s="8" t="s">
        <v>11885</v>
      </c>
      <c r="B2290" s="16">
        <v>29</v>
      </c>
      <c r="C2290" s="8" t="s">
        <v>20</v>
      </c>
      <c r="D2290" s="8" t="s">
        <v>48</v>
      </c>
      <c r="F2290" s="17">
        <v>41668</v>
      </c>
      <c r="G2290" s="8" t="s">
        <v>11886</v>
      </c>
      <c r="H2290" s="8" t="s">
        <v>7783</v>
      </c>
      <c r="I2290" s="8" t="s">
        <v>25</v>
      </c>
      <c r="J2290" s="16" t="s">
        <v>7784</v>
      </c>
      <c r="K2290" s="2" t="s">
        <v>7785</v>
      </c>
      <c r="L2290" s="8" t="s">
        <v>11887</v>
      </c>
      <c r="M2290" s="8" t="s">
        <v>27</v>
      </c>
      <c r="N2290" s="2" t="s">
        <v>11888</v>
      </c>
      <c r="O2290" s="8" t="s">
        <v>400</v>
      </c>
      <c r="P2290" s="8" t="s">
        <v>401</v>
      </c>
      <c r="Q2290" s="12" t="s">
        <v>11889</v>
      </c>
      <c r="R2290" s="8" t="s">
        <v>29</v>
      </c>
      <c r="S2290" s="7" t="s">
        <v>28</v>
      </c>
      <c r="T2290" s="6"/>
      <c r="U2290" s="8"/>
    </row>
    <row r="2291" spans="1:39" ht="13" customHeight="1">
      <c r="A2291" s="8" t="s">
        <v>11890</v>
      </c>
      <c r="B2291" s="16">
        <v>42</v>
      </c>
      <c r="C2291" s="8" t="s">
        <v>20</v>
      </c>
      <c r="D2291" s="8" t="s">
        <v>37</v>
      </c>
      <c r="E2291" s="8" t="s">
        <v>11891</v>
      </c>
      <c r="F2291" s="17">
        <v>41668</v>
      </c>
      <c r="G2291" s="8" t="s">
        <v>11892</v>
      </c>
      <c r="H2291" s="8" t="s">
        <v>11893</v>
      </c>
      <c r="I2291" s="8" t="s">
        <v>150</v>
      </c>
      <c r="J2291" s="16" t="s">
        <v>11894</v>
      </c>
      <c r="K2291" s="2" t="s">
        <v>993</v>
      </c>
      <c r="L2291" s="8" t="s">
        <v>17515</v>
      </c>
      <c r="M2291" s="8" t="s">
        <v>27</v>
      </c>
      <c r="N2291" s="2" t="s">
        <v>11895</v>
      </c>
      <c r="O2291" s="8" t="s">
        <v>1013</v>
      </c>
      <c r="P2291" s="8" t="s">
        <v>401</v>
      </c>
      <c r="Q2291" s="12" t="s">
        <v>11896</v>
      </c>
      <c r="R2291" s="8" t="s">
        <v>555</v>
      </c>
      <c r="S2291" s="7" t="s">
        <v>28</v>
      </c>
      <c r="T2291" s="6"/>
      <c r="U2291" s="8"/>
    </row>
    <row r="2292" spans="1:39" ht="13" customHeight="1">
      <c r="A2292" s="8" t="s">
        <v>11897</v>
      </c>
      <c r="B2292" s="16">
        <v>29</v>
      </c>
      <c r="C2292" s="8" t="s">
        <v>20</v>
      </c>
      <c r="D2292" s="8" t="s">
        <v>48</v>
      </c>
      <c r="E2292" s="8" t="s">
        <v>11898</v>
      </c>
      <c r="F2292" s="17">
        <v>41667</v>
      </c>
      <c r="G2292" s="8" t="s">
        <v>11899</v>
      </c>
      <c r="H2292" s="8" t="s">
        <v>11900</v>
      </c>
      <c r="I2292" s="8" t="s">
        <v>370</v>
      </c>
      <c r="J2292" s="16" t="s">
        <v>11901</v>
      </c>
      <c r="K2292" s="2" t="s">
        <v>11902</v>
      </c>
      <c r="L2292" s="8" t="s">
        <v>11903</v>
      </c>
      <c r="M2292" s="8" t="s">
        <v>27</v>
      </c>
      <c r="N2292" s="2" t="s">
        <v>11904</v>
      </c>
      <c r="O2292" s="8" t="s">
        <v>550</v>
      </c>
      <c r="P2292" s="8" t="s">
        <v>401</v>
      </c>
      <c r="Q2292" s="12" t="s">
        <v>11905</v>
      </c>
      <c r="R2292" s="8" t="s">
        <v>100</v>
      </c>
      <c r="S2292" s="7" t="s">
        <v>28</v>
      </c>
      <c r="T2292" s="6"/>
      <c r="U2292" s="8"/>
    </row>
    <row r="2293" spans="1:39" ht="13" customHeight="1">
      <c r="A2293" s="8" t="s">
        <v>11906</v>
      </c>
      <c r="B2293" s="16">
        <v>46</v>
      </c>
      <c r="C2293" s="8" t="s">
        <v>20</v>
      </c>
      <c r="D2293" s="8" t="s">
        <v>30</v>
      </c>
      <c r="F2293" s="17">
        <v>41667</v>
      </c>
      <c r="G2293" s="8" t="s">
        <v>11907</v>
      </c>
      <c r="H2293" s="8" t="s">
        <v>9527</v>
      </c>
      <c r="I2293" s="8" t="s">
        <v>81</v>
      </c>
      <c r="J2293" s="16" t="s">
        <v>11908</v>
      </c>
      <c r="K2293" s="2" t="s">
        <v>9527</v>
      </c>
      <c r="L2293" s="8" t="s">
        <v>11909</v>
      </c>
      <c r="M2293" s="8" t="s">
        <v>27</v>
      </c>
      <c r="N2293" s="2" t="s">
        <v>11910</v>
      </c>
      <c r="O2293" s="8" t="s">
        <v>1013</v>
      </c>
      <c r="P2293" s="8" t="s">
        <v>401</v>
      </c>
      <c r="Q2293" s="12" t="s">
        <v>11911</v>
      </c>
      <c r="R2293" s="8" t="s">
        <v>29</v>
      </c>
      <c r="S2293" s="7" t="s">
        <v>28</v>
      </c>
      <c r="T2293" s="6"/>
      <c r="U2293" s="8"/>
    </row>
    <row r="2294" spans="1:39" ht="13" customHeight="1">
      <c r="A2294" s="8" t="s">
        <v>11912</v>
      </c>
      <c r="B2294" s="16">
        <v>21</v>
      </c>
      <c r="C2294" s="8" t="s">
        <v>114</v>
      </c>
      <c r="D2294" s="8" t="s">
        <v>37</v>
      </c>
      <c r="E2294" s="8" t="s">
        <v>11913</v>
      </c>
      <c r="F2294" s="17">
        <v>41667</v>
      </c>
      <c r="G2294" s="8" t="s">
        <v>11914</v>
      </c>
      <c r="H2294" s="8" t="s">
        <v>224</v>
      </c>
      <c r="I2294" s="8" t="s">
        <v>366</v>
      </c>
      <c r="J2294" s="16" t="s">
        <v>11915</v>
      </c>
      <c r="K2294" s="2" t="s">
        <v>8631</v>
      </c>
      <c r="L2294" s="8" t="s">
        <v>226</v>
      </c>
      <c r="M2294" s="8" t="s">
        <v>27</v>
      </c>
      <c r="N2294" s="2" t="s">
        <v>11916</v>
      </c>
      <c r="O2294" s="8" t="s">
        <v>550</v>
      </c>
      <c r="P2294" s="8" t="s">
        <v>401</v>
      </c>
      <c r="Q2294" s="12" t="s">
        <v>11917</v>
      </c>
      <c r="R2294" s="8" t="s">
        <v>555</v>
      </c>
      <c r="S2294" s="7" t="s">
        <v>28</v>
      </c>
      <c r="T2294" s="6"/>
      <c r="U2294" s="8"/>
      <c r="V2294" s="8"/>
      <c r="W2294" s="8"/>
      <c r="X2294" s="8"/>
    </row>
    <row r="2295" spans="1:39" ht="13" customHeight="1">
      <c r="A2295" s="8" t="s">
        <v>11918</v>
      </c>
      <c r="B2295" s="16">
        <v>28</v>
      </c>
      <c r="C2295" s="8" t="s">
        <v>20</v>
      </c>
      <c r="D2295" s="8" t="s">
        <v>37</v>
      </c>
      <c r="E2295" s="8" t="s">
        <v>11919</v>
      </c>
      <c r="F2295" s="17">
        <v>41667</v>
      </c>
      <c r="G2295" s="8" t="s">
        <v>11920</v>
      </c>
      <c r="H2295" s="8" t="s">
        <v>864</v>
      </c>
      <c r="I2295" s="8" t="s">
        <v>44</v>
      </c>
      <c r="J2295" s="16" t="s">
        <v>11921</v>
      </c>
      <c r="K2295" s="2" t="s">
        <v>864</v>
      </c>
      <c r="L2295" s="8" t="s">
        <v>865</v>
      </c>
      <c r="M2295" s="8" t="s">
        <v>27</v>
      </c>
      <c r="N2295" s="2" t="s">
        <v>11922</v>
      </c>
      <c r="O2295" s="8" t="s">
        <v>550</v>
      </c>
      <c r="P2295" s="8" t="s">
        <v>401</v>
      </c>
      <c r="Q2295" s="12" t="s">
        <v>11923</v>
      </c>
      <c r="R2295" s="8" t="s">
        <v>555</v>
      </c>
      <c r="S2295" s="7" t="s">
        <v>28</v>
      </c>
      <c r="T2295" s="6"/>
      <c r="U2295" s="8"/>
    </row>
    <row r="2296" spans="1:39" ht="13" customHeight="1">
      <c r="A2296" s="8" t="s">
        <v>11924</v>
      </c>
      <c r="B2296" s="16">
        <v>56</v>
      </c>
      <c r="C2296" s="8" t="s">
        <v>20</v>
      </c>
      <c r="D2296" s="8" t="s">
        <v>85</v>
      </c>
      <c r="E2296" s="8" t="s">
        <v>11925</v>
      </c>
      <c r="F2296" s="17">
        <v>41666</v>
      </c>
      <c r="G2296" s="8" t="s">
        <v>11926</v>
      </c>
      <c r="H2296" s="8" t="s">
        <v>11927</v>
      </c>
      <c r="I2296" s="8" t="s">
        <v>404</v>
      </c>
      <c r="J2296" s="16" t="s">
        <v>11928</v>
      </c>
      <c r="K2296" s="2" t="s">
        <v>1639</v>
      </c>
      <c r="L2296" s="8" t="s">
        <v>11929</v>
      </c>
      <c r="M2296" s="8" t="s">
        <v>27</v>
      </c>
      <c r="N2296" s="2" t="s">
        <v>11930</v>
      </c>
      <c r="O2296" s="8" t="s">
        <v>1013</v>
      </c>
      <c r="P2296" s="8" t="s">
        <v>401</v>
      </c>
      <c r="Q2296" s="12" t="s">
        <v>11931</v>
      </c>
      <c r="R2296" s="8" t="s">
        <v>29</v>
      </c>
      <c r="S2296" s="7" t="s">
        <v>28</v>
      </c>
      <c r="T2296" s="6"/>
      <c r="U2296" s="8"/>
    </row>
    <row r="2297" spans="1:39" ht="13" customHeight="1">
      <c r="A2297" s="8" t="s">
        <v>11932</v>
      </c>
      <c r="B2297" s="16">
        <v>39</v>
      </c>
      <c r="C2297" s="8" t="s">
        <v>20</v>
      </c>
      <c r="D2297" s="8" t="s">
        <v>48</v>
      </c>
      <c r="F2297" s="17">
        <v>41666</v>
      </c>
      <c r="G2297" s="8" t="s">
        <v>11933</v>
      </c>
      <c r="H2297" s="8" t="s">
        <v>5335</v>
      </c>
      <c r="I2297" s="8" t="s">
        <v>45</v>
      </c>
      <c r="J2297" s="16" t="s">
        <v>11934</v>
      </c>
      <c r="K2297" s="2" t="s">
        <v>786</v>
      </c>
      <c r="L2297" s="8" t="s">
        <v>787</v>
      </c>
      <c r="M2297" s="8" t="s">
        <v>27</v>
      </c>
      <c r="N2297" s="2" t="s">
        <v>11935</v>
      </c>
      <c r="O2297" s="8" t="s">
        <v>1013</v>
      </c>
      <c r="P2297" s="8" t="s">
        <v>401</v>
      </c>
      <c r="Q2297" s="12" t="s">
        <v>11936</v>
      </c>
      <c r="R2297" s="8" t="s">
        <v>100</v>
      </c>
      <c r="S2297" s="7" t="s">
        <v>18</v>
      </c>
      <c r="T2297" s="6"/>
      <c r="U2297" s="8"/>
    </row>
    <row r="2298" spans="1:39" ht="13" customHeight="1">
      <c r="A2298" s="8" t="s">
        <v>11937</v>
      </c>
      <c r="B2298" s="16">
        <v>45</v>
      </c>
      <c r="C2298" s="8" t="s">
        <v>20</v>
      </c>
      <c r="D2298" s="8" t="s">
        <v>30</v>
      </c>
      <c r="E2298" s="8" t="s">
        <v>11938</v>
      </c>
      <c r="F2298" s="17">
        <v>41666</v>
      </c>
      <c r="G2298" s="8" t="s">
        <v>11939</v>
      </c>
      <c r="H2298" s="8" t="s">
        <v>11940</v>
      </c>
      <c r="I2298" s="8" t="s">
        <v>32</v>
      </c>
      <c r="J2298" s="16" t="s">
        <v>11941</v>
      </c>
      <c r="K2298" s="2" t="s">
        <v>11940</v>
      </c>
      <c r="L2298" s="8" t="s">
        <v>11942</v>
      </c>
      <c r="M2298" s="8" t="s">
        <v>27</v>
      </c>
      <c r="N2298" s="2" t="s">
        <v>11943</v>
      </c>
      <c r="O2298" s="8" t="s">
        <v>29</v>
      </c>
      <c r="P2298" s="8" t="s">
        <v>401</v>
      </c>
      <c r="Q2298" s="12" t="s">
        <v>11944</v>
      </c>
      <c r="R2298" s="8" t="s">
        <v>555</v>
      </c>
      <c r="S2298" s="7" t="s">
        <v>18</v>
      </c>
      <c r="T2298" s="6"/>
      <c r="U2298" s="8"/>
    </row>
    <row r="2299" spans="1:39" ht="13" customHeight="1">
      <c r="A2299" s="8" t="s">
        <v>11945</v>
      </c>
      <c r="B2299" s="16">
        <v>21</v>
      </c>
      <c r="C2299" s="8" t="s">
        <v>20</v>
      </c>
      <c r="D2299" s="8" t="s">
        <v>85</v>
      </c>
      <c r="F2299" s="17">
        <v>41665</v>
      </c>
      <c r="G2299" s="8" t="s">
        <v>11946</v>
      </c>
      <c r="H2299" s="8" t="s">
        <v>11947</v>
      </c>
      <c r="I2299" s="8" t="s">
        <v>209</v>
      </c>
      <c r="J2299" s="16" t="s">
        <v>11948</v>
      </c>
      <c r="K2299" s="2" t="s">
        <v>1927</v>
      </c>
      <c r="L2299" s="8" t="s">
        <v>11949</v>
      </c>
      <c r="M2299" s="8" t="s">
        <v>27</v>
      </c>
      <c r="N2299" s="2" t="s">
        <v>11950</v>
      </c>
      <c r="O2299" s="8" t="s">
        <v>550</v>
      </c>
      <c r="P2299" s="8" t="s">
        <v>401</v>
      </c>
      <c r="Q2299" s="12" t="s">
        <v>11951</v>
      </c>
      <c r="R2299" s="8" t="s">
        <v>100</v>
      </c>
      <c r="S2299" s="7" t="s">
        <v>28</v>
      </c>
      <c r="T2299" s="6"/>
      <c r="U2299" s="8"/>
    </row>
    <row r="2300" spans="1:39" ht="13" customHeight="1">
      <c r="A2300" s="8" t="s">
        <v>11952</v>
      </c>
      <c r="B2300" s="16">
        <v>27</v>
      </c>
      <c r="C2300" s="8" t="s">
        <v>20</v>
      </c>
      <c r="D2300" s="8" t="s">
        <v>37</v>
      </c>
      <c r="E2300" s="8" t="s">
        <v>11953</v>
      </c>
      <c r="F2300" s="17">
        <v>41665</v>
      </c>
      <c r="G2300" s="8" t="s">
        <v>11954</v>
      </c>
      <c r="H2300" s="8" t="s">
        <v>11955</v>
      </c>
      <c r="I2300" s="8" t="s">
        <v>45</v>
      </c>
      <c r="J2300" s="16" t="s">
        <v>11956</v>
      </c>
      <c r="K2300" s="2" t="s">
        <v>156</v>
      </c>
      <c r="L2300" s="8" t="s">
        <v>157</v>
      </c>
      <c r="M2300" s="8" t="s">
        <v>27</v>
      </c>
      <c r="N2300" s="2" t="s">
        <v>11957</v>
      </c>
      <c r="O2300" s="8" t="s">
        <v>1013</v>
      </c>
      <c r="P2300" s="8" t="s">
        <v>401</v>
      </c>
      <c r="Q2300" s="12" t="s">
        <v>11958</v>
      </c>
      <c r="R2300" s="8" t="s">
        <v>100</v>
      </c>
      <c r="S2300" s="7" t="s">
        <v>28</v>
      </c>
      <c r="T2300" s="6"/>
      <c r="U2300" s="8"/>
    </row>
    <row r="2301" spans="1:39" ht="13" customHeight="1">
      <c r="A2301" s="8" t="s">
        <v>11959</v>
      </c>
      <c r="B2301" s="16">
        <v>43</v>
      </c>
      <c r="C2301" s="8" t="s">
        <v>20</v>
      </c>
      <c r="D2301" s="8" t="s">
        <v>21</v>
      </c>
      <c r="E2301" s="8" t="s">
        <v>11960</v>
      </c>
      <c r="F2301" s="17">
        <v>41664</v>
      </c>
      <c r="G2301" s="8" t="s">
        <v>11961</v>
      </c>
      <c r="H2301" s="8" t="s">
        <v>408</v>
      </c>
      <c r="I2301" s="8" t="s">
        <v>45</v>
      </c>
      <c r="J2301" s="16" t="s">
        <v>11962</v>
      </c>
      <c r="K2301" s="2" t="s">
        <v>1765</v>
      </c>
      <c r="L2301" s="8" t="s">
        <v>409</v>
      </c>
      <c r="M2301" s="8" t="s">
        <v>27</v>
      </c>
      <c r="N2301" s="2" t="s">
        <v>11963</v>
      </c>
      <c r="O2301" s="8" t="s">
        <v>1013</v>
      </c>
      <c r="P2301" s="8" t="s">
        <v>401</v>
      </c>
      <c r="Q2301" s="12" t="s">
        <v>11964</v>
      </c>
      <c r="R2301" s="8" t="s">
        <v>555</v>
      </c>
      <c r="S2301" s="7" t="s">
        <v>28</v>
      </c>
      <c r="T2301" s="6"/>
      <c r="U2301" s="8"/>
      <c r="AI2301" s="8"/>
      <c r="AJ2301" s="8"/>
      <c r="AK2301" s="8"/>
      <c r="AL2301" s="8"/>
      <c r="AM2301" s="8"/>
    </row>
    <row r="2302" spans="1:39" ht="13" customHeight="1">
      <c r="A2302" s="8" t="s">
        <v>11965</v>
      </c>
      <c r="B2302" s="16">
        <v>35</v>
      </c>
      <c r="C2302" s="8" t="s">
        <v>20</v>
      </c>
      <c r="D2302" s="8" t="s">
        <v>37</v>
      </c>
      <c r="E2302" s="8" t="s">
        <v>11966</v>
      </c>
      <c r="F2302" s="17">
        <v>41664</v>
      </c>
      <c r="G2302" s="8" t="s">
        <v>11967</v>
      </c>
      <c r="H2302" s="8" t="s">
        <v>11968</v>
      </c>
      <c r="I2302" s="8" t="s">
        <v>395</v>
      </c>
      <c r="J2302" s="16" t="s">
        <v>11969</v>
      </c>
      <c r="K2302" s="2" t="s">
        <v>1098</v>
      </c>
      <c r="L2302" s="8" t="s">
        <v>2048</v>
      </c>
      <c r="M2302" s="8" t="s">
        <v>27</v>
      </c>
      <c r="N2302" s="2" t="s">
        <v>11970</v>
      </c>
      <c r="O2302" s="8" t="s">
        <v>550</v>
      </c>
      <c r="P2302" s="8" t="s">
        <v>401</v>
      </c>
      <c r="Q2302" s="12" t="s">
        <v>11971</v>
      </c>
      <c r="R2302" s="8" t="s">
        <v>100</v>
      </c>
      <c r="S2302" s="7" t="s">
        <v>28</v>
      </c>
      <c r="T2302" s="6"/>
      <c r="U2302" s="8"/>
    </row>
    <row r="2303" spans="1:39" ht="13" customHeight="1">
      <c r="A2303" s="8" t="s">
        <v>11972</v>
      </c>
      <c r="B2303" s="16">
        <v>44</v>
      </c>
      <c r="C2303" s="8" t="s">
        <v>20</v>
      </c>
      <c r="D2303" s="8" t="s">
        <v>30</v>
      </c>
      <c r="F2303" s="17">
        <v>41663</v>
      </c>
      <c r="G2303" s="8" t="s">
        <v>11973</v>
      </c>
      <c r="H2303" s="8" t="s">
        <v>11974</v>
      </c>
      <c r="I2303" s="8" t="s">
        <v>117</v>
      </c>
      <c r="J2303" s="16" t="s">
        <v>11975</v>
      </c>
      <c r="K2303" s="2" t="s">
        <v>1259</v>
      </c>
      <c r="L2303" s="8" t="s">
        <v>2055</v>
      </c>
      <c r="M2303" s="8" t="s">
        <v>14474</v>
      </c>
      <c r="N2303" s="2" t="s">
        <v>11976</v>
      </c>
      <c r="O2303" s="8" t="s">
        <v>1013</v>
      </c>
      <c r="P2303" s="8" t="s">
        <v>401</v>
      </c>
      <c r="Q2303" s="12" t="s">
        <v>11977</v>
      </c>
      <c r="R2303" s="8" t="s">
        <v>967</v>
      </c>
      <c r="S2303" s="7" t="s">
        <v>28</v>
      </c>
      <c r="T2303" s="6"/>
      <c r="U2303" s="8"/>
    </row>
    <row r="2304" spans="1:39" ht="13" customHeight="1">
      <c r="A2304" s="8" t="s">
        <v>11985</v>
      </c>
      <c r="B2304" s="16">
        <v>29</v>
      </c>
      <c r="C2304" s="8" t="s">
        <v>20</v>
      </c>
      <c r="D2304" s="8" t="s">
        <v>37</v>
      </c>
      <c r="E2304" s="8" t="s">
        <v>11986</v>
      </c>
      <c r="F2304" s="17">
        <v>41663</v>
      </c>
      <c r="G2304" s="8" t="s">
        <v>11987</v>
      </c>
      <c r="H2304" s="8" t="s">
        <v>11153</v>
      </c>
      <c r="I2304" s="8" t="s">
        <v>45</v>
      </c>
      <c r="J2304" s="16" t="s">
        <v>11988</v>
      </c>
      <c r="K2304" s="2" t="s">
        <v>7621</v>
      </c>
      <c r="L2304" s="8" t="s">
        <v>11989</v>
      </c>
      <c r="M2304" s="8" t="s">
        <v>27</v>
      </c>
      <c r="N2304" s="2" t="s">
        <v>11990</v>
      </c>
      <c r="O2304" s="8" t="s">
        <v>1013</v>
      </c>
      <c r="P2304" s="8" t="s">
        <v>401</v>
      </c>
      <c r="Q2304" s="12" t="s">
        <v>11991</v>
      </c>
      <c r="R2304" s="8" t="s">
        <v>100</v>
      </c>
      <c r="S2304" s="7" t="s">
        <v>28</v>
      </c>
      <c r="T2304" s="6"/>
      <c r="U2304" s="8"/>
      <c r="V2304" s="8"/>
      <c r="W2304" s="8"/>
      <c r="X2304" s="8"/>
    </row>
    <row r="2305" spans="1:34" ht="13" customHeight="1">
      <c r="A2305" s="8" t="s">
        <v>11978</v>
      </c>
      <c r="B2305" s="16">
        <v>53</v>
      </c>
      <c r="C2305" s="8" t="s">
        <v>20</v>
      </c>
      <c r="D2305" s="8" t="s">
        <v>37</v>
      </c>
      <c r="E2305" s="8" t="s">
        <v>11979</v>
      </c>
      <c r="F2305" s="17">
        <v>41663</v>
      </c>
      <c r="G2305" s="8" t="s">
        <v>11980</v>
      </c>
      <c r="H2305" s="8" t="s">
        <v>11981</v>
      </c>
      <c r="I2305" s="8" t="s">
        <v>32</v>
      </c>
      <c r="J2305" s="16" t="s">
        <v>11982</v>
      </c>
      <c r="K2305" s="2" t="s">
        <v>1579</v>
      </c>
      <c r="L2305" s="8" t="s">
        <v>11983</v>
      </c>
      <c r="M2305" s="8" t="s">
        <v>27</v>
      </c>
      <c r="N2305" s="2" t="s">
        <v>11984</v>
      </c>
      <c r="O2305" s="8" t="s">
        <v>1013</v>
      </c>
      <c r="P2305" s="8" t="s">
        <v>401</v>
      </c>
      <c r="Q2305" s="12" t="str">
        <f>HYPERLINK("http://www.goupstate.com/article/20140124/ARTICLES/140129757?p=1&amp;tc=pg","http://www.goupstate.com/article/20140124/ARTICLES/140129757?p=1&amp;tc=pg")</f>
        <v>http://www.goupstate.com/article/20140124/ARTICLES/140129757?p=1&amp;tc=pg</v>
      </c>
      <c r="R2305" s="8" t="s">
        <v>29</v>
      </c>
      <c r="S2305" s="7" t="s">
        <v>28</v>
      </c>
      <c r="T2305" s="6"/>
      <c r="U2305" s="8"/>
    </row>
    <row r="2306" spans="1:34" ht="13" customHeight="1">
      <c r="A2306" s="8" t="s">
        <v>3267</v>
      </c>
      <c r="B2306" s="16" t="s">
        <v>29</v>
      </c>
      <c r="C2306" s="8" t="s">
        <v>20</v>
      </c>
      <c r="D2306" s="8" t="s">
        <v>85</v>
      </c>
      <c r="F2306" s="17">
        <v>41662</v>
      </c>
      <c r="G2306" s="8" t="s">
        <v>11992</v>
      </c>
      <c r="H2306" s="8" t="s">
        <v>726</v>
      </c>
      <c r="I2306" s="8" t="s">
        <v>73</v>
      </c>
      <c r="J2306" s="16" t="s">
        <v>2937</v>
      </c>
      <c r="K2306" s="2" t="s">
        <v>558</v>
      </c>
      <c r="L2306" s="8" t="s">
        <v>727</v>
      </c>
      <c r="M2306" s="8" t="s">
        <v>27</v>
      </c>
      <c r="N2306" s="2" t="s">
        <v>11993</v>
      </c>
      <c r="O2306" s="8" t="s">
        <v>1013</v>
      </c>
      <c r="P2306" s="8" t="s">
        <v>401</v>
      </c>
      <c r="Q2306" s="12" t="s">
        <v>11994</v>
      </c>
      <c r="R2306" s="8" t="s">
        <v>100</v>
      </c>
      <c r="S2306" s="7" t="s">
        <v>28</v>
      </c>
      <c r="T2306" s="6"/>
      <c r="U2306" s="8"/>
    </row>
    <row r="2307" spans="1:34" ht="13" customHeight="1">
      <c r="A2307" s="8" t="s">
        <v>11995</v>
      </c>
      <c r="B2307" s="16">
        <v>43</v>
      </c>
      <c r="C2307" s="8" t="s">
        <v>20</v>
      </c>
      <c r="D2307" s="8" t="s">
        <v>37</v>
      </c>
      <c r="E2307" s="8" t="s">
        <v>11996</v>
      </c>
      <c r="F2307" s="17">
        <v>41661</v>
      </c>
      <c r="G2307" s="8" t="s">
        <v>11997</v>
      </c>
      <c r="H2307" s="8" t="s">
        <v>11998</v>
      </c>
      <c r="I2307" s="8" t="s">
        <v>315</v>
      </c>
      <c r="J2307" s="16" t="s">
        <v>11999</v>
      </c>
      <c r="K2307" s="2" t="s">
        <v>1873</v>
      </c>
      <c r="L2307" s="8" t="s">
        <v>3385</v>
      </c>
      <c r="M2307" s="8" t="s">
        <v>27</v>
      </c>
      <c r="N2307" s="2" t="s">
        <v>12000</v>
      </c>
      <c r="O2307" s="8" t="s">
        <v>1013</v>
      </c>
      <c r="P2307" s="8" t="s">
        <v>401</v>
      </c>
      <c r="Q2307" s="12" t="s">
        <v>12001</v>
      </c>
      <c r="R2307" s="8" t="s">
        <v>100</v>
      </c>
      <c r="S2307" s="7" t="s">
        <v>28</v>
      </c>
      <c r="T2307" s="6"/>
      <c r="U2307" s="8"/>
    </row>
    <row r="2308" spans="1:34" ht="13" customHeight="1">
      <c r="A2308" s="8" t="s">
        <v>12002</v>
      </c>
      <c r="B2308" s="16">
        <v>31</v>
      </c>
      <c r="C2308" s="8" t="s">
        <v>20</v>
      </c>
      <c r="D2308" s="8" t="s">
        <v>85</v>
      </c>
      <c r="E2308" s="8" t="s">
        <v>12003</v>
      </c>
      <c r="F2308" s="17">
        <v>41660</v>
      </c>
      <c r="G2308" s="8" t="s">
        <v>12004</v>
      </c>
      <c r="H2308" s="8" t="s">
        <v>3457</v>
      </c>
      <c r="I2308" s="8" t="s">
        <v>25</v>
      </c>
      <c r="J2308" s="16" t="s">
        <v>3458</v>
      </c>
      <c r="K2308" s="2" t="s">
        <v>1781</v>
      </c>
      <c r="L2308" s="8" t="s">
        <v>12005</v>
      </c>
      <c r="M2308" s="8" t="s">
        <v>27</v>
      </c>
      <c r="N2308" s="2" t="s">
        <v>12006</v>
      </c>
      <c r="O2308" s="8" t="s">
        <v>1013</v>
      </c>
      <c r="P2308" s="8" t="s">
        <v>401</v>
      </c>
      <c r="Q2308" s="12" t="s">
        <v>12007</v>
      </c>
      <c r="R2308" s="8" t="s">
        <v>100</v>
      </c>
      <c r="S2308" s="7" t="s">
        <v>379</v>
      </c>
      <c r="T2308" s="6"/>
      <c r="U2308" s="8"/>
    </row>
    <row r="2309" spans="1:34" ht="13" customHeight="1">
      <c r="A2309" s="8" t="s">
        <v>12008</v>
      </c>
      <c r="B2309" s="16">
        <v>19</v>
      </c>
      <c r="C2309" s="8" t="s">
        <v>20</v>
      </c>
      <c r="D2309" s="8" t="s">
        <v>48</v>
      </c>
      <c r="F2309" s="17">
        <v>41660</v>
      </c>
      <c r="G2309" s="8" t="s">
        <v>12009</v>
      </c>
      <c r="H2309" s="8" t="s">
        <v>603</v>
      </c>
      <c r="I2309" s="8" t="s">
        <v>45</v>
      </c>
      <c r="J2309" s="16" t="s">
        <v>12010</v>
      </c>
      <c r="K2309" s="2" t="s">
        <v>604</v>
      </c>
      <c r="L2309" s="8" t="s">
        <v>960</v>
      </c>
      <c r="M2309" s="8" t="s">
        <v>27</v>
      </c>
      <c r="N2309" s="2" t="s">
        <v>12011</v>
      </c>
      <c r="O2309" s="8" t="s">
        <v>1013</v>
      </c>
      <c r="P2309" s="8" t="s">
        <v>401</v>
      </c>
      <c r="Q2309" s="12" t="s">
        <v>12012</v>
      </c>
      <c r="R2309" s="8" t="s">
        <v>100</v>
      </c>
      <c r="S2309" s="7" t="s">
        <v>28</v>
      </c>
      <c r="T2309" s="6"/>
      <c r="U2309" s="8"/>
    </row>
    <row r="2310" spans="1:34" ht="13" customHeight="1">
      <c r="A2310" s="8" t="s">
        <v>12013</v>
      </c>
      <c r="B2310" s="16">
        <v>21</v>
      </c>
      <c r="C2310" s="8" t="s">
        <v>20</v>
      </c>
      <c r="D2310" s="8" t="s">
        <v>48</v>
      </c>
      <c r="F2310" s="17">
        <v>41660</v>
      </c>
      <c r="G2310" s="8" t="s">
        <v>12014</v>
      </c>
      <c r="H2310" s="8" t="s">
        <v>603</v>
      </c>
      <c r="I2310" s="8" t="s">
        <v>45</v>
      </c>
      <c r="J2310" s="16" t="s">
        <v>12010</v>
      </c>
      <c r="K2310" s="2" t="s">
        <v>604</v>
      </c>
      <c r="L2310" s="8" t="s">
        <v>960</v>
      </c>
      <c r="M2310" s="8" t="s">
        <v>27</v>
      </c>
      <c r="N2310" s="2" t="s">
        <v>12015</v>
      </c>
      <c r="O2310" s="8" t="s">
        <v>1013</v>
      </c>
      <c r="P2310" s="8" t="s">
        <v>401</v>
      </c>
      <c r="Q2310" s="12" t="s">
        <v>12012</v>
      </c>
      <c r="R2310" s="8" t="s">
        <v>100</v>
      </c>
      <c r="S2310" s="7" t="s">
        <v>28</v>
      </c>
      <c r="T2310" s="6"/>
      <c r="U2310" s="8"/>
    </row>
    <row r="2311" spans="1:34" ht="13" customHeight="1">
      <c r="A2311" s="8" t="s">
        <v>12016</v>
      </c>
      <c r="B2311" s="16">
        <v>35</v>
      </c>
      <c r="C2311" s="8" t="s">
        <v>20</v>
      </c>
      <c r="D2311" s="8" t="s">
        <v>37</v>
      </c>
      <c r="E2311" s="8" t="s">
        <v>12017</v>
      </c>
      <c r="F2311" s="17">
        <v>41660</v>
      </c>
      <c r="G2311" s="8" t="s">
        <v>12018</v>
      </c>
      <c r="H2311" s="8" t="s">
        <v>12019</v>
      </c>
      <c r="I2311" s="8" t="s">
        <v>319</v>
      </c>
      <c r="J2311" s="16" t="s">
        <v>12020</v>
      </c>
      <c r="K2311" s="2" t="s">
        <v>12021</v>
      </c>
      <c r="L2311" s="8" t="s">
        <v>12022</v>
      </c>
      <c r="M2311" s="8" t="s">
        <v>27</v>
      </c>
      <c r="N2311" s="2" t="s">
        <v>12023</v>
      </c>
      <c r="O2311" s="8" t="s">
        <v>1013</v>
      </c>
      <c r="P2311" s="8" t="s">
        <v>401</v>
      </c>
      <c r="Q2311" s="12" t="str">
        <f>HYPERLINK("http://www.wdef.com/news/story/Sequatchie-Community-Mourns-Loss-Of-Josh-Layne/r6DlJk-F4kOv8aqGvHyA1g.cspx","http://www.wdef.com/news/story/Sequatchie-Community-Mourns-Loss-Of-Josh-Layne/r6DlJk-F4kOv8aqGvHyA1g.cspx")</f>
        <v>http://www.wdef.com/news/story/Sequatchie-Community-Mourns-Loss-Of-Josh-Layne/r6DlJk-F4kOv8aqGvHyA1g.cspx</v>
      </c>
      <c r="R2311" s="8" t="s">
        <v>100</v>
      </c>
      <c r="S2311" s="7" t="s">
        <v>28</v>
      </c>
      <c r="T2311" s="6"/>
      <c r="U2311" s="8"/>
    </row>
    <row r="2312" spans="1:34" ht="13" customHeight="1">
      <c r="A2312" s="8" t="s">
        <v>12024</v>
      </c>
      <c r="B2312" s="16">
        <v>42</v>
      </c>
      <c r="C2312" s="8" t="s">
        <v>20</v>
      </c>
      <c r="D2312" s="8" t="s">
        <v>37</v>
      </c>
      <c r="E2312" s="8" t="s">
        <v>12025</v>
      </c>
      <c r="F2312" s="17">
        <v>41660</v>
      </c>
      <c r="G2312" s="8" t="s">
        <v>12026</v>
      </c>
      <c r="H2312" s="8" t="s">
        <v>3566</v>
      </c>
      <c r="I2312" s="8" t="s">
        <v>45</v>
      </c>
      <c r="J2312" s="16" t="s">
        <v>10143</v>
      </c>
      <c r="K2312" s="2" t="s">
        <v>604</v>
      </c>
      <c r="L2312" s="8" t="s">
        <v>12027</v>
      </c>
      <c r="M2312" s="8" t="s">
        <v>27</v>
      </c>
      <c r="N2312" s="2" t="s">
        <v>21464</v>
      </c>
      <c r="O2312" s="8" t="s">
        <v>3400</v>
      </c>
      <c r="P2312" s="8" t="s">
        <v>401</v>
      </c>
      <c r="Q2312" s="12" t="s">
        <v>12028</v>
      </c>
      <c r="R2312" s="8" t="s">
        <v>100</v>
      </c>
      <c r="S2312" s="7" t="s">
        <v>18</v>
      </c>
      <c r="T2312" s="6"/>
      <c r="U2312" s="8"/>
    </row>
    <row r="2313" spans="1:34" ht="13" customHeight="1">
      <c r="A2313" s="8" t="s">
        <v>12029</v>
      </c>
      <c r="B2313" s="16" t="s">
        <v>29</v>
      </c>
      <c r="C2313" s="8" t="s">
        <v>20</v>
      </c>
      <c r="D2313" s="8" t="s">
        <v>30</v>
      </c>
      <c r="F2313" s="17">
        <v>41659</v>
      </c>
      <c r="G2313" s="8" t="s">
        <v>12030</v>
      </c>
      <c r="H2313" s="8" t="s">
        <v>12031</v>
      </c>
      <c r="I2313" s="8" t="s">
        <v>94</v>
      </c>
      <c r="J2313" s="16" t="s">
        <v>12032</v>
      </c>
      <c r="K2313" s="2" t="s">
        <v>3729</v>
      </c>
      <c r="L2313" s="8" t="s">
        <v>12033</v>
      </c>
      <c r="M2313" s="8" t="s">
        <v>27</v>
      </c>
      <c r="N2313" s="2" t="s">
        <v>12034</v>
      </c>
      <c r="O2313" s="8" t="s">
        <v>1013</v>
      </c>
      <c r="P2313" s="8" t="s">
        <v>401</v>
      </c>
      <c r="Q2313" s="12" t="s">
        <v>12035</v>
      </c>
      <c r="R2313" s="8" t="s">
        <v>100</v>
      </c>
      <c r="S2313" s="7" t="s">
        <v>28</v>
      </c>
      <c r="T2313" s="6"/>
      <c r="U2313" s="8"/>
    </row>
    <row r="2314" spans="1:34" ht="13" customHeight="1">
      <c r="A2314" s="8" t="s">
        <v>12041</v>
      </c>
      <c r="B2314" s="16">
        <v>54</v>
      </c>
      <c r="C2314" s="8" t="s">
        <v>20</v>
      </c>
      <c r="D2314" s="8" t="s">
        <v>37</v>
      </c>
      <c r="E2314" s="8" t="s">
        <v>12042</v>
      </c>
      <c r="F2314" s="17">
        <v>41659</v>
      </c>
      <c r="G2314" s="8" t="s">
        <v>12043</v>
      </c>
      <c r="H2314" s="8" t="s">
        <v>216</v>
      </c>
      <c r="I2314" s="8" t="s">
        <v>217</v>
      </c>
      <c r="J2314" s="16" t="s">
        <v>12044</v>
      </c>
      <c r="K2314" s="2" t="s">
        <v>420</v>
      </c>
      <c r="L2314" s="8" t="s">
        <v>218</v>
      </c>
      <c r="M2314" s="8" t="s">
        <v>27</v>
      </c>
      <c r="N2314" s="2" t="s">
        <v>12045</v>
      </c>
      <c r="O2314" s="8" t="s">
        <v>1013</v>
      </c>
      <c r="P2314" s="8" t="s">
        <v>401</v>
      </c>
      <c r="Q2314" s="12" t="s">
        <v>12046</v>
      </c>
      <c r="R2314" s="8" t="s">
        <v>29</v>
      </c>
      <c r="S2314" s="7" t="s">
        <v>28</v>
      </c>
      <c r="T2314" s="6"/>
      <c r="U2314" s="8"/>
    </row>
    <row r="2315" spans="1:34" ht="13" customHeight="1">
      <c r="A2315" s="8" t="s">
        <v>12036</v>
      </c>
      <c r="B2315" s="16">
        <v>36</v>
      </c>
      <c r="C2315" s="8" t="s">
        <v>20</v>
      </c>
      <c r="D2315" s="8" t="s">
        <v>37</v>
      </c>
      <c r="E2315" s="8" t="s">
        <v>12037</v>
      </c>
      <c r="F2315" s="17">
        <v>41659</v>
      </c>
      <c r="G2315" s="8" t="s">
        <v>12038</v>
      </c>
      <c r="H2315" s="8" t="s">
        <v>1211</v>
      </c>
      <c r="I2315" s="8" t="s">
        <v>303</v>
      </c>
      <c r="J2315" s="16" t="s">
        <v>8907</v>
      </c>
      <c r="K2315" s="2" t="s">
        <v>1212</v>
      </c>
      <c r="L2315" s="8" t="s">
        <v>1213</v>
      </c>
      <c r="M2315" s="8" t="s">
        <v>27</v>
      </c>
      <c r="N2315" s="2" t="s">
        <v>12039</v>
      </c>
      <c r="O2315" s="8" t="s">
        <v>1013</v>
      </c>
      <c r="P2315" s="8" t="s">
        <v>401</v>
      </c>
      <c r="Q2315" s="12" t="s">
        <v>12040</v>
      </c>
      <c r="R2315" s="8" t="s">
        <v>967</v>
      </c>
      <c r="S2315" s="7" t="s">
        <v>18</v>
      </c>
      <c r="T2315" s="6"/>
      <c r="U2315" s="8"/>
    </row>
    <row r="2316" spans="1:34" ht="13" customHeight="1">
      <c r="A2316" s="8" t="s">
        <v>12047</v>
      </c>
      <c r="B2316" s="16">
        <v>41</v>
      </c>
      <c r="C2316" s="8" t="s">
        <v>20</v>
      </c>
      <c r="D2316" s="8" t="s">
        <v>37</v>
      </c>
      <c r="E2316" s="8" t="s">
        <v>12048</v>
      </c>
      <c r="F2316" s="17">
        <v>41658</v>
      </c>
      <c r="G2316" s="8" t="s">
        <v>12049</v>
      </c>
      <c r="H2316" s="8" t="s">
        <v>12050</v>
      </c>
      <c r="I2316" s="8" t="s">
        <v>404</v>
      </c>
      <c r="J2316" s="16" t="s">
        <v>12051</v>
      </c>
      <c r="K2316" s="2" t="s">
        <v>12052</v>
      </c>
      <c r="L2316" s="8" t="s">
        <v>9400</v>
      </c>
      <c r="M2316" s="8" t="s">
        <v>27</v>
      </c>
      <c r="N2316" s="2" t="s">
        <v>12053</v>
      </c>
      <c r="O2316" s="8" t="s">
        <v>1013</v>
      </c>
      <c r="P2316" s="8" t="s">
        <v>401</v>
      </c>
      <c r="Q2316" s="12" t="s">
        <v>12054</v>
      </c>
      <c r="R2316" s="8" t="s">
        <v>29</v>
      </c>
      <c r="S2316" s="7" t="s">
        <v>28</v>
      </c>
      <c r="T2316" s="6"/>
      <c r="U2316" s="8"/>
    </row>
    <row r="2317" spans="1:34" ht="13" customHeight="1">
      <c r="A2317" s="8" t="s">
        <v>12055</v>
      </c>
      <c r="B2317" s="16">
        <v>23</v>
      </c>
      <c r="C2317" s="8" t="s">
        <v>20</v>
      </c>
      <c r="D2317" s="8" t="s">
        <v>37</v>
      </c>
      <c r="E2317" s="8" t="s">
        <v>12056</v>
      </c>
      <c r="F2317" s="17">
        <v>41657</v>
      </c>
      <c r="G2317" s="8" t="s">
        <v>12057</v>
      </c>
      <c r="H2317" s="8" t="s">
        <v>4915</v>
      </c>
      <c r="I2317" s="8" t="s">
        <v>69</v>
      </c>
      <c r="J2317" s="16" t="s">
        <v>12058</v>
      </c>
      <c r="K2317" s="2" t="s">
        <v>5552</v>
      </c>
      <c r="L2317" s="8" t="s">
        <v>12059</v>
      </c>
      <c r="M2317" s="8" t="s">
        <v>27</v>
      </c>
      <c r="N2317" s="2" t="s">
        <v>12060</v>
      </c>
      <c r="O2317" s="8" t="s">
        <v>550</v>
      </c>
      <c r="P2317" s="8" t="s">
        <v>401</v>
      </c>
      <c r="Q2317" s="12" t="s">
        <v>12061</v>
      </c>
      <c r="R2317" s="8" t="s">
        <v>555</v>
      </c>
      <c r="S2317" s="7" t="s">
        <v>18</v>
      </c>
      <c r="T2317" s="6"/>
      <c r="U2317" s="8"/>
    </row>
    <row r="2318" spans="1:34" ht="13" customHeight="1">
      <c r="A2318" s="8" t="s">
        <v>12062</v>
      </c>
      <c r="B2318" s="16">
        <v>31</v>
      </c>
      <c r="C2318" s="8" t="s">
        <v>20</v>
      </c>
      <c r="D2318" s="8" t="s">
        <v>48</v>
      </c>
      <c r="F2318" s="17">
        <v>41656</v>
      </c>
      <c r="I2318" s="8" t="s">
        <v>123</v>
      </c>
      <c r="J2318" s="16">
        <v>85607</v>
      </c>
      <c r="K2318" s="2" t="s">
        <v>124</v>
      </c>
      <c r="L2318" s="8" t="s">
        <v>4762</v>
      </c>
      <c r="M2318" s="8" t="s">
        <v>27</v>
      </c>
      <c r="N2318" s="2" t="s">
        <v>12063</v>
      </c>
      <c r="P2318" s="8" t="s">
        <v>401</v>
      </c>
      <c r="Q2318" s="12" t="s">
        <v>12064</v>
      </c>
      <c r="S2318" s="7" t="s">
        <v>18</v>
      </c>
      <c r="T2318" s="6"/>
      <c r="U2318" s="8"/>
    </row>
    <row r="2319" spans="1:34" ht="13" customHeight="1">
      <c r="A2319" s="8" t="s">
        <v>12070</v>
      </c>
      <c r="B2319" s="16">
        <v>19</v>
      </c>
      <c r="C2319" s="8" t="s">
        <v>20</v>
      </c>
      <c r="D2319" s="8" t="s">
        <v>85</v>
      </c>
      <c r="E2319" s="8" t="s">
        <v>12071</v>
      </c>
      <c r="F2319" s="17">
        <v>41655</v>
      </c>
      <c r="G2319" s="8" t="s">
        <v>12072</v>
      </c>
      <c r="H2319" s="8" t="s">
        <v>819</v>
      </c>
      <c r="I2319" s="8" t="s">
        <v>395</v>
      </c>
      <c r="J2319" s="16" t="s">
        <v>7682</v>
      </c>
      <c r="K2319" s="2" t="s">
        <v>820</v>
      </c>
      <c r="L2319" s="8" t="s">
        <v>821</v>
      </c>
      <c r="M2319" s="8" t="s">
        <v>27</v>
      </c>
      <c r="N2319" s="2" t="s">
        <v>12073</v>
      </c>
      <c r="O2319" s="8" t="s">
        <v>550</v>
      </c>
      <c r="P2319" s="8" t="s">
        <v>401</v>
      </c>
      <c r="Q2319" s="12" t="s">
        <v>12074</v>
      </c>
      <c r="R2319" s="8" t="s">
        <v>100</v>
      </c>
      <c r="S2319" s="7" t="s">
        <v>28</v>
      </c>
      <c r="T2319" s="6"/>
      <c r="U2319" s="8"/>
      <c r="Y2319" s="8"/>
      <c r="Z2319" s="8"/>
      <c r="AA2319" s="8"/>
      <c r="AB2319" s="8"/>
      <c r="AC2319" s="8"/>
      <c r="AD2319" s="8"/>
      <c r="AE2319" s="8"/>
      <c r="AF2319" s="8"/>
      <c r="AG2319" s="8"/>
      <c r="AH2319" s="8"/>
    </row>
    <row r="2320" spans="1:34" ht="13" customHeight="1">
      <c r="A2320" s="8" t="s">
        <v>12065</v>
      </c>
      <c r="B2320" s="16">
        <v>26</v>
      </c>
      <c r="C2320" s="8" t="s">
        <v>20</v>
      </c>
      <c r="D2320" s="8" t="s">
        <v>85</v>
      </c>
      <c r="E2320" s="8" t="s">
        <v>12066</v>
      </c>
      <c r="F2320" s="17">
        <v>41655</v>
      </c>
      <c r="G2320" s="8" t="s">
        <v>12067</v>
      </c>
      <c r="H2320" s="8" t="s">
        <v>726</v>
      </c>
      <c r="I2320" s="8" t="s">
        <v>73</v>
      </c>
      <c r="J2320" s="16" t="s">
        <v>12068</v>
      </c>
      <c r="K2320" s="2" t="s">
        <v>558</v>
      </c>
      <c r="L2320" s="8" t="s">
        <v>727</v>
      </c>
      <c r="M2320" s="8" t="s">
        <v>27</v>
      </c>
      <c r="N2320" s="2" t="s">
        <v>21476</v>
      </c>
      <c r="O2320" s="8" t="s">
        <v>400</v>
      </c>
      <c r="P2320" s="8" t="s">
        <v>401</v>
      </c>
      <c r="Q2320" s="12" t="s">
        <v>12069</v>
      </c>
      <c r="R2320" s="8" t="s">
        <v>100</v>
      </c>
      <c r="S2320" s="7" t="s">
        <v>18</v>
      </c>
      <c r="T2320" s="6"/>
      <c r="U2320" s="8"/>
    </row>
    <row r="2321" spans="1:21" ht="13" customHeight="1">
      <c r="A2321" s="8" t="s">
        <v>12075</v>
      </c>
      <c r="B2321" s="16">
        <v>28</v>
      </c>
      <c r="C2321" s="8" t="s">
        <v>20</v>
      </c>
      <c r="D2321" s="8" t="s">
        <v>30</v>
      </c>
      <c r="F2321" s="17">
        <v>41655</v>
      </c>
      <c r="G2321" s="8" t="s">
        <v>12076</v>
      </c>
      <c r="H2321" s="8" t="s">
        <v>12077</v>
      </c>
      <c r="I2321" s="8" t="s">
        <v>45</v>
      </c>
      <c r="J2321" s="16" t="s">
        <v>12078</v>
      </c>
      <c r="K2321" s="2" t="s">
        <v>786</v>
      </c>
      <c r="L2321" s="8" t="s">
        <v>12079</v>
      </c>
      <c r="M2321" s="8" t="s">
        <v>27</v>
      </c>
      <c r="N2321" s="2" t="s">
        <v>12080</v>
      </c>
      <c r="O2321" s="8" t="s">
        <v>1013</v>
      </c>
      <c r="P2321" s="8" t="s">
        <v>401</v>
      </c>
      <c r="Q2321" s="12" t="s">
        <v>12081</v>
      </c>
      <c r="R2321" s="8" t="s">
        <v>100</v>
      </c>
      <c r="S2321" s="7" t="s">
        <v>379</v>
      </c>
      <c r="T2321" s="6"/>
      <c r="U2321" s="8"/>
    </row>
    <row r="2322" spans="1:21" ht="13" customHeight="1">
      <c r="A2322" s="8" t="s">
        <v>12082</v>
      </c>
      <c r="B2322" s="16">
        <v>5</v>
      </c>
      <c r="C2322" s="8" t="s">
        <v>114</v>
      </c>
      <c r="D2322" s="8" t="s">
        <v>37</v>
      </c>
      <c r="E2322" s="8" t="s">
        <v>12083</v>
      </c>
      <c r="F2322" s="17">
        <v>41655</v>
      </c>
      <c r="G2322" s="8" t="s">
        <v>12084</v>
      </c>
      <c r="H2322" s="8" t="s">
        <v>589</v>
      </c>
      <c r="I2322" s="8" t="s">
        <v>240</v>
      </c>
      <c r="J2322" s="16" t="s">
        <v>12085</v>
      </c>
      <c r="K2322" s="2" t="s">
        <v>590</v>
      </c>
      <c r="L2322" s="8" t="s">
        <v>12086</v>
      </c>
      <c r="M2322" s="8" t="s">
        <v>27</v>
      </c>
      <c r="N2322" s="2" t="s">
        <v>12087</v>
      </c>
      <c r="O2322" s="8" t="s">
        <v>1161</v>
      </c>
      <c r="P2322" s="8" t="s">
        <v>1162</v>
      </c>
      <c r="Q2322" s="12" t="s">
        <v>12088</v>
      </c>
      <c r="R2322" s="8" t="s">
        <v>100</v>
      </c>
      <c r="S2322" s="7" t="s">
        <v>18</v>
      </c>
      <c r="T2322" s="6"/>
      <c r="U2322" s="8"/>
    </row>
    <row r="2323" spans="1:21" ht="13" customHeight="1">
      <c r="A2323" s="8" t="s">
        <v>12089</v>
      </c>
      <c r="B2323" s="16">
        <v>7</v>
      </c>
      <c r="C2323" s="8" t="s">
        <v>20</v>
      </c>
      <c r="D2323" s="8" t="s">
        <v>37</v>
      </c>
      <c r="E2323" s="8" t="s">
        <v>12090</v>
      </c>
      <c r="F2323" s="17">
        <v>41655</v>
      </c>
      <c r="G2323" s="8" t="s">
        <v>12084</v>
      </c>
      <c r="H2323" s="8" t="s">
        <v>589</v>
      </c>
      <c r="I2323" s="8" t="s">
        <v>240</v>
      </c>
      <c r="J2323" s="16" t="s">
        <v>12085</v>
      </c>
      <c r="K2323" s="2" t="s">
        <v>590</v>
      </c>
      <c r="L2323" s="8" t="s">
        <v>12086</v>
      </c>
      <c r="M2323" s="8" t="s">
        <v>27</v>
      </c>
      <c r="N2323" s="2" t="s">
        <v>12087</v>
      </c>
      <c r="O2323" s="8" t="s">
        <v>1161</v>
      </c>
      <c r="P2323" s="8" t="s">
        <v>1162</v>
      </c>
      <c r="Q2323" s="12" t="s">
        <v>12088</v>
      </c>
      <c r="R2323" s="8" t="s">
        <v>100</v>
      </c>
      <c r="S2323" s="7" t="s">
        <v>18</v>
      </c>
      <c r="T2323" s="6"/>
      <c r="U2323" s="8"/>
    </row>
    <row r="2324" spans="1:21" ht="13" customHeight="1">
      <c r="A2324" s="8" t="s">
        <v>12091</v>
      </c>
      <c r="B2324" s="16">
        <v>32</v>
      </c>
      <c r="C2324" s="8" t="s">
        <v>114</v>
      </c>
      <c r="D2324" s="8" t="s">
        <v>37</v>
      </c>
      <c r="E2324" s="8" t="s">
        <v>12092</v>
      </c>
      <c r="F2324" s="17">
        <v>41655</v>
      </c>
      <c r="G2324" s="8" t="s">
        <v>12084</v>
      </c>
      <c r="H2324" s="8" t="s">
        <v>589</v>
      </c>
      <c r="I2324" s="8" t="s">
        <v>240</v>
      </c>
      <c r="J2324" s="16" t="s">
        <v>12085</v>
      </c>
      <c r="K2324" s="2" t="s">
        <v>590</v>
      </c>
      <c r="L2324" s="8" t="s">
        <v>12086</v>
      </c>
      <c r="M2324" s="8" t="s">
        <v>27</v>
      </c>
      <c r="N2324" s="2" t="s">
        <v>12087</v>
      </c>
      <c r="O2324" s="8" t="s">
        <v>1161</v>
      </c>
      <c r="P2324" s="8" t="s">
        <v>1162</v>
      </c>
      <c r="Q2324" s="12" t="s">
        <v>12088</v>
      </c>
      <c r="R2324" s="8" t="s">
        <v>100</v>
      </c>
      <c r="S2324" s="7" t="s">
        <v>18</v>
      </c>
      <c r="T2324" s="6"/>
      <c r="U2324" s="8"/>
    </row>
    <row r="2325" spans="1:21" ht="13" customHeight="1">
      <c r="A2325" s="8" t="s">
        <v>12093</v>
      </c>
      <c r="B2325" s="16">
        <v>55</v>
      </c>
      <c r="C2325" s="8" t="s">
        <v>114</v>
      </c>
      <c r="D2325" s="8" t="s">
        <v>37</v>
      </c>
      <c r="E2325" s="8" t="s">
        <v>12094</v>
      </c>
      <c r="F2325" s="17">
        <v>41655</v>
      </c>
      <c r="G2325" s="8" t="s">
        <v>12084</v>
      </c>
      <c r="H2325" s="8" t="s">
        <v>589</v>
      </c>
      <c r="I2325" s="8" t="s">
        <v>240</v>
      </c>
      <c r="J2325" s="16" t="s">
        <v>12085</v>
      </c>
      <c r="K2325" s="2" t="s">
        <v>590</v>
      </c>
      <c r="L2325" s="8" t="s">
        <v>12086</v>
      </c>
      <c r="M2325" s="8" t="s">
        <v>27</v>
      </c>
      <c r="N2325" s="2" t="s">
        <v>12087</v>
      </c>
      <c r="O2325" s="8" t="s">
        <v>1161</v>
      </c>
      <c r="P2325" s="8" t="s">
        <v>1162</v>
      </c>
      <c r="Q2325" s="12" t="s">
        <v>12088</v>
      </c>
      <c r="R2325" s="8" t="s">
        <v>100</v>
      </c>
      <c r="S2325" s="7" t="s">
        <v>18</v>
      </c>
      <c r="T2325" s="6"/>
      <c r="U2325" s="8"/>
    </row>
    <row r="2326" spans="1:21" ht="13" customHeight="1">
      <c r="A2326" s="8" t="s">
        <v>12095</v>
      </c>
      <c r="B2326" s="16">
        <v>22</v>
      </c>
      <c r="C2326" s="8" t="s">
        <v>20</v>
      </c>
      <c r="D2326" s="8" t="s">
        <v>37</v>
      </c>
      <c r="E2326" s="8" t="s">
        <v>12096</v>
      </c>
      <c r="F2326" s="17">
        <v>41654</v>
      </c>
      <c r="G2326" s="8" t="s">
        <v>12097</v>
      </c>
      <c r="H2326" s="8" t="s">
        <v>7124</v>
      </c>
      <c r="I2326" s="8" t="s">
        <v>217</v>
      </c>
      <c r="J2326" s="16" t="s">
        <v>12098</v>
      </c>
      <c r="K2326" s="2" t="s">
        <v>7124</v>
      </c>
      <c r="L2326" s="8" t="s">
        <v>5454</v>
      </c>
      <c r="M2326" s="8" t="s">
        <v>27</v>
      </c>
      <c r="N2326" s="2" t="s">
        <v>12099</v>
      </c>
      <c r="O2326" s="8" t="s">
        <v>550</v>
      </c>
      <c r="P2326" s="8" t="s">
        <v>401</v>
      </c>
      <c r="Q2326" s="12" t="s">
        <v>12100</v>
      </c>
      <c r="R2326" s="8" t="s">
        <v>29</v>
      </c>
      <c r="S2326" s="7" t="s">
        <v>28</v>
      </c>
      <c r="T2326" s="6"/>
      <c r="U2326" s="8"/>
    </row>
    <row r="2327" spans="1:21" ht="13" customHeight="1">
      <c r="A2327" s="8" t="s">
        <v>12101</v>
      </c>
      <c r="B2327" s="16">
        <v>75</v>
      </c>
      <c r="C2327" s="8" t="s">
        <v>20</v>
      </c>
      <c r="D2327" s="8" t="s">
        <v>37</v>
      </c>
      <c r="F2327" s="17">
        <v>41654</v>
      </c>
      <c r="G2327" s="8" t="s">
        <v>12102</v>
      </c>
      <c r="H2327" s="8" t="s">
        <v>12103</v>
      </c>
      <c r="I2327" s="8" t="s">
        <v>57</v>
      </c>
      <c r="J2327" s="16" t="s">
        <v>12104</v>
      </c>
      <c r="K2327" s="2" t="s">
        <v>12105</v>
      </c>
      <c r="L2327" s="8" t="s">
        <v>3978</v>
      </c>
      <c r="M2327" s="8" t="s">
        <v>27</v>
      </c>
      <c r="N2327" s="2" t="s">
        <v>12106</v>
      </c>
      <c r="O2327" s="8" t="s">
        <v>1013</v>
      </c>
      <c r="P2327" s="8" t="s">
        <v>401</v>
      </c>
      <c r="Q2327" s="12" t="s">
        <v>12107</v>
      </c>
      <c r="R2327" s="8" t="s">
        <v>100</v>
      </c>
      <c r="S2327" s="7" t="s">
        <v>28</v>
      </c>
      <c r="T2327" s="6"/>
      <c r="U2327" s="8"/>
    </row>
    <row r="2328" spans="1:21" ht="13" customHeight="1">
      <c r="A2328" s="8" t="s">
        <v>12108</v>
      </c>
      <c r="B2328" s="16">
        <v>30</v>
      </c>
      <c r="C2328" s="8" t="s">
        <v>20</v>
      </c>
      <c r="D2328" s="8" t="s">
        <v>85</v>
      </c>
      <c r="E2328" s="8" t="s">
        <v>12109</v>
      </c>
      <c r="F2328" s="17">
        <v>41653</v>
      </c>
      <c r="G2328" s="8" t="s">
        <v>12110</v>
      </c>
      <c r="H2328" s="8" t="s">
        <v>3256</v>
      </c>
      <c r="I2328" s="8" t="s">
        <v>62</v>
      </c>
      <c r="J2328" s="16" t="s">
        <v>3257</v>
      </c>
      <c r="K2328" s="2" t="s">
        <v>3258</v>
      </c>
      <c r="L2328" s="8" t="s">
        <v>12111</v>
      </c>
      <c r="M2328" s="8" t="s">
        <v>27</v>
      </c>
      <c r="N2328" s="2" t="s">
        <v>12112</v>
      </c>
      <c r="O2328" s="8" t="s">
        <v>1013</v>
      </c>
      <c r="P2328" s="8" t="s">
        <v>401</v>
      </c>
      <c r="Q2328" s="12" t="str">
        <f>HYPERLINK("http://www.wptv.com/news/state/gregory-vaughn-hill-jr-fort-pierce-man-ided-in-fatal-deputy-involved-shooting","http://www.wptv.com/news/state/gregory-vaughn-hill-jr-fort-pierce-man-ided-in-fatal-deputy-involved-shooting")</f>
        <v>http://www.wptv.com/news/state/gregory-vaughn-hill-jr-fort-pierce-man-ided-in-fatal-deputy-involved-shooting</v>
      </c>
      <c r="R2328" s="8" t="s">
        <v>100</v>
      </c>
      <c r="S2328" s="7" t="s">
        <v>28</v>
      </c>
      <c r="T2328" s="6"/>
      <c r="U2328" s="8"/>
    </row>
    <row r="2329" spans="1:21" ht="13" customHeight="1">
      <c r="A2329" s="8" t="s">
        <v>12113</v>
      </c>
      <c r="B2329" s="16">
        <v>58</v>
      </c>
      <c r="C2329" s="8" t="s">
        <v>20</v>
      </c>
      <c r="D2329" s="8" t="s">
        <v>85</v>
      </c>
      <c r="F2329" s="17">
        <v>41653</v>
      </c>
      <c r="G2329" s="8" t="s">
        <v>12114</v>
      </c>
      <c r="H2329" s="8" t="s">
        <v>98</v>
      </c>
      <c r="I2329" s="8" t="s">
        <v>45</v>
      </c>
      <c r="J2329" s="16" t="s">
        <v>3317</v>
      </c>
      <c r="K2329" s="2" t="s">
        <v>98</v>
      </c>
      <c r="L2329" s="8" t="s">
        <v>99</v>
      </c>
      <c r="M2329" s="8" t="s">
        <v>27</v>
      </c>
      <c r="N2329" s="2" t="s">
        <v>12115</v>
      </c>
      <c r="O2329" s="8" t="s">
        <v>1013</v>
      </c>
      <c r="P2329" s="8" t="s">
        <v>401</v>
      </c>
      <c r="Q2329" s="12" t="s">
        <v>12116</v>
      </c>
      <c r="R2329" s="8" t="s">
        <v>100</v>
      </c>
      <c r="S2329" s="7" t="s">
        <v>28</v>
      </c>
      <c r="T2329" s="6"/>
      <c r="U2329" s="8"/>
    </row>
    <row r="2330" spans="1:21" ht="13" customHeight="1">
      <c r="A2330" s="8" t="s">
        <v>12117</v>
      </c>
      <c r="B2330" s="16">
        <v>40</v>
      </c>
      <c r="C2330" s="8" t="s">
        <v>20</v>
      </c>
      <c r="D2330" s="8" t="s">
        <v>48</v>
      </c>
      <c r="E2330" s="8" t="s">
        <v>12118</v>
      </c>
      <c r="F2330" s="17">
        <v>41653</v>
      </c>
      <c r="G2330" s="8" t="s">
        <v>12119</v>
      </c>
      <c r="H2330" s="8" t="s">
        <v>9978</v>
      </c>
      <c r="I2330" s="8" t="s">
        <v>123</v>
      </c>
      <c r="J2330" s="16" t="s">
        <v>9979</v>
      </c>
      <c r="K2330" s="2" t="s">
        <v>2400</v>
      </c>
      <c r="L2330" s="8" t="s">
        <v>12120</v>
      </c>
      <c r="M2330" s="8" t="s">
        <v>27</v>
      </c>
      <c r="N2330" s="2" t="s">
        <v>12121</v>
      </c>
      <c r="O2330" s="8" t="s">
        <v>550</v>
      </c>
      <c r="P2330" s="8" t="s">
        <v>401</v>
      </c>
      <c r="Q2330" s="12" t="s">
        <v>12122</v>
      </c>
      <c r="R2330" s="8" t="s">
        <v>100</v>
      </c>
      <c r="S2330" s="7" t="s">
        <v>18</v>
      </c>
      <c r="T2330" s="6"/>
      <c r="U2330" s="8"/>
    </row>
    <row r="2331" spans="1:21" ht="13" customHeight="1">
      <c r="A2331" s="8" t="s">
        <v>12123</v>
      </c>
      <c r="B2331" s="16">
        <v>24</v>
      </c>
      <c r="C2331" s="8" t="s">
        <v>20</v>
      </c>
      <c r="D2331" s="8" t="s">
        <v>30</v>
      </c>
      <c r="F2331" s="17">
        <v>41653</v>
      </c>
      <c r="G2331" s="8" t="s">
        <v>12124</v>
      </c>
      <c r="H2331" s="8" t="s">
        <v>12125</v>
      </c>
      <c r="I2331" s="8" t="s">
        <v>150</v>
      </c>
      <c r="J2331" s="16" t="s">
        <v>12126</v>
      </c>
      <c r="K2331" s="2" t="s">
        <v>12127</v>
      </c>
      <c r="L2331" s="8" t="s">
        <v>12128</v>
      </c>
      <c r="M2331" s="8" t="s">
        <v>27</v>
      </c>
      <c r="N2331" s="2" t="s">
        <v>12129</v>
      </c>
      <c r="O2331" s="8" t="s">
        <v>550</v>
      </c>
      <c r="P2331" s="8" t="s">
        <v>401</v>
      </c>
      <c r="Q2331" s="12" t="s">
        <v>12130</v>
      </c>
      <c r="R2331" s="8" t="s">
        <v>100</v>
      </c>
      <c r="S2331" s="7" t="s">
        <v>379</v>
      </c>
      <c r="T2331" s="6"/>
      <c r="U2331" s="8"/>
    </row>
    <row r="2332" spans="1:21" ht="13" customHeight="1">
      <c r="A2332" s="8" t="s">
        <v>12131</v>
      </c>
      <c r="B2332" s="16">
        <v>34</v>
      </c>
      <c r="C2332" s="8" t="s">
        <v>20</v>
      </c>
      <c r="D2332" s="8" t="s">
        <v>37</v>
      </c>
      <c r="E2332" s="8" t="s">
        <v>12132</v>
      </c>
      <c r="F2332" s="17">
        <v>41653</v>
      </c>
      <c r="G2332" s="8" t="s">
        <v>12133</v>
      </c>
      <c r="H2332" s="8" t="s">
        <v>1301</v>
      </c>
      <c r="I2332" s="8" t="s">
        <v>209</v>
      </c>
      <c r="J2332" s="16" t="s">
        <v>12134</v>
      </c>
      <c r="K2332" s="2" t="s">
        <v>1301</v>
      </c>
      <c r="L2332" s="8" t="s">
        <v>1302</v>
      </c>
      <c r="M2332" s="8" t="s">
        <v>27</v>
      </c>
      <c r="N2332" s="2" t="s">
        <v>12135</v>
      </c>
      <c r="O2332" s="8" t="s">
        <v>550</v>
      </c>
      <c r="P2332" s="8" t="s">
        <v>401</v>
      </c>
      <c r="Q2332" s="12" t="s">
        <v>12136</v>
      </c>
      <c r="R2332" s="8" t="s">
        <v>100</v>
      </c>
      <c r="S2332" s="7" t="s">
        <v>28</v>
      </c>
      <c r="T2332" s="6"/>
      <c r="U2332" s="8"/>
    </row>
    <row r="2333" spans="1:21" ht="13" customHeight="1">
      <c r="A2333" s="8" t="s">
        <v>12137</v>
      </c>
      <c r="B2333" s="16">
        <v>68</v>
      </c>
      <c r="C2333" s="8" t="s">
        <v>20</v>
      </c>
      <c r="D2333" s="8" t="s">
        <v>37</v>
      </c>
      <c r="E2333" s="8" t="s">
        <v>12138</v>
      </c>
      <c r="F2333" s="17">
        <v>41653</v>
      </c>
      <c r="G2333" s="8" t="s">
        <v>12139</v>
      </c>
      <c r="H2333" s="8" t="s">
        <v>12140</v>
      </c>
      <c r="I2333" s="8" t="s">
        <v>57</v>
      </c>
      <c r="J2333" s="16" t="s">
        <v>12141</v>
      </c>
      <c r="K2333" s="2" t="s">
        <v>701</v>
      </c>
      <c r="L2333" s="8" t="s">
        <v>3978</v>
      </c>
      <c r="M2333" s="8" t="s">
        <v>27</v>
      </c>
      <c r="N2333" s="2" t="s">
        <v>12142</v>
      </c>
      <c r="O2333" s="8" t="s">
        <v>550</v>
      </c>
      <c r="P2333" s="8" t="s">
        <v>401</v>
      </c>
      <c r="Q2333" s="12" t="s">
        <v>12143</v>
      </c>
      <c r="R2333" s="8" t="s">
        <v>100</v>
      </c>
      <c r="S2333" s="7" t="s">
        <v>28</v>
      </c>
      <c r="T2333" s="6"/>
      <c r="U2333" s="8"/>
    </row>
    <row r="2334" spans="1:21" ht="13" customHeight="1">
      <c r="A2334" s="8" t="s">
        <v>12144</v>
      </c>
      <c r="B2334" s="16">
        <v>24</v>
      </c>
      <c r="C2334" s="8" t="s">
        <v>20</v>
      </c>
      <c r="D2334" s="8" t="s">
        <v>85</v>
      </c>
      <c r="E2334" s="8" t="str">
        <f>HYPERLINK("http://www.wyliefh.com/printguestbook.php?id=2166&amp;rid=15392","http://www.wyliefh.com/printguestbook.php?id=2166&amp;rid=15392")</f>
        <v>http://www.wyliefh.com/printguestbook.php?id=2166&amp;rid=15392</v>
      </c>
      <c r="F2334" s="17">
        <v>41652</v>
      </c>
      <c r="G2334" s="8" t="s">
        <v>12145</v>
      </c>
      <c r="H2334" s="8" t="s">
        <v>1596</v>
      </c>
      <c r="I2334" s="8" t="s">
        <v>52</v>
      </c>
      <c r="J2334" s="16" t="s">
        <v>12146</v>
      </c>
      <c r="K2334" s="2" t="s">
        <v>4727</v>
      </c>
      <c r="L2334" s="8" t="s">
        <v>2782</v>
      </c>
      <c r="M2334" s="8" t="s">
        <v>27</v>
      </c>
      <c r="N2334" s="2" t="s">
        <v>12147</v>
      </c>
      <c r="O2334" s="8" t="s">
        <v>1013</v>
      </c>
      <c r="P2334" s="8" t="s">
        <v>401</v>
      </c>
      <c r="Q2334" s="12" t="str">
        <f>HYPERLINK("http://www.baltimoresun.com/news/maryland/crime/blog/bal-police-investigating-officerinvolved-shooting-in-east-baltimore-20140113,0,4169034.story","http://www.baltimoresun.com/news/maryland/crime/blog/bal-police-investigating-officerinvolved-shooting-in-east-baltimore-20140113,0,4169034.story")</f>
        <v>http://www.baltimoresun.com/news/maryland/crime/blog/bal-police-investigating-officerinvolved-shooting-in-east-baltimore-20140113,0,4169034.story</v>
      </c>
      <c r="R2334" s="8" t="s">
        <v>100</v>
      </c>
      <c r="S2334" s="7" t="s">
        <v>28</v>
      </c>
      <c r="T2334" s="6"/>
      <c r="U2334" s="8"/>
    </row>
    <row r="2335" spans="1:21" ht="13" customHeight="1">
      <c r="A2335" s="8" t="s">
        <v>12148</v>
      </c>
      <c r="B2335" s="16">
        <v>32</v>
      </c>
      <c r="C2335" s="8" t="s">
        <v>20</v>
      </c>
      <c r="D2335" s="8" t="s">
        <v>48</v>
      </c>
      <c r="F2335" s="17">
        <v>41651</v>
      </c>
      <c r="G2335" s="8" t="s">
        <v>12149</v>
      </c>
      <c r="H2335" s="8" t="s">
        <v>7950</v>
      </c>
      <c r="I2335" s="8" t="s">
        <v>45</v>
      </c>
      <c r="J2335" s="16" t="s">
        <v>12150</v>
      </c>
      <c r="K2335" s="2" t="s">
        <v>309</v>
      </c>
      <c r="L2335" s="8" t="s">
        <v>12151</v>
      </c>
      <c r="M2335" s="8" t="s">
        <v>27</v>
      </c>
      <c r="N2335" s="2" t="s">
        <v>21477</v>
      </c>
      <c r="O2335" s="8" t="s">
        <v>1013</v>
      </c>
      <c r="P2335" s="8" t="s">
        <v>401</v>
      </c>
      <c r="Q2335" s="12" t="s">
        <v>21478</v>
      </c>
      <c r="R2335" s="8" t="s">
        <v>100</v>
      </c>
      <c r="S2335" s="7" t="s">
        <v>18</v>
      </c>
      <c r="T2335" s="6"/>
      <c r="U2335" s="8"/>
    </row>
    <row r="2336" spans="1:21" ht="13" customHeight="1">
      <c r="A2336" s="8" t="s">
        <v>12152</v>
      </c>
      <c r="B2336" s="16">
        <v>35</v>
      </c>
      <c r="C2336" s="8" t="s">
        <v>20</v>
      </c>
      <c r="D2336" s="8" t="s">
        <v>37</v>
      </c>
      <c r="E2336" s="8" t="s">
        <v>12153</v>
      </c>
      <c r="F2336" s="17">
        <v>41651</v>
      </c>
      <c r="G2336" s="8" t="s">
        <v>12154</v>
      </c>
      <c r="H2336" s="8" t="s">
        <v>689</v>
      </c>
      <c r="I2336" s="8" t="s">
        <v>123</v>
      </c>
      <c r="J2336" s="16" t="s">
        <v>12155</v>
      </c>
      <c r="K2336" s="2" t="s">
        <v>635</v>
      </c>
      <c r="L2336" s="8" t="s">
        <v>4910</v>
      </c>
      <c r="M2336" s="8" t="s">
        <v>27</v>
      </c>
      <c r="N2336" s="2" t="s">
        <v>12156</v>
      </c>
      <c r="O2336" s="8" t="s">
        <v>29</v>
      </c>
      <c r="P2336" s="8" t="s">
        <v>401</v>
      </c>
      <c r="Q2336" s="12" t="s">
        <v>12157</v>
      </c>
      <c r="R2336" s="8" t="s">
        <v>29</v>
      </c>
      <c r="S2336" s="7" t="s">
        <v>28</v>
      </c>
      <c r="T2336" s="6"/>
      <c r="U2336" s="8"/>
    </row>
    <row r="2337" spans="1:34" ht="13" customHeight="1">
      <c r="A2337" s="8" t="s">
        <v>12158</v>
      </c>
      <c r="B2337" s="16">
        <v>50</v>
      </c>
      <c r="C2337" s="8" t="s">
        <v>20</v>
      </c>
      <c r="D2337" s="8" t="s">
        <v>85</v>
      </c>
      <c r="E2337" s="8" t="s">
        <v>12159</v>
      </c>
      <c r="F2337" s="17">
        <v>41649</v>
      </c>
      <c r="G2337" s="8" t="s">
        <v>12160</v>
      </c>
      <c r="H2337" s="8" t="s">
        <v>757</v>
      </c>
      <c r="I2337" s="8" t="s">
        <v>423</v>
      </c>
      <c r="J2337" s="16" t="s">
        <v>12161</v>
      </c>
      <c r="K2337" s="2" t="s">
        <v>2686</v>
      </c>
      <c r="L2337" s="8" t="s">
        <v>582</v>
      </c>
      <c r="M2337" s="8" t="s">
        <v>27</v>
      </c>
      <c r="N2337" s="2" t="s">
        <v>12162</v>
      </c>
      <c r="O2337" s="8" t="s">
        <v>1013</v>
      </c>
      <c r="P2337" s="8" t="s">
        <v>401</v>
      </c>
      <c r="Q2337" s="12" t="s">
        <v>12163</v>
      </c>
      <c r="R2337" s="8" t="s">
        <v>100</v>
      </c>
      <c r="S2337" s="7" t="s">
        <v>18</v>
      </c>
      <c r="T2337" s="6"/>
      <c r="U2337" s="8"/>
    </row>
    <row r="2338" spans="1:34" ht="13" customHeight="1">
      <c r="A2338" s="8" t="s">
        <v>12164</v>
      </c>
      <c r="B2338" s="16">
        <v>40</v>
      </c>
      <c r="C2338" s="8" t="s">
        <v>20</v>
      </c>
      <c r="D2338" s="8" t="s">
        <v>48</v>
      </c>
      <c r="E2338" s="8" t="s">
        <v>12165</v>
      </c>
      <c r="F2338" s="17">
        <v>41648</v>
      </c>
      <c r="G2338" s="8" t="s">
        <v>12166</v>
      </c>
      <c r="H2338" s="8" t="s">
        <v>156</v>
      </c>
      <c r="I2338" s="8" t="s">
        <v>45</v>
      </c>
      <c r="J2338" s="16" t="s">
        <v>12167</v>
      </c>
      <c r="K2338" s="2" t="s">
        <v>156</v>
      </c>
      <c r="L2338" s="8" t="s">
        <v>157</v>
      </c>
      <c r="M2338" s="8" t="s">
        <v>27</v>
      </c>
      <c r="N2338" s="2" t="s">
        <v>12168</v>
      </c>
      <c r="O2338" s="8" t="s">
        <v>1013</v>
      </c>
      <c r="P2338" s="8" t="s">
        <v>401</v>
      </c>
      <c r="Q2338" s="12" t="s">
        <v>12169</v>
      </c>
      <c r="R2338" s="8" t="s">
        <v>100</v>
      </c>
      <c r="S2338" s="7" t="s">
        <v>28</v>
      </c>
      <c r="T2338" s="6"/>
      <c r="U2338" s="8"/>
    </row>
    <row r="2339" spans="1:34" ht="13" customHeight="1">
      <c r="A2339" s="8" t="s">
        <v>12170</v>
      </c>
      <c r="B2339" s="16">
        <v>51</v>
      </c>
      <c r="C2339" s="8" t="s">
        <v>20</v>
      </c>
      <c r="D2339" s="8" t="s">
        <v>30</v>
      </c>
      <c r="F2339" s="17">
        <v>41648</v>
      </c>
      <c r="G2339" s="8" t="s">
        <v>12171</v>
      </c>
      <c r="H2339" s="8" t="s">
        <v>12172</v>
      </c>
      <c r="I2339" s="8" t="s">
        <v>73</v>
      </c>
      <c r="J2339" s="16" t="s">
        <v>12173</v>
      </c>
      <c r="K2339" s="2" t="s">
        <v>12174</v>
      </c>
      <c r="L2339" s="8" t="s">
        <v>12175</v>
      </c>
      <c r="M2339" s="8" t="s">
        <v>27</v>
      </c>
      <c r="N2339" s="2" t="s">
        <v>12176</v>
      </c>
      <c r="O2339" s="8" t="s">
        <v>550</v>
      </c>
      <c r="P2339" s="8" t="s">
        <v>401</v>
      </c>
      <c r="Q2339" s="12" t="s">
        <v>12177</v>
      </c>
      <c r="R2339" s="8" t="s">
        <v>100</v>
      </c>
      <c r="S2339" s="7" t="s">
        <v>379</v>
      </c>
      <c r="T2339" s="6"/>
      <c r="U2339" s="8"/>
    </row>
    <row r="2340" spans="1:34" ht="13" customHeight="1">
      <c r="A2340" s="8" t="s">
        <v>12178</v>
      </c>
      <c r="B2340" s="16">
        <v>35</v>
      </c>
      <c r="C2340" s="8" t="s">
        <v>20</v>
      </c>
      <c r="D2340" s="8" t="s">
        <v>37</v>
      </c>
      <c r="F2340" s="17">
        <v>41648</v>
      </c>
      <c r="G2340" s="8" t="s">
        <v>12179</v>
      </c>
      <c r="H2340" s="8" t="s">
        <v>2892</v>
      </c>
      <c r="I2340" s="8" t="s">
        <v>981</v>
      </c>
      <c r="J2340" s="16" t="s">
        <v>12180</v>
      </c>
      <c r="K2340" s="2" t="s">
        <v>2893</v>
      </c>
      <c r="L2340" s="8" t="s">
        <v>2894</v>
      </c>
      <c r="M2340" s="8" t="s">
        <v>27</v>
      </c>
      <c r="N2340" s="2" t="s">
        <v>12181</v>
      </c>
      <c r="O2340" s="8" t="s">
        <v>400</v>
      </c>
      <c r="P2340" s="8" t="s">
        <v>401</v>
      </c>
      <c r="Q2340" s="12" t="s">
        <v>12182</v>
      </c>
      <c r="R2340" s="8" t="s">
        <v>100</v>
      </c>
      <c r="S2340" s="7" t="s">
        <v>28</v>
      </c>
      <c r="T2340" s="6"/>
      <c r="U2340" s="8"/>
    </row>
    <row r="2341" spans="1:34" ht="13" customHeight="1">
      <c r="A2341" s="8" t="s">
        <v>12183</v>
      </c>
      <c r="B2341" s="16" t="s">
        <v>29</v>
      </c>
      <c r="C2341" s="8" t="s">
        <v>20</v>
      </c>
      <c r="D2341" s="8" t="s">
        <v>37</v>
      </c>
      <c r="E2341" s="8" t="s">
        <v>12184</v>
      </c>
      <c r="F2341" s="17">
        <v>41647</v>
      </c>
      <c r="G2341" s="8" t="s">
        <v>12185</v>
      </c>
      <c r="H2341" s="8" t="s">
        <v>1042</v>
      </c>
      <c r="I2341" s="8" t="s">
        <v>25</v>
      </c>
      <c r="J2341" s="16">
        <v>70113</v>
      </c>
      <c r="K2341" s="2" t="s">
        <v>12186</v>
      </c>
      <c r="L2341" s="8" t="s">
        <v>1044</v>
      </c>
      <c r="M2341" s="8" t="s">
        <v>27</v>
      </c>
      <c r="N2341" s="2" t="s">
        <v>12187</v>
      </c>
      <c r="P2341" s="8" t="s">
        <v>401</v>
      </c>
      <c r="Q2341" s="12" t="s">
        <v>12188</v>
      </c>
      <c r="S2341" s="7" t="s">
        <v>28</v>
      </c>
      <c r="T2341" s="6"/>
      <c r="U2341" s="8"/>
    </row>
    <row r="2342" spans="1:34" ht="13" customHeight="1">
      <c r="A2342" s="8" t="s">
        <v>12189</v>
      </c>
      <c r="B2342" s="16">
        <v>40</v>
      </c>
      <c r="C2342" s="8" t="s">
        <v>20</v>
      </c>
      <c r="D2342" s="8" t="s">
        <v>37</v>
      </c>
      <c r="E2342" s="8" t="s">
        <v>12190</v>
      </c>
      <c r="F2342" s="17">
        <v>41646</v>
      </c>
      <c r="G2342" s="8" t="s">
        <v>12191</v>
      </c>
      <c r="H2342" s="8" t="s">
        <v>12192</v>
      </c>
      <c r="I2342" s="8" t="s">
        <v>195</v>
      </c>
      <c r="J2342" s="16" t="s">
        <v>12193</v>
      </c>
      <c r="K2342" s="2" t="s">
        <v>12194</v>
      </c>
      <c r="L2342" s="8" t="s">
        <v>3098</v>
      </c>
      <c r="M2342" s="8" t="s">
        <v>27</v>
      </c>
      <c r="N2342" s="2" t="s">
        <v>12195</v>
      </c>
      <c r="O2342" s="8" t="s">
        <v>1013</v>
      </c>
      <c r="P2342" s="8" t="s">
        <v>401</v>
      </c>
      <c r="Q2342" s="12" t="s">
        <v>12196</v>
      </c>
      <c r="R2342" s="8" t="s">
        <v>29</v>
      </c>
      <c r="S2342" s="7" t="s">
        <v>28</v>
      </c>
      <c r="T2342" s="6"/>
      <c r="U2342" s="8"/>
    </row>
    <row r="2343" spans="1:34" ht="13" customHeight="1">
      <c r="A2343" s="8" t="s">
        <v>12197</v>
      </c>
      <c r="B2343" s="16">
        <v>47</v>
      </c>
      <c r="C2343" s="8" t="s">
        <v>20</v>
      </c>
      <c r="D2343" s="8" t="s">
        <v>37</v>
      </c>
      <c r="F2343" s="17">
        <v>41646</v>
      </c>
      <c r="G2343" s="8" t="s">
        <v>12198</v>
      </c>
      <c r="H2343" s="8" t="s">
        <v>12199</v>
      </c>
      <c r="I2343" s="8" t="s">
        <v>62</v>
      </c>
      <c r="J2343" s="16" t="s">
        <v>12200</v>
      </c>
      <c r="K2343" s="2" t="s">
        <v>1259</v>
      </c>
      <c r="L2343" s="8" t="s">
        <v>12201</v>
      </c>
      <c r="M2343" s="8" t="s">
        <v>27</v>
      </c>
      <c r="N2343" s="2" t="s">
        <v>12202</v>
      </c>
      <c r="O2343" s="8" t="s">
        <v>550</v>
      </c>
      <c r="P2343" s="8" t="s">
        <v>401</v>
      </c>
      <c r="Q2343" s="12" t="s">
        <v>12203</v>
      </c>
      <c r="R2343" s="8" t="s">
        <v>100</v>
      </c>
      <c r="S2343" s="7" t="s">
        <v>28</v>
      </c>
      <c r="T2343" s="6"/>
      <c r="U2343" s="8"/>
    </row>
    <row r="2344" spans="1:34" ht="13" customHeight="1">
      <c r="A2344" s="8" t="s">
        <v>12204</v>
      </c>
      <c r="B2344" s="16">
        <v>49</v>
      </c>
      <c r="C2344" s="8" t="s">
        <v>20</v>
      </c>
      <c r="D2344" s="8" t="s">
        <v>37</v>
      </c>
      <c r="E2344" s="8" t="s">
        <v>12205</v>
      </c>
      <c r="F2344" s="17">
        <v>41645</v>
      </c>
      <c r="G2344" s="8" t="s">
        <v>12206</v>
      </c>
      <c r="H2344" s="8" t="s">
        <v>12207</v>
      </c>
      <c r="I2344" s="8" t="s">
        <v>150</v>
      </c>
      <c r="J2344" s="16" t="s">
        <v>12208</v>
      </c>
      <c r="K2344" s="2" t="s">
        <v>4040</v>
      </c>
      <c r="L2344" s="8" t="s">
        <v>12209</v>
      </c>
      <c r="M2344" s="8" t="s">
        <v>27</v>
      </c>
      <c r="N2344" s="2" t="s">
        <v>12210</v>
      </c>
      <c r="O2344" s="8" t="s">
        <v>1013</v>
      </c>
      <c r="P2344" s="8" t="s">
        <v>401</v>
      </c>
      <c r="Q2344" s="12" t="s">
        <v>12211</v>
      </c>
      <c r="R2344" s="8" t="s">
        <v>100</v>
      </c>
      <c r="S2344" s="7" t="s">
        <v>379</v>
      </c>
      <c r="T2344" s="6"/>
      <c r="U2344" s="8"/>
    </row>
    <row r="2345" spans="1:34" ht="13" customHeight="1">
      <c r="A2345" s="8" t="s">
        <v>12212</v>
      </c>
      <c r="B2345" s="16">
        <v>18</v>
      </c>
      <c r="C2345" s="8" t="s">
        <v>20</v>
      </c>
      <c r="D2345" s="8" t="s">
        <v>37</v>
      </c>
      <c r="E2345" s="8" t="s">
        <v>12213</v>
      </c>
      <c r="F2345" s="17">
        <v>41644</v>
      </c>
      <c r="G2345" s="8" t="s">
        <v>12214</v>
      </c>
      <c r="H2345" s="8" t="s">
        <v>12215</v>
      </c>
      <c r="I2345" s="8" t="s">
        <v>366</v>
      </c>
      <c r="J2345" s="16" t="s">
        <v>12216</v>
      </c>
      <c r="K2345" s="2" t="s">
        <v>12217</v>
      </c>
      <c r="L2345" s="8" t="s">
        <v>12218</v>
      </c>
      <c r="M2345" s="8" t="s">
        <v>27</v>
      </c>
      <c r="N2345" s="2" t="s">
        <v>21632</v>
      </c>
      <c r="O2345" s="8" t="s">
        <v>1790</v>
      </c>
      <c r="P2345" s="8" t="s">
        <v>1162</v>
      </c>
      <c r="Q2345" s="12" t="s">
        <v>12219</v>
      </c>
      <c r="R2345" s="8" t="s">
        <v>555</v>
      </c>
      <c r="S2345" s="7" t="s">
        <v>18</v>
      </c>
      <c r="T2345" s="6"/>
      <c r="U2345" s="8"/>
    </row>
    <row r="2346" spans="1:34" ht="13" customHeight="1">
      <c r="A2346" s="8" t="s">
        <v>12220</v>
      </c>
      <c r="B2346" s="16">
        <v>30</v>
      </c>
      <c r="C2346" s="8" t="s">
        <v>20</v>
      </c>
      <c r="D2346" s="8" t="s">
        <v>37</v>
      </c>
      <c r="E2346" s="8" t="s">
        <v>12221</v>
      </c>
      <c r="F2346" s="17">
        <v>41644</v>
      </c>
      <c r="G2346" s="8" t="s">
        <v>12222</v>
      </c>
      <c r="H2346" s="8" t="s">
        <v>1905</v>
      </c>
      <c r="I2346" s="8" t="s">
        <v>62</v>
      </c>
      <c r="J2346" s="16" t="s">
        <v>12223</v>
      </c>
      <c r="K2346" s="2" t="s">
        <v>1905</v>
      </c>
      <c r="L2346" s="8" t="s">
        <v>2456</v>
      </c>
      <c r="M2346" s="8" t="s">
        <v>27</v>
      </c>
      <c r="N2346" s="2" t="s">
        <v>12224</v>
      </c>
      <c r="O2346" s="8" t="s">
        <v>550</v>
      </c>
      <c r="P2346" s="8" t="s">
        <v>401</v>
      </c>
      <c r="Q2346" s="12" t="s">
        <v>12225</v>
      </c>
      <c r="R2346" s="8" t="s">
        <v>967</v>
      </c>
      <c r="S2346" s="7" t="s">
        <v>28</v>
      </c>
      <c r="T2346" s="6"/>
      <c r="U2346" s="8"/>
    </row>
    <row r="2347" spans="1:34" ht="13" customHeight="1">
      <c r="A2347" s="8" t="s">
        <v>12231</v>
      </c>
      <c r="B2347" s="16">
        <v>66</v>
      </c>
      <c r="C2347" s="8" t="s">
        <v>20</v>
      </c>
      <c r="D2347" s="8" t="s">
        <v>48</v>
      </c>
      <c r="F2347" s="17">
        <v>41643</v>
      </c>
      <c r="G2347" s="8" t="s">
        <v>12232</v>
      </c>
      <c r="H2347" s="8" t="s">
        <v>4710</v>
      </c>
      <c r="I2347" s="8" t="s">
        <v>209</v>
      </c>
      <c r="J2347" s="16" t="s">
        <v>11341</v>
      </c>
      <c r="K2347" s="2" t="s">
        <v>4710</v>
      </c>
      <c r="L2347" s="8" t="s">
        <v>4712</v>
      </c>
      <c r="M2347" s="8" t="s">
        <v>27</v>
      </c>
      <c r="N2347" s="2" t="s">
        <v>12233</v>
      </c>
      <c r="O2347" s="8" t="s">
        <v>550</v>
      </c>
      <c r="P2347" s="8" t="s">
        <v>401</v>
      </c>
      <c r="Q2347" s="12" t="s">
        <v>12234</v>
      </c>
      <c r="R2347" s="8" t="s">
        <v>100</v>
      </c>
      <c r="S2347" s="7" t="s">
        <v>28</v>
      </c>
      <c r="T2347" s="6"/>
      <c r="U2347" s="8"/>
    </row>
    <row r="2348" spans="1:34" ht="13" customHeight="1">
      <c r="A2348" s="8" t="s">
        <v>12226</v>
      </c>
      <c r="B2348" s="16">
        <v>23</v>
      </c>
      <c r="C2348" s="8" t="s">
        <v>20</v>
      </c>
      <c r="D2348" s="8" t="s">
        <v>48</v>
      </c>
      <c r="E2348" s="8" t="s">
        <v>12227</v>
      </c>
      <c r="F2348" s="17">
        <v>41643</v>
      </c>
      <c r="G2348" s="8" t="s">
        <v>12228</v>
      </c>
      <c r="H2348" s="8" t="s">
        <v>6288</v>
      </c>
      <c r="I2348" s="8" t="s">
        <v>303</v>
      </c>
      <c r="J2348" s="16" t="s">
        <v>10569</v>
      </c>
      <c r="K2348" s="2" t="s">
        <v>6288</v>
      </c>
      <c r="L2348" s="8" t="s">
        <v>6289</v>
      </c>
      <c r="M2348" s="8" t="s">
        <v>27</v>
      </c>
      <c r="N2348" s="2" t="s">
        <v>12229</v>
      </c>
      <c r="O2348" s="8" t="s">
        <v>1013</v>
      </c>
      <c r="P2348" s="8" t="s">
        <v>401</v>
      </c>
      <c r="Q2348" s="12" t="s">
        <v>12230</v>
      </c>
      <c r="R2348" s="8" t="s">
        <v>100</v>
      </c>
      <c r="S2348" s="7" t="s">
        <v>35</v>
      </c>
      <c r="T2348" s="6"/>
      <c r="U2348" s="8"/>
      <c r="V2348" s="8"/>
      <c r="W2348" s="8"/>
      <c r="X2348" s="8"/>
    </row>
    <row r="2349" spans="1:34" ht="13" customHeight="1">
      <c r="A2349" s="8" t="s">
        <v>12235</v>
      </c>
      <c r="B2349" s="16">
        <v>31</v>
      </c>
      <c r="C2349" s="8" t="s">
        <v>20</v>
      </c>
      <c r="D2349" s="8" t="s">
        <v>30</v>
      </c>
      <c r="F2349" s="17">
        <v>41643</v>
      </c>
      <c r="G2349" s="8" t="s">
        <v>12236</v>
      </c>
      <c r="H2349" s="8" t="s">
        <v>12237</v>
      </c>
      <c r="I2349" s="8" t="s">
        <v>81</v>
      </c>
      <c r="J2349" s="16" t="s">
        <v>12238</v>
      </c>
      <c r="K2349" s="2" t="s">
        <v>9527</v>
      </c>
      <c r="L2349" s="8" t="s">
        <v>12239</v>
      </c>
      <c r="M2349" s="8" t="s">
        <v>27</v>
      </c>
      <c r="N2349" s="2" t="s">
        <v>12240</v>
      </c>
      <c r="O2349" s="8" t="s">
        <v>1013</v>
      </c>
      <c r="P2349" s="8" t="s">
        <v>401</v>
      </c>
      <c r="Q2349" s="12" t="s">
        <v>12241</v>
      </c>
      <c r="R2349" s="8" t="s">
        <v>100</v>
      </c>
      <c r="S2349" s="7" t="s">
        <v>28</v>
      </c>
      <c r="T2349" s="6"/>
      <c r="U2349" s="8"/>
    </row>
    <row r="2350" spans="1:34" ht="13" customHeight="1">
      <c r="A2350" s="8" t="s">
        <v>12242</v>
      </c>
      <c r="B2350" s="16">
        <v>23</v>
      </c>
      <c r="C2350" s="8" t="s">
        <v>20</v>
      </c>
      <c r="D2350" s="8" t="s">
        <v>37</v>
      </c>
      <c r="E2350" s="8" t="s">
        <v>12243</v>
      </c>
      <c r="F2350" s="17">
        <v>41643</v>
      </c>
      <c r="G2350" s="8" t="s">
        <v>12244</v>
      </c>
      <c r="H2350" s="8" t="s">
        <v>11796</v>
      </c>
      <c r="I2350" s="8" t="s">
        <v>209</v>
      </c>
      <c r="J2350" s="16" t="s">
        <v>12245</v>
      </c>
      <c r="K2350" s="2" t="s">
        <v>1781</v>
      </c>
      <c r="L2350" s="8" t="s">
        <v>11798</v>
      </c>
      <c r="M2350" s="8" t="s">
        <v>27</v>
      </c>
      <c r="N2350" s="2" t="s">
        <v>12246</v>
      </c>
      <c r="O2350" s="8" t="s">
        <v>1013</v>
      </c>
      <c r="P2350" s="8" t="s">
        <v>401</v>
      </c>
      <c r="Q2350" s="12" t="s">
        <v>12247</v>
      </c>
      <c r="R2350" s="8" t="s">
        <v>100</v>
      </c>
      <c r="S2350" s="7" t="s">
        <v>28</v>
      </c>
      <c r="T2350" s="6"/>
      <c r="U2350" s="8"/>
      <c r="Y2350" s="8"/>
      <c r="Z2350" s="8"/>
      <c r="AA2350" s="8"/>
      <c r="AB2350" s="8"/>
      <c r="AC2350" s="8"/>
      <c r="AD2350" s="8"/>
      <c r="AE2350" s="8"/>
      <c r="AF2350" s="8"/>
      <c r="AG2350" s="8"/>
      <c r="AH2350" s="8"/>
    </row>
    <row r="2351" spans="1:34" ht="13" customHeight="1">
      <c r="A2351" s="8" t="s">
        <v>12258</v>
      </c>
      <c r="B2351" s="16">
        <v>29</v>
      </c>
      <c r="C2351" s="8" t="s">
        <v>20</v>
      </c>
      <c r="D2351" s="8" t="s">
        <v>37</v>
      </c>
      <c r="E2351" s="8" t="s">
        <v>12259</v>
      </c>
      <c r="F2351" s="17">
        <v>41643</v>
      </c>
      <c r="G2351" s="8" t="s">
        <v>12260</v>
      </c>
      <c r="H2351" s="8" t="s">
        <v>9866</v>
      </c>
      <c r="I2351" s="8" t="s">
        <v>25</v>
      </c>
      <c r="J2351" s="16" t="s">
        <v>12261</v>
      </c>
      <c r="K2351" s="2" t="s">
        <v>1781</v>
      </c>
      <c r="L2351" s="8" t="s">
        <v>2435</v>
      </c>
      <c r="M2351" s="8" t="s">
        <v>27</v>
      </c>
      <c r="N2351" s="2" t="s">
        <v>12262</v>
      </c>
      <c r="O2351" s="8" t="s">
        <v>550</v>
      </c>
      <c r="P2351" s="8" t="s">
        <v>401</v>
      </c>
      <c r="Q2351" s="12" t="s">
        <v>12263</v>
      </c>
      <c r="R2351" s="8" t="s">
        <v>555</v>
      </c>
      <c r="S2351" s="7" t="s">
        <v>28</v>
      </c>
      <c r="T2351" s="6"/>
      <c r="U2351" s="8"/>
    </row>
    <row r="2352" spans="1:34" ht="13" customHeight="1">
      <c r="A2352" s="8" t="s">
        <v>12254</v>
      </c>
      <c r="B2352" s="16">
        <v>30</v>
      </c>
      <c r="C2352" s="8" t="s">
        <v>20</v>
      </c>
      <c r="D2352" s="8" t="s">
        <v>37</v>
      </c>
      <c r="F2352" s="17">
        <v>41643</v>
      </c>
      <c r="G2352" s="8" t="s">
        <v>12255</v>
      </c>
      <c r="H2352" s="8" t="s">
        <v>2460</v>
      </c>
      <c r="I2352" s="8" t="s">
        <v>173</v>
      </c>
      <c r="J2352" s="16" t="s">
        <v>2461</v>
      </c>
      <c r="K2352" s="2" t="s">
        <v>1328</v>
      </c>
      <c r="L2352" s="8" t="s">
        <v>1329</v>
      </c>
      <c r="M2352" s="8" t="s">
        <v>27</v>
      </c>
      <c r="N2352" s="2" t="s">
        <v>12256</v>
      </c>
      <c r="O2352" s="8" t="s">
        <v>1013</v>
      </c>
      <c r="P2352" s="8" t="s">
        <v>401</v>
      </c>
      <c r="Q2352" s="12" t="s">
        <v>12257</v>
      </c>
      <c r="R2352" s="8" t="s">
        <v>100</v>
      </c>
      <c r="S2352" s="7" t="s">
        <v>28</v>
      </c>
      <c r="T2352" s="6"/>
      <c r="U2352" s="8"/>
    </row>
    <row r="2353" spans="1:39" ht="13" customHeight="1">
      <c r="A2353" s="8" t="s">
        <v>12248</v>
      </c>
      <c r="B2353" s="16">
        <v>49</v>
      </c>
      <c r="C2353" s="8" t="s">
        <v>20</v>
      </c>
      <c r="D2353" s="8" t="s">
        <v>37</v>
      </c>
      <c r="E2353" s="8" t="s">
        <v>12249</v>
      </c>
      <c r="F2353" s="17">
        <v>41643</v>
      </c>
      <c r="G2353" s="8" t="s">
        <v>12250</v>
      </c>
      <c r="H2353" s="8" t="s">
        <v>122</v>
      </c>
      <c r="I2353" s="8" t="s">
        <v>123</v>
      </c>
      <c r="J2353" s="16" t="s">
        <v>12251</v>
      </c>
      <c r="K2353" s="2" t="s">
        <v>124</v>
      </c>
      <c r="L2353" s="8" t="s">
        <v>10538</v>
      </c>
      <c r="M2353" s="8" t="s">
        <v>27</v>
      </c>
      <c r="N2353" s="2" t="s">
        <v>12252</v>
      </c>
      <c r="O2353" s="8" t="s">
        <v>400</v>
      </c>
      <c r="P2353" s="8" t="s">
        <v>401</v>
      </c>
      <c r="Q2353" s="12" t="s">
        <v>12253</v>
      </c>
      <c r="R2353" s="8" t="s">
        <v>100</v>
      </c>
      <c r="S2353" s="7" t="s">
        <v>28</v>
      </c>
      <c r="T2353" s="6"/>
      <c r="U2353" s="8"/>
    </row>
    <row r="2354" spans="1:39" ht="13" customHeight="1">
      <c r="A2354" s="8" t="s">
        <v>12264</v>
      </c>
      <c r="B2354" s="16">
        <v>21</v>
      </c>
      <c r="C2354" s="8" t="s">
        <v>20</v>
      </c>
      <c r="D2354" s="8" t="s">
        <v>85</v>
      </c>
      <c r="E2354" s="8" t="s">
        <v>12265</v>
      </c>
      <c r="F2354" s="17">
        <v>41642</v>
      </c>
      <c r="G2354" s="8" t="s">
        <v>12266</v>
      </c>
      <c r="H2354" s="8" t="s">
        <v>1097</v>
      </c>
      <c r="I2354" s="8" t="s">
        <v>395</v>
      </c>
      <c r="J2354" s="16" t="s">
        <v>12267</v>
      </c>
      <c r="K2354" s="2" t="s">
        <v>1098</v>
      </c>
      <c r="L2354" s="8" t="s">
        <v>1099</v>
      </c>
      <c r="M2354" s="8" t="s">
        <v>27</v>
      </c>
      <c r="N2354" s="2" t="s">
        <v>12268</v>
      </c>
      <c r="O2354" s="8" t="s">
        <v>1013</v>
      </c>
      <c r="P2354" s="8" t="s">
        <v>401</v>
      </c>
      <c r="Q2354" s="12" t="str">
        <f>HYPERLINK("http://newsok.com/police-release-name-of-man-killed-in-officer-involved-shooting/article/3920773","http://newsok.com/police-release-name-of-man-killed-in-officer-involved-shooting/article/3920773")</f>
        <v>http://newsok.com/police-release-name-of-man-killed-in-officer-involved-shooting/article/3920773</v>
      </c>
      <c r="R2354" s="8" t="s">
        <v>100</v>
      </c>
      <c r="S2354" s="7" t="s">
        <v>28</v>
      </c>
      <c r="T2354" s="6"/>
      <c r="U2354" s="8"/>
    </row>
    <row r="2355" spans="1:39" ht="13" customHeight="1">
      <c r="A2355" s="8" t="s">
        <v>12269</v>
      </c>
      <c r="B2355" s="16">
        <v>35</v>
      </c>
      <c r="C2355" s="8" t="s">
        <v>20</v>
      </c>
      <c r="D2355" s="8" t="s">
        <v>48</v>
      </c>
      <c r="E2355" s="8" t="s">
        <v>12270</v>
      </c>
      <c r="F2355" s="17">
        <v>41642</v>
      </c>
      <c r="G2355" s="8" t="s">
        <v>12271</v>
      </c>
      <c r="H2355" s="8" t="s">
        <v>12272</v>
      </c>
      <c r="I2355" s="8" t="s">
        <v>209</v>
      </c>
      <c r="J2355" s="16" t="s">
        <v>12273</v>
      </c>
      <c r="K2355" s="2" t="s">
        <v>1927</v>
      </c>
      <c r="L2355" s="8" t="s">
        <v>12274</v>
      </c>
      <c r="M2355" s="8" t="s">
        <v>27</v>
      </c>
      <c r="N2355" s="2" t="s">
        <v>12275</v>
      </c>
      <c r="O2355" s="8" t="s">
        <v>550</v>
      </c>
      <c r="P2355" s="8" t="s">
        <v>401</v>
      </c>
      <c r="Q2355" s="12" t="s">
        <v>12276</v>
      </c>
      <c r="R2355" s="8" t="s">
        <v>967</v>
      </c>
      <c r="S2355" s="7" t="s">
        <v>28</v>
      </c>
      <c r="T2355" s="6"/>
      <c r="U2355" s="8"/>
    </row>
    <row r="2356" spans="1:39" ht="13" customHeight="1">
      <c r="A2356" s="8" t="s">
        <v>12277</v>
      </c>
      <c r="B2356" s="16">
        <v>25</v>
      </c>
      <c r="C2356" s="8" t="s">
        <v>20</v>
      </c>
      <c r="D2356" s="8" t="s">
        <v>37</v>
      </c>
      <c r="E2356" s="8" t="s">
        <v>12278</v>
      </c>
      <c r="F2356" s="17">
        <v>41642</v>
      </c>
      <c r="G2356" s="8" t="s">
        <v>12279</v>
      </c>
      <c r="H2356" s="8" t="s">
        <v>12280</v>
      </c>
      <c r="I2356" s="8" t="s">
        <v>73</v>
      </c>
      <c r="J2356" s="16" t="s">
        <v>12281</v>
      </c>
      <c r="K2356" s="2" t="s">
        <v>74</v>
      </c>
      <c r="L2356" s="8" t="s">
        <v>12282</v>
      </c>
      <c r="M2356" s="8" t="s">
        <v>27</v>
      </c>
      <c r="N2356" s="2" t="s">
        <v>12283</v>
      </c>
      <c r="O2356" s="8" t="s">
        <v>550</v>
      </c>
      <c r="P2356" s="8" t="s">
        <v>401</v>
      </c>
      <c r="Q2356" s="12" t="s">
        <v>12284</v>
      </c>
      <c r="R2356" s="8" t="s">
        <v>100</v>
      </c>
      <c r="S2356" s="7" t="s">
        <v>28</v>
      </c>
      <c r="T2356" s="6"/>
      <c r="U2356" s="8"/>
    </row>
    <row r="2357" spans="1:39" ht="13" customHeight="1">
      <c r="A2357" s="8" t="s">
        <v>12297</v>
      </c>
      <c r="B2357" s="16">
        <v>30</v>
      </c>
      <c r="C2357" s="8" t="s">
        <v>114</v>
      </c>
      <c r="D2357" s="8" t="s">
        <v>37</v>
      </c>
      <c r="F2357" s="17">
        <v>41642</v>
      </c>
      <c r="G2357" s="8" t="s">
        <v>12298</v>
      </c>
      <c r="H2357" s="8" t="s">
        <v>12299</v>
      </c>
      <c r="I2357" s="8" t="s">
        <v>303</v>
      </c>
      <c r="J2357" s="16" t="s">
        <v>12300</v>
      </c>
      <c r="K2357" s="2" t="s">
        <v>6288</v>
      </c>
      <c r="L2357" s="8" t="s">
        <v>6289</v>
      </c>
      <c r="M2357" s="8" t="s">
        <v>27</v>
      </c>
      <c r="N2357" s="2" t="s">
        <v>12301</v>
      </c>
      <c r="O2357" s="8" t="s">
        <v>1013</v>
      </c>
      <c r="P2357" s="8" t="s">
        <v>401</v>
      </c>
      <c r="Q2357" s="12" t="s">
        <v>12302</v>
      </c>
      <c r="R2357" s="8" t="s">
        <v>967</v>
      </c>
      <c r="S2357" s="7" t="s">
        <v>28</v>
      </c>
      <c r="T2357" s="6"/>
      <c r="U2357" s="8"/>
    </row>
    <row r="2358" spans="1:39" ht="13" customHeight="1">
      <c r="A2358" s="8" t="s">
        <v>12285</v>
      </c>
      <c r="B2358" s="16">
        <v>47</v>
      </c>
      <c r="C2358" s="8" t="s">
        <v>20</v>
      </c>
      <c r="D2358" s="8" t="s">
        <v>37</v>
      </c>
      <c r="F2358" s="17">
        <v>41642</v>
      </c>
      <c r="G2358" s="8" t="s">
        <v>12286</v>
      </c>
      <c r="H2358" s="8" t="s">
        <v>1290</v>
      </c>
      <c r="I2358" s="8" t="s">
        <v>69</v>
      </c>
      <c r="J2358" s="16" t="s">
        <v>12287</v>
      </c>
      <c r="K2358" s="2" t="s">
        <v>1291</v>
      </c>
      <c r="L2358" s="8" t="s">
        <v>12628</v>
      </c>
      <c r="M2358" s="8" t="s">
        <v>27</v>
      </c>
      <c r="N2358" s="2" t="s">
        <v>12288</v>
      </c>
      <c r="O2358" s="8" t="s">
        <v>1013</v>
      </c>
      <c r="P2358" s="8" t="s">
        <v>401</v>
      </c>
      <c r="Q2358" s="12" t="s">
        <v>12289</v>
      </c>
      <c r="R2358" s="8" t="s">
        <v>555</v>
      </c>
      <c r="S2358" s="7" t="s">
        <v>28</v>
      </c>
      <c r="T2358" s="6"/>
      <c r="U2358" s="8"/>
    </row>
    <row r="2359" spans="1:39" ht="13" customHeight="1">
      <c r="A2359" s="8" t="s">
        <v>12290</v>
      </c>
      <c r="B2359" s="16">
        <v>30</v>
      </c>
      <c r="C2359" s="8" t="s">
        <v>20</v>
      </c>
      <c r="D2359" s="8" t="s">
        <v>37</v>
      </c>
      <c r="E2359" s="8" t="s">
        <v>12291</v>
      </c>
      <c r="F2359" s="17">
        <v>41642</v>
      </c>
      <c r="G2359" s="8" t="s">
        <v>12292</v>
      </c>
      <c r="H2359" s="8" t="s">
        <v>12293</v>
      </c>
      <c r="I2359" s="8" t="s">
        <v>117</v>
      </c>
      <c r="J2359" s="16" t="s">
        <v>12294</v>
      </c>
      <c r="K2359" s="2" t="s">
        <v>2324</v>
      </c>
      <c r="L2359" s="8" t="s">
        <v>2055</v>
      </c>
      <c r="M2359" s="8" t="s">
        <v>379</v>
      </c>
      <c r="N2359" s="2" t="s">
        <v>12295</v>
      </c>
      <c r="O2359" s="8" t="s">
        <v>550</v>
      </c>
      <c r="P2359" s="8" t="s">
        <v>401</v>
      </c>
      <c r="Q2359" s="12" t="s">
        <v>12296</v>
      </c>
      <c r="R2359" s="8" t="s">
        <v>100</v>
      </c>
      <c r="S2359" s="7" t="s">
        <v>28</v>
      </c>
      <c r="T2359" s="6"/>
      <c r="U2359" s="8"/>
    </row>
    <row r="2360" spans="1:39" ht="13" customHeight="1">
      <c r="A2360" s="8" t="s">
        <v>12303</v>
      </c>
      <c r="B2360" s="16">
        <v>33</v>
      </c>
      <c r="C2360" s="8" t="s">
        <v>20</v>
      </c>
      <c r="D2360" s="8" t="s">
        <v>85</v>
      </c>
      <c r="E2360" s="8" t="s">
        <v>12304</v>
      </c>
      <c r="F2360" s="17">
        <v>41641</v>
      </c>
      <c r="G2360" s="8" t="s">
        <v>12305</v>
      </c>
      <c r="H2360" s="8" t="s">
        <v>12306</v>
      </c>
      <c r="I2360" s="8" t="s">
        <v>62</v>
      </c>
      <c r="J2360" s="16" t="s">
        <v>12307</v>
      </c>
      <c r="K2360" s="2" t="s">
        <v>12308</v>
      </c>
      <c r="L2360" s="8" t="s">
        <v>12309</v>
      </c>
      <c r="M2360" s="8" t="s">
        <v>27</v>
      </c>
      <c r="N2360" s="2" t="s">
        <v>12310</v>
      </c>
      <c r="O2360" s="8" t="s">
        <v>550</v>
      </c>
      <c r="P2360" s="8" t="s">
        <v>401</v>
      </c>
      <c r="Q2360" s="12" t="str">
        <f>HYPERLINK("http://www.nwfdailynews.com/local/suspect-killed-officers-shot-in-crestview-incident-1.257150","http://www.nwfdailynews.com/local/suspect-killed-officers-shot-in-crestview-incident-1.257150")</f>
        <v>http://www.nwfdailynews.com/local/suspect-killed-officers-shot-in-crestview-incident-1.257150</v>
      </c>
      <c r="R2360" s="8" t="s">
        <v>100</v>
      </c>
      <c r="S2360" s="7" t="s">
        <v>28</v>
      </c>
      <c r="T2360" s="6"/>
      <c r="U2360" s="8"/>
    </row>
    <row r="2361" spans="1:39" ht="13" customHeight="1">
      <c r="A2361" s="8" t="s">
        <v>12317</v>
      </c>
      <c r="B2361" s="16">
        <v>35</v>
      </c>
      <c r="C2361" s="8" t="s">
        <v>20</v>
      </c>
      <c r="D2361" s="8" t="s">
        <v>37</v>
      </c>
      <c r="F2361" s="17">
        <v>41641</v>
      </c>
      <c r="G2361" s="8" t="s">
        <v>12318</v>
      </c>
      <c r="H2361" s="8" t="s">
        <v>12319</v>
      </c>
      <c r="I2361" s="8" t="s">
        <v>73</v>
      </c>
      <c r="J2361" s="16" t="s">
        <v>12320</v>
      </c>
      <c r="K2361" s="2" t="s">
        <v>12321</v>
      </c>
      <c r="L2361" s="8" t="s">
        <v>4762</v>
      </c>
      <c r="M2361" s="8" t="s">
        <v>27</v>
      </c>
      <c r="N2361" s="2" t="s">
        <v>12322</v>
      </c>
      <c r="O2361" s="8" t="s">
        <v>1161</v>
      </c>
      <c r="P2361" s="8" t="s">
        <v>1162</v>
      </c>
      <c r="Q2361" s="12" t="s">
        <v>12323</v>
      </c>
      <c r="R2361" s="8" t="s">
        <v>100</v>
      </c>
      <c r="S2361" s="7" t="s">
        <v>18</v>
      </c>
      <c r="T2361" s="6"/>
      <c r="U2361" s="8"/>
    </row>
    <row r="2362" spans="1:39" ht="13" customHeight="1">
      <c r="A2362" s="8" t="s">
        <v>12311</v>
      </c>
      <c r="B2362" s="16">
        <v>47</v>
      </c>
      <c r="C2362" s="8" t="s">
        <v>20</v>
      </c>
      <c r="D2362" s="8" t="s">
        <v>37</v>
      </c>
      <c r="E2362" s="8" t="s">
        <v>12312</v>
      </c>
      <c r="F2362" s="17">
        <v>41641</v>
      </c>
      <c r="G2362" s="8" t="s">
        <v>12313</v>
      </c>
      <c r="H2362" s="8" t="s">
        <v>285</v>
      </c>
      <c r="I2362" s="8" t="s">
        <v>73</v>
      </c>
      <c r="J2362" s="16" t="s">
        <v>12314</v>
      </c>
      <c r="K2362" s="2" t="s">
        <v>285</v>
      </c>
      <c r="L2362" s="8" t="s">
        <v>286</v>
      </c>
      <c r="M2362" s="8" t="s">
        <v>27</v>
      </c>
      <c r="N2362" s="2" t="s">
        <v>12315</v>
      </c>
      <c r="O2362" s="8" t="s">
        <v>550</v>
      </c>
      <c r="P2362" s="8" t="s">
        <v>401</v>
      </c>
      <c r="Q2362" s="12" t="s">
        <v>12316</v>
      </c>
      <c r="R2362" s="8" t="s">
        <v>967</v>
      </c>
      <c r="S2362" s="7" t="s">
        <v>28</v>
      </c>
      <c r="T2362" s="6"/>
      <c r="U2362" s="8"/>
    </row>
    <row r="2363" spans="1:39" ht="13" customHeight="1">
      <c r="A2363" s="8" t="s">
        <v>12324</v>
      </c>
      <c r="B2363" s="16">
        <v>20</v>
      </c>
      <c r="C2363" s="8" t="s">
        <v>20</v>
      </c>
      <c r="D2363" s="8" t="s">
        <v>85</v>
      </c>
      <c r="E2363" s="8" t="s">
        <v>12325</v>
      </c>
      <c r="F2363" s="17">
        <v>41640</v>
      </c>
      <c r="G2363" s="8" t="s">
        <v>12326</v>
      </c>
      <c r="H2363" s="8" t="s">
        <v>12327</v>
      </c>
      <c r="I2363" s="8" t="s">
        <v>57</v>
      </c>
      <c r="J2363" s="16" t="s">
        <v>12328</v>
      </c>
      <c r="K2363" s="2" t="s">
        <v>1132</v>
      </c>
      <c r="L2363" s="8" t="s">
        <v>12329</v>
      </c>
      <c r="M2363" s="8" t="s">
        <v>27</v>
      </c>
      <c r="N2363" s="2" t="s">
        <v>12330</v>
      </c>
      <c r="O2363" s="8" t="s">
        <v>1013</v>
      </c>
      <c r="P2363" s="8" t="s">
        <v>401</v>
      </c>
      <c r="Q2363" s="12" t="s">
        <v>12331</v>
      </c>
      <c r="R2363" s="8" t="s">
        <v>100</v>
      </c>
      <c r="S2363" s="7" t="s">
        <v>35</v>
      </c>
      <c r="T2363" s="6"/>
      <c r="U2363" s="8"/>
    </row>
    <row r="2364" spans="1:39" ht="13" customHeight="1">
      <c r="A2364" s="8" t="s">
        <v>12332</v>
      </c>
      <c r="B2364" s="16">
        <v>33</v>
      </c>
      <c r="C2364" s="8" t="s">
        <v>20</v>
      </c>
      <c r="D2364" s="8" t="s">
        <v>37</v>
      </c>
      <c r="F2364" s="17">
        <v>41640</v>
      </c>
      <c r="G2364" s="8" t="s">
        <v>12333</v>
      </c>
      <c r="H2364" s="8" t="s">
        <v>8975</v>
      </c>
      <c r="I2364" s="8" t="s">
        <v>395</v>
      </c>
      <c r="J2364" s="16" t="s">
        <v>12334</v>
      </c>
      <c r="K2364" s="2" t="s">
        <v>12335</v>
      </c>
      <c r="L2364" s="8" t="s">
        <v>18450</v>
      </c>
      <c r="M2364" s="8" t="s">
        <v>27</v>
      </c>
      <c r="N2364" s="2" t="s">
        <v>12336</v>
      </c>
      <c r="O2364" s="8" t="s">
        <v>29</v>
      </c>
      <c r="P2364" s="8" t="s">
        <v>401</v>
      </c>
      <c r="Q2364" s="12" t="s">
        <v>12337</v>
      </c>
      <c r="R2364" s="8" t="s">
        <v>100</v>
      </c>
      <c r="S2364" s="7" t="s">
        <v>28</v>
      </c>
      <c r="T2364" s="6"/>
      <c r="U2364" s="8"/>
    </row>
    <row r="2365" spans="1:39" ht="13" customHeight="1">
      <c r="A2365" s="8" t="s">
        <v>12343</v>
      </c>
      <c r="B2365" s="16" t="s">
        <v>8854</v>
      </c>
      <c r="C2365" s="8" t="s">
        <v>20</v>
      </c>
      <c r="D2365" s="8" t="s">
        <v>85</v>
      </c>
      <c r="F2365" s="17">
        <v>41639</v>
      </c>
      <c r="G2365" s="8" t="s">
        <v>12344</v>
      </c>
      <c r="H2365" s="8" t="s">
        <v>786</v>
      </c>
      <c r="I2365" s="8" t="s">
        <v>45</v>
      </c>
      <c r="J2365" s="16" t="s">
        <v>12345</v>
      </c>
      <c r="K2365" s="2" t="s">
        <v>786</v>
      </c>
      <c r="L2365" s="8" t="s">
        <v>5973</v>
      </c>
      <c r="M2365" s="8" t="s">
        <v>27</v>
      </c>
      <c r="N2365" s="2" t="s">
        <v>12346</v>
      </c>
      <c r="O2365" s="8" t="s">
        <v>29</v>
      </c>
      <c r="P2365" s="8" t="s">
        <v>401</v>
      </c>
      <c r="Q2365" s="12" t="s">
        <v>12347</v>
      </c>
      <c r="R2365" s="8" t="s">
        <v>100</v>
      </c>
      <c r="S2365" s="7" t="s">
        <v>28</v>
      </c>
      <c r="T2365" s="6"/>
      <c r="U2365" s="8"/>
    </row>
    <row r="2366" spans="1:39" ht="13" customHeight="1">
      <c r="A2366" s="8" t="s">
        <v>12338</v>
      </c>
      <c r="B2366" s="16">
        <v>34</v>
      </c>
      <c r="C2366" s="8" t="s">
        <v>20</v>
      </c>
      <c r="D2366" s="8" t="s">
        <v>85</v>
      </c>
      <c r="E2366" s="8" t="s">
        <v>12339</v>
      </c>
      <c r="F2366" s="17">
        <v>41639</v>
      </c>
      <c r="G2366" s="8" t="s">
        <v>12340</v>
      </c>
      <c r="H2366" s="8" t="s">
        <v>1280</v>
      </c>
      <c r="I2366" s="8" t="s">
        <v>366</v>
      </c>
      <c r="J2366" s="16" t="s">
        <v>12341</v>
      </c>
      <c r="K2366" s="2" t="s">
        <v>1291</v>
      </c>
      <c r="L2366" s="8" t="s">
        <v>1292</v>
      </c>
      <c r="M2366" s="8" t="s">
        <v>27</v>
      </c>
      <c r="N2366" s="2" t="s">
        <v>12342</v>
      </c>
      <c r="O2366" s="8" t="s">
        <v>1013</v>
      </c>
      <c r="P2366" s="8" t="s">
        <v>401</v>
      </c>
      <c r="Q2366" s="12" t="str">
        <f>HYPERLINK("http://www.wilsontimes.com/News/Feature/Story/28048226---Deputies--Man-fatally-shot-after-killing-2","http://www.wilsontimes.com/News/Feature/Story/28048226---Deputies--Man-fatally-shot-after-killing-2")</f>
        <v>http://www.wilsontimes.com/News/Feature/Story/28048226---Deputies--Man-fatally-shot-after-killing-2</v>
      </c>
      <c r="R2366" s="8" t="s">
        <v>29</v>
      </c>
      <c r="S2366" s="7" t="s">
        <v>28</v>
      </c>
      <c r="T2366" s="6"/>
      <c r="U2366" s="8"/>
    </row>
    <row r="2367" spans="1:39" ht="13" customHeight="1">
      <c r="A2367" s="8" t="s">
        <v>12348</v>
      </c>
      <c r="B2367" s="16">
        <v>54</v>
      </c>
      <c r="C2367" s="8" t="s">
        <v>20</v>
      </c>
      <c r="D2367" s="8" t="s">
        <v>30</v>
      </c>
      <c r="F2367" s="17">
        <v>41638</v>
      </c>
      <c r="G2367" s="8" t="s">
        <v>12349</v>
      </c>
      <c r="H2367" s="8" t="s">
        <v>12350</v>
      </c>
      <c r="I2367" s="8" t="s">
        <v>303</v>
      </c>
      <c r="J2367" s="16" t="s">
        <v>12351</v>
      </c>
      <c r="K2367" s="2" t="s">
        <v>397</v>
      </c>
      <c r="L2367" s="8" t="s">
        <v>12352</v>
      </c>
      <c r="M2367" s="8" t="s">
        <v>27</v>
      </c>
      <c r="N2367" s="2" t="s">
        <v>12353</v>
      </c>
      <c r="O2367" s="8" t="s">
        <v>1013</v>
      </c>
      <c r="P2367" s="8" t="s">
        <v>401</v>
      </c>
      <c r="Q2367" s="12" t="s">
        <v>12354</v>
      </c>
      <c r="R2367" s="8" t="s">
        <v>29</v>
      </c>
      <c r="S2367" s="7" t="s">
        <v>28</v>
      </c>
      <c r="T2367" s="6"/>
      <c r="U2367" s="8"/>
    </row>
    <row r="2368" spans="1:39" ht="13" customHeight="1">
      <c r="A2368" s="8" t="s">
        <v>12355</v>
      </c>
      <c r="B2368" s="16">
        <v>45</v>
      </c>
      <c r="C2368" s="8" t="s">
        <v>20</v>
      </c>
      <c r="D2368" s="8" t="s">
        <v>21</v>
      </c>
      <c r="F2368" s="17">
        <v>41637</v>
      </c>
      <c r="G2368" s="8" t="s">
        <v>12356</v>
      </c>
      <c r="H2368" s="8" t="s">
        <v>681</v>
      </c>
      <c r="I2368" s="8" t="s">
        <v>45</v>
      </c>
      <c r="J2368" s="16" t="s">
        <v>8141</v>
      </c>
      <c r="K2368" s="2" t="s">
        <v>682</v>
      </c>
      <c r="L2368" s="8" t="s">
        <v>683</v>
      </c>
      <c r="M2368" s="8" t="s">
        <v>27</v>
      </c>
      <c r="N2368" s="2" t="s">
        <v>12357</v>
      </c>
      <c r="O2368" s="8" t="s">
        <v>1013</v>
      </c>
      <c r="P2368" s="8" t="s">
        <v>401</v>
      </c>
      <c r="Q2368" s="12" t="s">
        <v>12358</v>
      </c>
      <c r="R2368" s="8" t="s">
        <v>29</v>
      </c>
      <c r="S2368" s="7" t="s">
        <v>28</v>
      </c>
      <c r="T2368" s="6"/>
      <c r="U2368" s="8"/>
      <c r="Y2368" s="8"/>
      <c r="Z2368" s="8"/>
      <c r="AA2368" s="8"/>
      <c r="AB2368" s="8"/>
      <c r="AC2368" s="8"/>
      <c r="AD2368" s="8"/>
      <c r="AE2368" s="8"/>
      <c r="AF2368" s="8"/>
      <c r="AG2368" s="8"/>
      <c r="AH2368" s="8"/>
      <c r="AI2368" s="8"/>
      <c r="AJ2368" s="8"/>
      <c r="AK2368" s="8"/>
      <c r="AL2368" s="8"/>
      <c r="AM2368" s="8"/>
    </row>
    <row r="2369" spans="1:34" ht="13" customHeight="1">
      <c r="A2369" s="8" t="s">
        <v>12367</v>
      </c>
      <c r="B2369" s="16">
        <v>34</v>
      </c>
      <c r="C2369" s="8" t="s">
        <v>20</v>
      </c>
      <c r="D2369" s="8" t="s">
        <v>85</v>
      </c>
      <c r="E2369" s="8" t="s">
        <v>12368</v>
      </c>
      <c r="F2369" s="17">
        <v>41637</v>
      </c>
      <c r="G2369" s="8" t="s">
        <v>12369</v>
      </c>
      <c r="H2369" s="8" t="s">
        <v>12370</v>
      </c>
      <c r="I2369" s="8" t="s">
        <v>25</v>
      </c>
      <c r="J2369" s="16" t="s">
        <v>12371</v>
      </c>
      <c r="K2369" s="2" t="s">
        <v>12372</v>
      </c>
      <c r="L2369" s="8" t="s">
        <v>12373</v>
      </c>
      <c r="M2369" s="8" t="s">
        <v>27</v>
      </c>
      <c r="N2369" s="2" t="s">
        <v>12374</v>
      </c>
      <c r="O2369" s="8" t="s">
        <v>1790</v>
      </c>
      <c r="P2369" s="8" t="s">
        <v>1162</v>
      </c>
      <c r="Q2369" s="12" t="s">
        <v>12375</v>
      </c>
      <c r="R2369" s="8" t="s">
        <v>100</v>
      </c>
      <c r="S2369" s="7" t="s">
        <v>18</v>
      </c>
      <c r="T2369" s="6"/>
      <c r="U2369" s="8"/>
    </row>
    <row r="2370" spans="1:34" ht="13" customHeight="1">
      <c r="A2370" s="8" t="s">
        <v>12359</v>
      </c>
      <c r="B2370" s="16">
        <v>43</v>
      </c>
      <c r="C2370" s="8" t="s">
        <v>20</v>
      </c>
      <c r="D2370" s="8" t="s">
        <v>85</v>
      </c>
      <c r="E2370" s="8" t="s">
        <v>12360</v>
      </c>
      <c r="F2370" s="17">
        <v>41637</v>
      </c>
      <c r="G2370" s="8" t="s">
        <v>12361</v>
      </c>
      <c r="H2370" s="8" t="s">
        <v>12362</v>
      </c>
      <c r="I2370" s="8" t="s">
        <v>404</v>
      </c>
      <c r="J2370" s="16" t="s">
        <v>12363</v>
      </c>
      <c r="K2370" s="2" t="s">
        <v>4566</v>
      </c>
      <c r="L2370" s="8" t="s">
        <v>12364</v>
      </c>
      <c r="M2370" s="8" t="s">
        <v>27</v>
      </c>
      <c r="N2370" s="2" t="s">
        <v>12365</v>
      </c>
      <c r="O2370" s="8" t="s">
        <v>1013</v>
      </c>
      <c r="P2370" s="8" t="s">
        <v>401</v>
      </c>
      <c r="Q2370" s="12" t="s">
        <v>12366</v>
      </c>
      <c r="R2370" s="8" t="s">
        <v>100</v>
      </c>
      <c r="S2370" s="7" t="s">
        <v>379</v>
      </c>
      <c r="T2370" s="6"/>
      <c r="U2370" s="8"/>
    </row>
    <row r="2371" spans="1:34" ht="13" customHeight="1">
      <c r="A2371" s="8" t="s">
        <v>12381</v>
      </c>
      <c r="B2371" s="16">
        <v>30</v>
      </c>
      <c r="C2371" s="8" t="s">
        <v>20</v>
      </c>
      <c r="D2371" s="8" t="s">
        <v>30</v>
      </c>
      <c r="F2371" s="17">
        <v>41637</v>
      </c>
      <c r="G2371" s="8" t="s">
        <v>12382</v>
      </c>
      <c r="H2371" s="8" t="s">
        <v>665</v>
      </c>
      <c r="I2371" s="8" t="s">
        <v>69</v>
      </c>
      <c r="J2371" s="16" t="s">
        <v>12383</v>
      </c>
      <c r="K2371" s="2" t="s">
        <v>213</v>
      </c>
      <c r="L2371" s="8" t="s">
        <v>667</v>
      </c>
      <c r="M2371" s="8" t="s">
        <v>27</v>
      </c>
      <c r="N2371" s="2" t="s">
        <v>12384</v>
      </c>
      <c r="O2371" s="8" t="s">
        <v>1013</v>
      </c>
      <c r="P2371" s="8" t="s">
        <v>401</v>
      </c>
      <c r="Q2371" s="12" t="s">
        <v>12385</v>
      </c>
      <c r="R2371" s="8" t="s">
        <v>100</v>
      </c>
      <c r="S2371" s="7" t="s">
        <v>28</v>
      </c>
      <c r="T2371" s="6"/>
      <c r="U2371" s="8"/>
    </row>
    <row r="2372" spans="1:34" ht="13" customHeight="1">
      <c r="A2372" s="8" t="s">
        <v>12376</v>
      </c>
      <c r="B2372" s="16">
        <v>22</v>
      </c>
      <c r="C2372" s="8" t="s">
        <v>20</v>
      </c>
      <c r="D2372" s="8" t="s">
        <v>30</v>
      </c>
      <c r="F2372" s="17">
        <v>41637</v>
      </c>
      <c r="G2372" s="8" t="s">
        <v>12377</v>
      </c>
      <c r="H2372" s="8" t="s">
        <v>11741</v>
      </c>
      <c r="I2372" s="8" t="s">
        <v>25</v>
      </c>
      <c r="J2372" s="16" t="s">
        <v>11742</v>
      </c>
      <c r="K2372" s="2" t="s">
        <v>2324</v>
      </c>
      <c r="L2372" s="8" t="s">
        <v>12378</v>
      </c>
      <c r="M2372" s="8" t="s">
        <v>27</v>
      </c>
      <c r="N2372" s="2" t="s">
        <v>12379</v>
      </c>
      <c r="O2372" s="8" t="s">
        <v>1013</v>
      </c>
      <c r="P2372" s="8" t="s">
        <v>401</v>
      </c>
      <c r="Q2372" s="12" t="s">
        <v>12380</v>
      </c>
      <c r="R2372" s="8" t="s">
        <v>29</v>
      </c>
      <c r="S2372" s="7" t="s">
        <v>18</v>
      </c>
      <c r="T2372" s="6"/>
      <c r="U2372" s="8"/>
    </row>
    <row r="2373" spans="1:34" ht="13" customHeight="1">
      <c r="A2373" s="8" t="s">
        <v>12402</v>
      </c>
      <c r="B2373" s="16">
        <v>31</v>
      </c>
      <c r="C2373" s="8" t="s">
        <v>114</v>
      </c>
      <c r="D2373" s="8" t="s">
        <v>37</v>
      </c>
      <c r="F2373" s="17">
        <v>41637</v>
      </c>
      <c r="G2373" s="8" t="s">
        <v>12403</v>
      </c>
      <c r="H2373" s="8" t="s">
        <v>12404</v>
      </c>
      <c r="I2373" s="8" t="s">
        <v>45</v>
      </c>
      <c r="J2373" s="16" t="s">
        <v>12405</v>
      </c>
      <c r="K2373" s="2" t="s">
        <v>682</v>
      </c>
      <c r="L2373" s="8" t="s">
        <v>750</v>
      </c>
      <c r="M2373" s="8" t="s">
        <v>27</v>
      </c>
      <c r="N2373" s="2" t="s">
        <v>12406</v>
      </c>
      <c r="O2373" s="8" t="s">
        <v>1013</v>
      </c>
      <c r="P2373" s="8" t="s">
        <v>401</v>
      </c>
      <c r="Q2373" s="12" t="s">
        <v>12407</v>
      </c>
      <c r="R2373" s="8" t="s">
        <v>29</v>
      </c>
      <c r="S2373" s="7" t="s">
        <v>28</v>
      </c>
      <c r="T2373" s="6"/>
      <c r="U2373" s="8"/>
    </row>
    <row r="2374" spans="1:34" ht="13" customHeight="1">
      <c r="A2374" s="8" t="s">
        <v>12395</v>
      </c>
      <c r="B2374" s="16">
        <v>44</v>
      </c>
      <c r="C2374" s="8" t="s">
        <v>20</v>
      </c>
      <c r="D2374" s="8" t="s">
        <v>37</v>
      </c>
      <c r="E2374" s="8" t="s">
        <v>12396</v>
      </c>
      <c r="F2374" s="17">
        <v>41637</v>
      </c>
      <c r="G2374" s="8" t="s">
        <v>12397</v>
      </c>
      <c r="H2374" s="8" t="s">
        <v>12398</v>
      </c>
      <c r="I2374" s="8" t="s">
        <v>209</v>
      </c>
      <c r="J2374" s="16" t="s">
        <v>12399</v>
      </c>
      <c r="K2374" s="2" t="s">
        <v>999</v>
      </c>
      <c r="L2374" s="8" t="s">
        <v>2703</v>
      </c>
      <c r="M2374" s="8" t="s">
        <v>27</v>
      </c>
      <c r="N2374" s="2" t="s">
        <v>12400</v>
      </c>
      <c r="O2374" s="8" t="s">
        <v>1013</v>
      </c>
      <c r="P2374" s="8" t="s">
        <v>401</v>
      </c>
      <c r="Q2374" s="12" t="s">
        <v>12401</v>
      </c>
      <c r="R2374" s="8" t="s">
        <v>29</v>
      </c>
      <c r="S2374" s="7" t="s">
        <v>28</v>
      </c>
      <c r="T2374" s="6"/>
      <c r="U2374" s="8"/>
    </row>
    <row r="2375" spans="1:34" ht="13" customHeight="1">
      <c r="A2375" s="8" t="s">
        <v>12386</v>
      </c>
      <c r="B2375" s="16">
        <v>51</v>
      </c>
      <c r="C2375" s="8" t="s">
        <v>20</v>
      </c>
      <c r="D2375" s="8" t="s">
        <v>37</v>
      </c>
      <c r="E2375" s="8" t="s">
        <v>12387</v>
      </c>
      <c r="F2375" s="17">
        <v>41637</v>
      </c>
      <c r="G2375" s="8" t="s">
        <v>12388</v>
      </c>
      <c r="H2375" s="8" t="s">
        <v>12389</v>
      </c>
      <c r="I2375" s="8" t="s">
        <v>366</v>
      </c>
      <c r="J2375" s="16" t="s">
        <v>12390</v>
      </c>
      <c r="K2375" s="2" t="s">
        <v>12391</v>
      </c>
      <c r="L2375" s="8" t="s">
        <v>12392</v>
      </c>
      <c r="M2375" s="8" t="s">
        <v>27</v>
      </c>
      <c r="N2375" s="2" t="s">
        <v>12393</v>
      </c>
      <c r="O2375" s="8" t="s">
        <v>1013</v>
      </c>
      <c r="P2375" s="8" t="s">
        <v>401</v>
      </c>
      <c r="Q2375" s="12" t="s">
        <v>12394</v>
      </c>
      <c r="R2375" s="8" t="s">
        <v>100</v>
      </c>
      <c r="S2375" s="7" t="s">
        <v>28</v>
      </c>
      <c r="T2375" s="6"/>
      <c r="U2375" s="8"/>
      <c r="Y2375" s="8"/>
      <c r="Z2375" s="8"/>
      <c r="AA2375" s="8"/>
      <c r="AB2375" s="8"/>
      <c r="AC2375" s="8"/>
      <c r="AD2375" s="8"/>
      <c r="AE2375" s="8"/>
      <c r="AF2375" s="8"/>
      <c r="AG2375" s="8"/>
      <c r="AH2375" s="8"/>
    </row>
    <row r="2376" spans="1:34" ht="13" customHeight="1">
      <c r="A2376" s="8" t="s">
        <v>12408</v>
      </c>
      <c r="B2376" s="16">
        <v>24</v>
      </c>
      <c r="C2376" s="8" t="s">
        <v>20</v>
      </c>
      <c r="D2376" s="8" t="s">
        <v>85</v>
      </c>
      <c r="E2376" s="8" t="s">
        <v>12409</v>
      </c>
      <c r="F2376" s="17">
        <v>41636</v>
      </c>
      <c r="G2376" s="8" t="s">
        <v>12410</v>
      </c>
      <c r="H2376" s="8" t="s">
        <v>3405</v>
      </c>
      <c r="I2376" s="8" t="s">
        <v>62</v>
      </c>
      <c r="J2376" s="16" t="s">
        <v>3406</v>
      </c>
      <c r="K2376" s="2" t="s">
        <v>2100</v>
      </c>
      <c r="L2376" s="8" t="s">
        <v>12411</v>
      </c>
      <c r="M2376" s="8" t="s">
        <v>27</v>
      </c>
      <c r="N2376" s="2" t="s">
        <v>12412</v>
      </c>
      <c r="O2376" s="8" t="s">
        <v>1013</v>
      </c>
      <c r="P2376" s="8" t="s">
        <v>401</v>
      </c>
      <c r="Q2376" s="12" t="s">
        <v>12413</v>
      </c>
      <c r="R2376" s="8" t="s">
        <v>100</v>
      </c>
      <c r="S2376" s="7" t="s">
        <v>28</v>
      </c>
      <c r="T2376" s="6"/>
      <c r="U2376" s="8"/>
    </row>
    <row r="2377" spans="1:34" ht="13" customHeight="1">
      <c r="A2377" s="8" t="s">
        <v>12414</v>
      </c>
      <c r="B2377" s="16">
        <v>37</v>
      </c>
      <c r="C2377" s="8" t="s">
        <v>20</v>
      </c>
      <c r="D2377" s="8" t="s">
        <v>85</v>
      </c>
      <c r="F2377" s="17">
        <v>41636</v>
      </c>
      <c r="G2377" s="8" t="s">
        <v>12415</v>
      </c>
      <c r="H2377" s="8" t="s">
        <v>726</v>
      </c>
      <c r="I2377" s="8" t="s">
        <v>73</v>
      </c>
      <c r="K2377" s="2" t="s">
        <v>558</v>
      </c>
      <c r="L2377" s="8" t="s">
        <v>12416</v>
      </c>
      <c r="M2377" s="8" t="s">
        <v>27</v>
      </c>
      <c r="P2377" s="8" t="s">
        <v>401</v>
      </c>
      <c r="Q2377" s="12" t="s">
        <v>12417</v>
      </c>
      <c r="S2377" s="7" t="s">
        <v>28</v>
      </c>
      <c r="T2377" s="6"/>
      <c r="U2377" s="8"/>
    </row>
    <row r="2378" spans="1:34" ht="13" customHeight="1">
      <c r="A2378" s="8" t="s">
        <v>12418</v>
      </c>
      <c r="B2378" s="16">
        <v>25</v>
      </c>
      <c r="C2378" s="8" t="s">
        <v>20</v>
      </c>
      <c r="D2378" s="8" t="s">
        <v>48</v>
      </c>
      <c r="F2378" s="17">
        <v>41636</v>
      </c>
      <c r="G2378" s="8" t="s">
        <v>12419</v>
      </c>
      <c r="H2378" s="8" t="s">
        <v>634</v>
      </c>
      <c r="I2378" s="8" t="s">
        <v>123</v>
      </c>
      <c r="J2378" s="16" t="s">
        <v>4644</v>
      </c>
      <c r="K2378" s="2" t="s">
        <v>635</v>
      </c>
      <c r="L2378" s="8" t="s">
        <v>636</v>
      </c>
      <c r="M2378" s="8" t="s">
        <v>27</v>
      </c>
      <c r="N2378" s="2" t="s">
        <v>12420</v>
      </c>
      <c r="O2378" s="8" t="s">
        <v>1013</v>
      </c>
      <c r="P2378" s="8" t="s">
        <v>401</v>
      </c>
      <c r="Q2378" s="12" t="s">
        <v>12421</v>
      </c>
      <c r="R2378" s="8" t="s">
        <v>100</v>
      </c>
      <c r="S2378" s="7" t="s">
        <v>28</v>
      </c>
      <c r="T2378" s="6"/>
      <c r="U2378" s="8"/>
      <c r="V2378" s="8"/>
      <c r="W2378" s="8"/>
      <c r="X2378" s="8"/>
    </row>
    <row r="2379" spans="1:34" ht="13" customHeight="1">
      <c r="A2379" s="8" t="s">
        <v>12422</v>
      </c>
      <c r="B2379" s="16">
        <v>22</v>
      </c>
      <c r="C2379" s="8" t="s">
        <v>20</v>
      </c>
      <c r="D2379" s="8" t="s">
        <v>85</v>
      </c>
      <c r="E2379" s="8" t="s">
        <v>12423</v>
      </c>
      <c r="F2379" s="17">
        <v>41635</v>
      </c>
      <c r="G2379" s="8" t="s">
        <v>12424</v>
      </c>
      <c r="H2379" s="8" t="s">
        <v>1097</v>
      </c>
      <c r="I2379" s="8" t="s">
        <v>395</v>
      </c>
      <c r="J2379" s="16" t="s">
        <v>11632</v>
      </c>
      <c r="K2379" s="2" t="s">
        <v>987</v>
      </c>
      <c r="L2379" s="8" t="s">
        <v>2048</v>
      </c>
      <c r="M2379" s="8" t="s">
        <v>27</v>
      </c>
      <c r="N2379" s="2" t="s">
        <v>12425</v>
      </c>
      <c r="O2379" s="8" t="s">
        <v>1013</v>
      </c>
      <c r="P2379" s="8" t="s">
        <v>401</v>
      </c>
      <c r="Q2379" s="12" t="str">
        <f>HYPERLINK("http://newsok.com/man-shot-by-oklahoma-highway-patrol-trooper-was-correction-center-escapee/article/3919183","http://newsok.com/man-shot-by-oklahoma-highway-patrol-trooper-was-correction-center-escapee/article/3919183")</f>
        <v>http://newsok.com/man-shot-by-oklahoma-highway-patrol-trooper-was-correction-center-escapee/article/3919183</v>
      </c>
      <c r="R2379" s="8" t="s">
        <v>100</v>
      </c>
      <c r="S2379" s="7" t="s">
        <v>28</v>
      </c>
      <c r="T2379" s="6"/>
      <c r="U2379" s="8"/>
    </row>
    <row r="2380" spans="1:34" ht="13" customHeight="1">
      <c r="A2380" s="8" t="s">
        <v>12426</v>
      </c>
      <c r="B2380" s="16">
        <v>22</v>
      </c>
      <c r="C2380" s="8" t="s">
        <v>20</v>
      </c>
      <c r="D2380" s="8" t="s">
        <v>85</v>
      </c>
      <c r="F2380" s="17">
        <v>41635</v>
      </c>
      <c r="G2380" s="8" t="s">
        <v>12427</v>
      </c>
      <c r="H2380" s="8" t="s">
        <v>2497</v>
      </c>
      <c r="I2380" s="8" t="s">
        <v>395</v>
      </c>
      <c r="K2380" s="2" t="s">
        <v>2497</v>
      </c>
      <c r="L2380" s="8" t="s">
        <v>2048</v>
      </c>
      <c r="M2380" s="8" t="s">
        <v>27</v>
      </c>
      <c r="P2380" s="8" t="s">
        <v>401</v>
      </c>
      <c r="Q2380" s="12" t="s">
        <v>12428</v>
      </c>
      <c r="S2380" s="7" t="s">
        <v>28</v>
      </c>
      <c r="T2380" s="6"/>
      <c r="U2380" s="8"/>
    </row>
    <row r="2381" spans="1:34" ht="13" customHeight="1">
      <c r="A2381" s="8" t="s">
        <v>12429</v>
      </c>
      <c r="B2381" s="16">
        <v>30</v>
      </c>
      <c r="C2381" s="8" t="s">
        <v>20</v>
      </c>
      <c r="D2381" s="8" t="s">
        <v>30</v>
      </c>
      <c r="F2381" s="17">
        <v>41635</v>
      </c>
      <c r="G2381" s="8" t="s">
        <v>12430</v>
      </c>
      <c r="H2381" s="8" t="s">
        <v>6315</v>
      </c>
      <c r="I2381" s="8" t="s">
        <v>173</v>
      </c>
      <c r="J2381" s="16" t="s">
        <v>12431</v>
      </c>
      <c r="K2381" s="2" t="s">
        <v>3324</v>
      </c>
      <c r="L2381" s="8" t="s">
        <v>3325</v>
      </c>
      <c r="M2381" s="8" t="s">
        <v>27</v>
      </c>
      <c r="N2381" s="2" t="s">
        <v>12432</v>
      </c>
      <c r="O2381" s="8" t="s">
        <v>1013</v>
      </c>
      <c r="P2381" s="8" t="s">
        <v>401</v>
      </c>
      <c r="Q2381" s="12" t="s">
        <v>12433</v>
      </c>
      <c r="R2381" s="8" t="s">
        <v>555</v>
      </c>
      <c r="S2381" s="7" t="s">
        <v>28</v>
      </c>
      <c r="T2381" s="6"/>
      <c r="U2381" s="8"/>
    </row>
    <row r="2382" spans="1:34" ht="13" customHeight="1">
      <c r="A2382" s="8" t="s">
        <v>12434</v>
      </c>
      <c r="B2382" s="16">
        <v>49</v>
      </c>
      <c r="C2382" s="8" t="s">
        <v>20</v>
      </c>
      <c r="D2382" s="8" t="s">
        <v>37</v>
      </c>
      <c r="E2382" s="8" t="s">
        <v>12435</v>
      </c>
      <c r="F2382" s="17">
        <v>41635</v>
      </c>
      <c r="G2382" s="8" t="s">
        <v>12436</v>
      </c>
      <c r="H2382" s="8" t="s">
        <v>12437</v>
      </c>
      <c r="I2382" s="8" t="s">
        <v>73</v>
      </c>
      <c r="J2382" s="16" t="s">
        <v>12438</v>
      </c>
      <c r="K2382" s="2" t="s">
        <v>74</v>
      </c>
      <c r="L2382" s="8" t="s">
        <v>12439</v>
      </c>
      <c r="M2382" s="8" t="s">
        <v>27</v>
      </c>
      <c r="N2382" s="2" t="s">
        <v>12440</v>
      </c>
      <c r="O2382" s="8" t="s">
        <v>1013</v>
      </c>
      <c r="P2382" s="8" t="s">
        <v>401</v>
      </c>
      <c r="Q2382" s="12" t="s">
        <v>12441</v>
      </c>
      <c r="R2382" s="8" t="s">
        <v>555</v>
      </c>
      <c r="S2382" s="7" t="s">
        <v>28</v>
      </c>
      <c r="T2382" s="6"/>
      <c r="U2382" s="8"/>
    </row>
    <row r="2383" spans="1:34" ht="13" customHeight="1">
      <c r="A2383" s="8" t="s">
        <v>12442</v>
      </c>
      <c r="B2383" s="16">
        <v>44</v>
      </c>
      <c r="C2383" s="8" t="s">
        <v>20</v>
      </c>
      <c r="D2383" s="8" t="s">
        <v>85</v>
      </c>
      <c r="E2383" s="8" t="s">
        <v>12443</v>
      </c>
      <c r="F2383" s="17">
        <v>41634</v>
      </c>
      <c r="G2383" s="8" t="s">
        <v>12444</v>
      </c>
      <c r="H2383" s="8" t="s">
        <v>1847</v>
      </c>
      <c r="I2383" s="8" t="s">
        <v>423</v>
      </c>
      <c r="J2383" s="16" t="s">
        <v>12445</v>
      </c>
      <c r="K2383" s="2" t="s">
        <v>757</v>
      </c>
      <c r="L2383" s="8" t="s">
        <v>582</v>
      </c>
      <c r="M2383" s="8" t="s">
        <v>27</v>
      </c>
      <c r="N2383" s="2" t="s">
        <v>12446</v>
      </c>
      <c r="O2383" s="8" t="s">
        <v>1013</v>
      </c>
      <c r="P2383" s="8" t="s">
        <v>401</v>
      </c>
      <c r="Q2383" s="12" t="s">
        <v>12447</v>
      </c>
      <c r="R2383" s="8" t="s">
        <v>100</v>
      </c>
      <c r="S2383" s="7" t="s">
        <v>28</v>
      </c>
      <c r="T2383" s="6"/>
      <c r="U2383" s="8"/>
    </row>
    <row r="2384" spans="1:34" ht="13" customHeight="1">
      <c r="A2384" s="8" t="s">
        <v>12448</v>
      </c>
      <c r="B2384" s="16">
        <v>19</v>
      </c>
      <c r="C2384" s="8" t="s">
        <v>20</v>
      </c>
      <c r="D2384" s="8" t="s">
        <v>37</v>
      </c>
      <c r="E2384" s="8" t="s">
        <v>12449</v>
      </c>
      <c r="F2384" s="17">
        <v>41634</v>
      </c>
      <c r="G2384" s="8" t="s">
        <v>12450</v>
      </c>
      <c r="H2384" s="8" t="s">
        <v>12194</v>
      </c>
      <c r="I2384" s="8" t="s">
        <v>45</v>
      </c>
      <c r="J2384" s="16" t="s">
        <v>12451</v>
      </c>
      <c r="K2384" s="2" t="s">
        <v>98</v>
      </c>
      <c r="L2384" s="8" t="s">
        <v>12452</v>
      </c>
      <c r="M2384" s="8" t="s">
        <v>27</v>
      </c>
      <c r="N2384" s="2" t="s">
        <v>12453</v>
      </c>
      <c r="O2384" s="8" t="s">
        <v>1013</v>
      </c>
      <c r="P2384" s="8" t="s">
        <v>401</v>
      </c>
      <c r="Q2384" s="12" t="s">
        <v>12454</v>
      </c>
      <c r="R2384" s="8" t="s">
        <v>100</v>
      </c>
      <c r="S2384" s="7" t="s">
        <v>28</v>
      </c>
      <c r="T2384" s="6"/>
      <c r="U2384" s="8"/>
    </row>
    <row r="2385" spans="1:34" ht="13" customHeight="1">
      <c r="A2385" s="8" t="s">
        <v>12461</v>
      </c>
      <c r="B2385" s="16">
        <v>16</v>
      </c>
      <c r="C2385" s="8" t="s">
        <v>20</v>
      </c>
      <c r="D2385" s="8" t="s">
        <v>37</v>
      </c>
      <c r="E2385" s="8" t="s">
        <v>12462</v>
      </c>
      <c r="F2385" s="17">
        <v>41633</v>
      </c>
      <c r="G2385" s="8" t="s">
        <v>12463</v>
      </c>
      <c r="H2385" s="8" t="s">
        <v>12464</v>
      </c>
      <c r="I2385" s="8" t="s">
        <v>73</v>
      </c>
      <c r="J2385" s="16" t="s">
        <v>12465</v>
      </c>
      <c r="K2385" s="2" t="s">
        <v>74</v>
      </c>
      <c r="L2385" s="8" t="s">
        <v>12466</v>
      </c>
      <c r="M2385" s="8" t="s">
        <v>27</v>
      </c>
      <c r="N2385" s="2" t="s">
        <v>12467</v>
      </c>
      <c r="O2385" s="8" t="s">
        <v>550</v>
      </c>
      <c r="P2385" s="8" t="s">
        <v>401</v>
      </c>
      <c r="Q2385" s="12" t="s">
        <v>12468</v>
      </c>
      <c r="R2385" s="8" t="s">
        <v>100</v>
      </c>
      <c r="S2385" s="7" t="s">
        <v>28</v>
      </c>
      <c r="T2385" s="6"/>
      <c r="U2385" s="8"/>
    </row>
    <row r="2386" spans="1:34" ht="13" customHeight="1">
      <c r="A2386" s="8" t="s">
        <v>12455</v>
      </c>
      <c r="B2386" s="16">
        <v>58</v>
      </c>
      <c r="C2386" s="8" t="s">
        <v>20</v>
      </c>
      <c r="D2386" s="8" t="s">
        <v>37</v>
      </c>
      <c r="F2386" s="17">
        <v>41633</v>
      </c>
      <c r="G2386" s="8" t="s">
        <v>12456</v>
      </c>
      <c r="H2386" s="8" t="s">
        <v>12457</v>
      </c>
      <c r="I2386" s="8" t="s">
        <v>45</v>
      </c>
      <c r="J2386" s="16" t="s">
        <v>12458</v>
      </c>
      <c r="K2386" s="2" t="s">
        <v>156</v>
      </c>
      <c r="L2386" s="8" t="s">
        <v>4762</v>
      </c>
      <c r="M2386" s="8" t="s">
        <v>21657</v>
      </c>
      <c r="N2386" s="2" t="s">
        <v>12459</v>
      </c>
      <c r="O2386" s="8" t="s">
        <v>1013</v>
      </c>
      <c r="P2386" s="8" t="s">
        <v>401</v>
      </c>
      <c r="Q2386" s="12" t="s">
        <v>12460</v>
      </c>
      <c r="R2386" s="8" t="s">
        <v>100</v>
      </c>
      <c r="S2386" s="7" t="s">
        <v>18</v>
      </c>
      <c r="T2386" s="6"/>
      <c r="U2386" s="8"/>
    </row>
    <row r="2387" spans="1:34" ht="13" customHeight="1">
      <c r="A2387" s="8" t="s">
        <v>12469</v>
      </c>
      <c r="B2387" s="16">
        <v>44</v>
      </c>
      <c r="C2387" s="8" t="s">
        <v>20</v>
      </c>
      <c r="D2387" s="8" t="s">
        <v>48</v>
      </c>
      <c r="E2387" s="8" t="s">
        <v>12470</v>
      </c>
      <c r="F2387" s="17">
        <v>41632</v>
      </c>
      <c r="G2387" s="8" t="s">
        <v>12471</v>
      </c>
      <c r="H2387" s="8" t="s">
        <v>12472</v>
      </c>
      <c r="I2387" s="8" t="s">
        <v>73</v>
      </c>
      <c r="J2387" s="16" t="s">
        <v>12473</v>
      </c>
      <c r="K2387" s="2" t="s">
        <v>12474</v>
      </c>
      <c r="L2387" s="8" t="s">
        <v>12475</v>
      </c>
      <c r="M2387" s="8" t="s">
        <v>27</v>
      </c>
      <c r="N2387" s="2" t="s">
        <v>12476</v>
      </c>
      <c r="O2387" s="8" t="s">
        <v>550</v>
      </c>
      <c r="P2387" s="8" t="s">
        <v>401</v>
      </c>
      <c r="Q2387" s="12" t="s">
        <v>12477</v>
      </c>
      <c r="R2387" s="8" t="s">
        <v>967</v>
      </c>
      <c r="S2387" s="7" t="s">
        <v>28</v>
      </c>
      <c r="T2387" s="6"/>
      <c r="U2387" s="8"/>
    </row>
    <row r="2388" spans="1:34" ht="13" customHeight="1">
      <c r="A2388" s="8" t="s">
        <v>12482</v>
      </c>
      <c r="B2388" s="16">
        <v>17</v>
      </c>
      <c r="C2388" s="8" t="s">
        <v>20</v>
      </c>
      <c r="D2388" s="8" t="s">
        <v>30</v>
      </c>
      <c r="F2388" s="17">
        <v>41632</v>
      </c>
      <c r="G2388" s="8" t="s">
        <v>12483</v>
      </c>
      <c r="H2388" s="8" t="s">
        <v>5472</v>
      </c>
      <c r="I2388" s="8" t="s">
        <v>62</v>
      </c>
      <c r="J2388" s="16" t="s">
        <v>12484</v>
      </c>
      <c r="K2388" s="2" t="s">
        <v>5473</v>
      </c>
      <c r="L2388" s="8" t="s">
        <v>12485</v>
      </c>
      <c r="M2388" s="8" t="s">
        <v>27</v>
      </c>
      <c r="N2388" s="2" t="s">
        <v>12486</v>
      </c>
      <c r="O2388" s="8" t="s">
        <v>550</v>
      </c>
      <c r="P2388" s="8" t="s">
        <v>401</v>
      </c>
      <c r="Q2388" s="12" t="s">
        <v>12487</v>
      </c>
      <c r="R2388" s="8" t="s">
        <v>967</v>
      </c>
      <c r="S2388" s="7" t="s">
        <v>379</v>
      </c>
      <c r="T2388" s="6"/>
      <c r="U2388" s="8"/>
    </row>
    <row r="2389" spans="1:34" ht="13" customHeight="1">
      <c r="A2389" s="8" t="s">
        <v>12478</v>
      </c>
      <c r="B2389" s="16">
        <v>31</v>
      </c>
      <c r="C2389" s="8" t="s">
        <v>114</v>
      </c>
      <c r="D2389" s="8" t="s">
        <v>30</v>
      </c>
      <c r="F2389" s="17">
        <v>41632</v>
      </c>
      <c r="G2389" s="8" t="s">
        <v>12479</v>
      </c>
      <c r="H2389" s="8" t="s">
        <v>1787</v>
      </c>
      <c r="I2389" s="8" t="s">
        <v>32</v>
      </c>
      <c r="J2389" s="16" t="s">
        <v>9482</v>
      </c>
      <c r="K2389" s="2" t="s">
        <v>1787</v>
      </c>
      <c r="L2389" s="8" t="s">
        <v>12480</v>
      </c>
      <c r="M2389" s="8" t="s">
        <v>379</v>
      </c>
      <c r="N2389" s="2" t="s">
        <v>21629</v>
      </c>
      <c r="O2389" s="8" t="s">
        <v>1013</v>
      </c>
      <c r="P2389" s="8" t="s">
        <v>401</v>
      </c>
      <c r="Q2389" s="12" t="s">
        <v>12481</v>
      </c>
      <c r="R2389" s="8" t="s">
        <v>100</v>
      </c>
      <c r="S2389" s="7" t="s">
        <v>379</v>
      </c>
      <c r="T2389" s="6"/>
      <c r="U2389" s="8"/>
      <c r="Y2389" s="8"/>
      <c r="Z2389" s="8"/>
      <c r="AA2389" s="8"/>
      <c r="AB2389" s="8"/>
      <c r="AC2389" s="8"/>
      <c r="AD2389" s="8"/>
      <c r="AE2389" s="8"/>
      <c r="AF2389" s="8"/>
      <c r="AG2389" s="8"/>
      <c r="AH2389" s="8"/>
    </row>
    <row r="2390" spans="1:34" ht="13" customHeight="1">
      <c r="A2390" s="8" t="s">
        <v>12488</v>
      </c>
      <c r="B2390" s="16">
        <v>32</v>
      </c>
      <c r="C2390" s="8" t="s">
        <v>20</v>
      </c>
      <c r="D2390" s="8" t="s">
        <v>37</v>
      </c>
      <c r="E2390" s="8" t="s">
        <v>12489</v>
      </c>
      <c r="F2390" s="17">
        <v>41631</v>
      </c>
      <c r="G2390" s="8" t="s">
        <v>12490</v>
      </c>
      <c r="H2390" s="8" t="s">
        <v>9978</v>
      </c>
      <c r="I2390" s="8" t="s">
        <v>123</v>
      </c>
      <c r="J2390" s="16" t="s">
        <v>9979</v>
      </c>
      <c r="K2390" s="2" t="s">
        <v>2400</v>
      </c>
      <c r="L2390" s="8" t="s">
        <v>2401</v>
      </c>
      <c r="M2390" s="8" t="s">
        <v>27</v>
      </c>
      <c r="N2390" s="2" t="s">
        <v>12491</v>
      </c>
      <c r="O2390" s="8" t="s">
        <v>29</v>
      </c>
      <c r="P2390" s="8" t="s">
        <v>401</v>
      </c>
      <c r="Q2390" s="12" t="s">
        <v>12492</v>
      </c>
      <c r="R2390" s="8" t="s">
        <v>100</v>
      </c>
      <c r="S2390" s="7" t="s">
        <v>18</v>
      </c>
      <c r="T2390" s="6"/>
      <c r="U2390" s="8"/>
    </row>
    <row r="2391" spans="1:34" ht="13" customHeight="1">
      <c r="A2391" s="8" t="s">
        <v>12493</v>
      </c>
      <c r="B2391" s="16">
        <v>24</v>
      </c>
      <c r="C2391" s="8" t="s">
        <v>20</v>
      </c>
      <c r="D2391" s="8" t="s">
        <v>37</v>
      </c>
      <c r="E2391" s="8" t="s">
        <v>12494</v>
      </c>
      <c r="F2391" s="17">
        <v>41630</v>
      </c>
      <c r="G2391" s="8" t="s">
        <v>12495</v>
      </c>
      <c r="H2391" s="8" t="s">
        <v>12496</v>
      </c>
      <c r="I2391" s="8" t="s">
        <v>366</v>
      </c>
      <c r="J2391" s="16" t="s">
        <v>12497</v>
      </c>
      <c r="K2391" s="2" t="s">
        <v>829</v>
      </c>
      <c r="L2391" s="8" t="s">
        <v>830</v>
      </c>
      <c r="M2391" s="8" t="s">
        <v>27</v>
      </c>
      <c r="N2391" s="2" t="s">
        <v>12498</v>
      </c>
      <c r="O2391" s="8" t="s">
        <v>550</v>
      </c>
      <c r="P2391" s="8" t="s">
        <v>401</v>
      </c>
      <c r="Q2391" s="12" t="s">
        <v>12499</v>
      </c>
      <c r="R2391" s="8" t="s">
        <v>555</v>
      </c>
      <c r="S2391" s="7" t="s">
        <v>28</v>
      </c>
      <c r="T2391" s="6"/>
      <c r="U2391" s="8"/>
      <c r="V2391" s="8"/>
      <c r="W2391" s="8"/>
      <c r="X2391" s="8"/>
    </row>
    <row r="2392" spans="1:34" ht="13" customHeight="1">
      <c r="A2392" s="8" t="s">
        <v>12500</v>
      </c>
      <c r="B2392" s="16">
        <v>18</v>
      </c>
      <c r="C2392" s="8" t="s">
        <v>20</v>
      </c>
      <c r="D2392" s="8" t="s">
        <v>139</v>
      </c>
      <c r="E2392" s="8" t="s">
        <v>12501</v>
      </c>
      <c r="F2392" s="17">
        <v>41629</v>
      </c>
      <c r="G2392" s="8" t="s">
        <v>12502</v>
      </c>
      <c r="H2392" s="8" t="s">
        <v>6407</v>
      </c>
      <c r="I2392" s="8" t="s">
        <v>395</v>
      </c>
      <c r="J2392" s="16" t="s">
        <v>12503</v>
      </c>
      <c r="K2392" s="2" t="s">
        <v>12504</v>
      </c>
      <c r="L2392" s="8" t="s">
        <v>12505</v>
      </c>
      <c r="M2392" s="8" t="s">
        <v>27</v>
      </c>
      <c r="N2392" s="2" t="s">
        <v>12506</v>
      </c>
      <c r="O2392" s="8" t="s">
        <v>550</v>
      </c>
      <c r="P2392" s="8" t="s">
        <v>401</v>
      </c>
      <c r="Q2392" s="12" t="str">
        <f>HYPERLINK("http://newsok.com/oklahoma-parents-say-son-needed-help-instead-custer-county-sheriffs-deputies-shot-him/article/3929841","http://newsok.com/oklahoma-parents-say-son-needed-help-instead-custer-county-sheriffs-deputies-shot-him/article/3929841")</f>
        <v>http://newsok.com/oklahoma-parents-say-son-needed-help-instead-custer-county-sheriffs-deputies-shot-him/article/3929841</v>
      </c>
      <c r="R2392" s="8" t="s">
        <v>555</v>
      </c>
      <c r="S2392" s="7" t="s">
        <v>28</v>
      </c>
      <c r="T2392" s="6"/>
      <c r="U2392" s="8"/>
    </row>
    <row r="2393" spans="1:34" ht="13" customHeight="1">
      <c r="A2393" s="8" t="s">
        <v>12507</v>
      </c>
      <c r="B2393" s="16">
        <v>22</v>
      </c>
      <c r="C2393" s="8" t="s">
        <v>20</v>
      </c>
      <c r="D2393" s="8" t="s">
        <v>37</v>
      </c>
      <c r="E2393" s="8" t="s">
        <v>12508</v>
      </c>
      <c r="F2393" s="17">
        <v>41629</v>
      </c>
      <c r="G2393" s="8" t="s">
        <v>12509</v>
      </c>
      <c r="H2393" s="8" t="s">
        <v>12510</v>
      </c>
      <c r="I2393" s="8" t="s">
        <v>404</v>
      </c>
      <c r="J2393" s="16" t="s">
        <v>12511</v>
      </c>
      <c r="K2393" s="2" t="s">
        <v>1496</v>
      </c>
      <c r="L2393" s="8" t="s">
        <v>12512</v>
      </c>
      <c r="M2393" s="8" t="s">
        <v>27</v>
      </c>
      <c r="N2393" s="2" t="s">
        <v>12513</v>
      </c>
      <c r="O2393" s="8" t="s">
        <v>550</v>
      </c>
      <c r="P2393" s="8" t="s">
        <v>401</v>
      </c>
      <c r="Q2393" s="12" t="s">
        <v>12514</v>
      </c>
      <c r="R2393" s="8" t="s">
        <v>555</v>
      </c>
      <c r="S2393" s="7" t="s">
        <v>28</v>
      </c>
      <c r="T2393" s="6"/>
      <c r="U2393" s="8"/>
    </row>
    <row r="2394" spans="1:34" ht="13" customHeight="1">
      <c r="A2394" s="8" t="s">
        <v>12515</v>
      </c>
      <c r="B2394" s="16">
        <v>49</v>
      </c>
      <c r="C2394" s="8" t="s">
        <v>114</v>
      </c>
      <c r="D2394" s="8" t="s">
        <v>85</v>
      </c>
      <c r="E2394" s="8" t="s">
        <v>12516</v>
      </c>
      <c r="F2394" s="17">
        <v>41628</v>
      </c>
      <c r="G2394" s="8" t="s">
        <v>12517</v>
      </c>
      <c r="H2394" s="8" t="s">
        <v>252</v>
      </c>
      <c r="I2394" s="8" t="s">
        <v>32</v>
      </c>
      <c r="J2394" s="16" t="s">
        <v>5736</v>
      </c>
      <c r="K2394" s="2" t="s">
        <v>252</v>
      </c>
      <c r="L2394" s="8" t="s">
        <v>12518</v>
      </c>
      <c r="M2394" s="8" t="s">
        <v>27</v>
      </c>
      <c r="N2394" s="2" t="s">
        <v>12519</v>
      </c>
      <c r="O2394" s="8" t="s">
        <v>29</v>
      </c>
      <c r="P2394" s="8" t="s">
        <v>401</v>
      </c>
      <c r="Q2394" s="12" t="s">
        <v>12520</v>
      </c>
      <c r="R2394" s="8" t="s">
        <v>100</v>
      </c>
      <c r="S2394" s="7" t="s">
        <v>379</v>
      </c>
      <c r="T2394" s="6"/>
      <c r="U2394" s="8"/>
      <c r="Y2394" s="8"/>
      <c r="Z2394" s="8"/>
      <c r="AA2394" s="8"/>
      <c r="AB2394" s="8"/>
      <c r="AC2394" s="8"/>
      <c r="AD2394" s="8"/>
      <c r="AE2394" s="8"/>
      <c r="AF2394" s="8"/>
      <c r="AG2394" s="8"/>
      <c r="AH2394" s="8"/>
    </row>
    <row r="2395" spans="1:34" ht="13" customHeight="1">
      <c r="A2395" s="8" t="s">
        <v>12521</v>
      </c>
      <c r="B2395" s="16">
        <v>46</v>
      </c>
      <c r="C2395" s="8" t="s">
        <v>20</v>
      </c>
      <c r="D2395" s="8" t="s">
        <v>30</v>
      </c>
      <c r="F2395" s="17">
        <v>41628</v>
      </c>
      <c r="G2395" s="8" t="s">
        <v>12522</v>
      </c>
      <c r="H2395" s="8" t="s">
        <v>575</v>
      </c>
      <c r="I2395" s="8" t="s">
        <v>73</v>
      </c>
      <c r="J2395" s="16" t="s">
        <v>12523</v>
      </c>
      <c r="K2395" s="2" t="s">
        <v>576</v>
      </c>
      <c r="L2395" s="8" t="s">
        <v>577</v>
      </c>
      <c r="M2395" s="8" t="s">
        <v>27</v>
      </c>
      <c r="N2395" s="2" t="s">
        <v>12524</v>
      </c>
      <c r="O2395" s="8" t="s">
        <v>550</v>
      </c>
      <c r="P2395" s="8" t="s">
        <v>401</v>
      </c>
      <c r="Q2395" s="12" t="str">
        <f>HYPERLINK("http://www.kens5.com/story/local/2014/09/26/10621720/","http://www.kens5.com/story/local/2014/09/26/10621720/")</f>
        <v>http://www.kens5.com/story/local/2014/09/26/10621720/</v>
      </c>
      <c r="R2395" s="8" t="s">
        <v>555</v>
      </c>
      <c r="S2395" s="7" t="s">
        <v>28</v>
      </c>
      <c r="T2395" s="6"/>
      <c r="U2395" s="8"/>
    </row>
    <row r="2396" spans="1:34" ht="13" customHeight="1">
      <c r="A2396" s="8" t="s">
        <v>12525</v>
      </c>
      <c r="B2396" s="16">
        <v>33</v>
      </c>
      <c r="C2396" s="8" t="s">
        <v>20</v>
      </c>
      <c r="D2396" s="8" t="s">
        <v>85</v>
      </c>
      <c r="E2396" s="8" t="s">
        <v>12526</v>
      </c>
      <c r="F2396" s="17">
        <v>41627</v>
      </c>
      <c r="G2396" s="8" t="s">
        <v>12527</v>
      </c>
      <c r="H2396" s="8" t="s">
        <v>12528</v>
      </c>
      <c r="I2396" s="8" t="s">
        <v>94</v>
      </c>
      <c r="J2396" s="16" t="s">
        <v>12529</v>
      </c>
      <c r="K2396" s="2" t="s">
        <v>12530</v>
      </c>
      <c r="L2396" s="8" t="s">
        <v>12531</v>
      </c>
      <c r="M2396" s="8" t="s">
        <v>27</v>
      </c>
      <c r="N2396" s="2" t="s">
        <v>12532</v>
      </c>
      <c r="O2396" s="8" t="s">
        <v>29</v>
      </c>
      <c r="P2396" s="8" t="s">
        <v>401</v>
      </c>
      <c r="Q2396" s="12" t="str">
        <f>HYPERLINK("http://blog.al.com/montgomery/2013/12/phenix_city_police_fatally_sho.html","http://blog.al.com/montgomery/2013/12/phenix_city_police_fatally_sho.html")</f>
        <v>http://blog.al.com/montgomery/2013/12/phenix_city_police_fatally_sho.html</v>
      </c>
      <c r="R2396" s="8" t="s">
        <v>29</v>
      </c>
      <c r="S2396" s="7" t="s">
        <v>28</v>
      </c>
      <c r="T2396" s="6"/>
      <c r="U2396" s="8"/>
    </row>
    <row r="2397" spans="1:34" ht="13" customHeight="1">
      <c r="A2397" s="8" t="s">
        <v>12533</v>
      </c>
      <c r="B2397" s="16">
        <v>49</v>
      </c>
      <c r="C2397" s="8" t="s">
        <v>20</v>
      </c>
      <c r="D2397" s="8" t="s">
        <v>37</v>
      </c>
      <c r="E2397" s="8" t="s">
        <v>12534</v>
      </c>
      <c r="F2397" s="17">
        <v>41626</v>
      </c>
      <c r="G2397" s="8" t="s">
        <v>12535</v>
      </c>
      <c r="H2397" s="8" t="s">
        <v>216</v>
      </c>
      <c r="I2397" s="8" t="s">
        <v>217</v>
      </c>
      <c r="J2397" s="16" t="s">
        <v>12536</v>
      </c>
      <c r="K2397" s="2" t="s">
        <v>420</v>
      </c>
      <c r="L2397" s="8" t="s">
        <v>218</v>
      </c>
      <c r="M2397" s="8" t="s">
        <v>27</v>
      </c>
      <c r="N2397" s="2" t="s">
        <v>12537</v>
      </c>
      <c r="O2397" s="8" t="s">
        <v>1013</v>
      </c>
      <c r="P2397" s="8" t="s">
        <v>401</v>
      </c>
      <c r="Q2397" s="12" t="str">
        <f>HYPERLINK("http://www.indystar.com/story/news/crime/2013/12/18/impd-officer-fatally-shoots-man-on-southeastside/4110911/","http://www.indystar.com/story/news/crime/2013/12/18/impd-officer-fatally-shoots-man-on-southeastside/4110911/")</f>
        <v>http://www.indystar.com/story/news/crime/2013/12/18/impd-officer-fatally-shoots-man-on-southeastside/4110911/</v>
      </c>
      <c r="R2397" s="8" t="s">
        <v>967</v>
      </c>
      <c r="S2397" s="7" t="s">
        <v>28</v>
      </c>
      <c r="T2397" s="6"/>
      <c r="U2397" s="8"/>
    </row>
    <row r="2398" spans="1:34" ht="13" customHeight="1">
      <c r="A2398" s="8" t="s">
        <v>12538</v>
      </c>
      <c r="B2398" s="16">
        <v>22</v>
      </c>
      <c r="C2398" s="8" t="s">
        <v>20</v>
      </c>
      <c r="D2398" s="8" t="s">
        <v>85</v>
      </c>
      <c r="E2398" s="8" t="s">
        <v>12539</v>
      </c>
      <c r="F2398" s="17">
        <v>41625</v>
      </c>
      <c r="H2398" s="8" t="s">
        <v>12540</v>
      </c>
      <c r="I2398" s="8" t="s">
        <v>62</v>
      </c>
      <c r="K2398" s="2" t="s">
        <v>161</v>
      </c>
      <c r="L2398" s="8" t="s">
        <v>162</v>
      </c>
      <c r="M2398" s="8" t="s">
        <v>379</v>
      </c>
      <c r="N2398" s="2" t="s">
        <v>12541</v>
      </c>
      <c r="O2398" s="8" t="s">
        <v>1013</v>
      </c>
      <c r="P2398" s="8" t="s">
        <v>401</v>
      </c>
      <c r="Q2398" s="12" t="s">
        <v>12542</v>
      </c>
      <c r="R2398" s="8" t="s">
        <v>100</v>
      </c>
      <c r="S2398" s="7" t="s">
        <v>379</v>
      </c>
      <c r="T2398" s="6"/>
      <c r="U2398" s="8"/>
    </row>
    <row r="2399" spans="1:34" ht="13" customHeight="1">
      <c r="A2399" s="8" t="s">
        <v>12543</v>
      </c>
      <c r="B2399" s="16">
        <v>29</v>
      </c>
      <c r="C2399" s="8" t="s">
        <v>20</v>
      </c>
      <c r="D2399" s="8" t="s">
        <v>37</v>
      </c>
      <c r="E2399" s="8" t="s">
        <v>12544</v>
      </c>
      <c r="F2399" s="17">
        <v>41624</v>
      </c>
      <c r="G2399" s="8" t="s">
        <v>12545</v>
      </c>
      <c r="H2399" s="8" t="s">
        <v>12546</v>
      </c>
      <c r="I2399" s="8" t="s">
        <v>44</v>
      </c>
      <c r="J2399" s="16" t="s">
        <v>12547</v>
      </c>
      <c r="K2399" s="2" t="s">
        <v>88</v>
      </c>
      <c r="L2399" s="8" t="s">
        <v>12548</v>
      </c>
      <c r="M2399" s="8" t="s">
        <v>27</v>
      </c>
      <c r="N2399" s="2" t="s">
        <v>12549</v>
      </c>
      <c r="O2399" s="8" t="s">
        <v>1013</v>
      </c>
      <c r="P2399" s="8" t="s">
        <v>401</v>
      </c>
      <c r="Q2399" s="12" t="s">
        <v>12550</v>
      </c>
      <c r="R2399" s="8" t="s">
        <v>100</v>
      </c>
      <c r="S2399" s="7" t="s">
        <v>28</v>
      </c>
      <c r="T2399" s="6"/>
      <c r="U2399" s="8"/>
    </row>
    <row r="2400" spans="1:34" ht="13" customHeight="1">
      <c r="A2400" s="8" t="s">
        <v>12551</v>
      </c>
      <c r="B2400" s="16">
        <v>63</v>
      </c>
      <c r="C2400" s="8" t="s">
        <v>20</v>
      </c>
      <c r="D2400" s="8" t="s">
        <v>37</v>
      </c>
      <c r="E2400" s="8" t="s">
        <v>12552</v>
      </c>
      <c r="F2400" s="17">
        <v>41624</v>
      </c>
      <c r="G2400" s="8" t="s">
        <v>12553</v>
      </c>
      <c r="H2400" s="8" t="s">
        <v>437</v>
      </c>
      <c r="I2400" s="8" t="s">
        <v>438</v>
      </c>
      <c r="J2400" s="16" t="s">
        <v>4088</v>
      </c>
      <c r="K2400" s="2" t="s">
        <v>4089</v>
      </c>
      <c r="L2400" s="8" t="s">
        <v>4090</v>
      </c>
      <c r="M2400" s="8" t="s">
        <v>27</v>
      </c>
      <c r="N2400" s="2" t="s">
        <v>12554</v>
      </c>
      <c r="O2400" s="8" t="s">
        <v>550</v>
      </c>
      <c r="P2400" s="8" t="s">
        <v>401</v>
      </c>
      <c r="Q2400" s="12" t="s">
        <v>12555</v>
      </c>
      <c r="R2400" s="8" t="s">
        <v>100</v>
      </c>
      <c r="S2400" s="7" t="s">
        <v>28</v>
      </c>
      <c r="T2400" s="6"/>
      <c r="U2400" s="8"/>
      <c r="Y2400" s="8"/>
      <c r="Z2400" s="8"/>
      <c r="AA2400" s="8"/>
      <c r="AB2400" s="8"/>
      <c r="AC2400" s="8"/>
      <c r="AD2400" s="8"/>
      <c r="AE2400" s="8"/>
      <c r="AF2400" s="8"/>
      <c r="AG2400" s="8"/>
      <c r="AH2400" s="8"/>
    </row>
    <row r="2401" spans="1:34" ht="13" customHeight="1">
      <c r="A2401" s="8" t="s">
        <v>12556</v>
      </c>
      <c r="B2401" s="16">
        <v>63</v>
      </c>
      <c r="C2401" s="8" t="s">
        <v>20</v>
      </c>
      <c r="D2401" s="8" t="s">
        <v>37</v>
      </c>
      <c r="E2401" s="8" t="s">
        <v>12557</v>
      </c>
      <c r="F2401" s="17">
        <v>41624</v>
      </c>
      <c r="G2401" s="8" t="s">
        <v>12558</v>
      </c>
      <c r="H2401" s="8" t="s">
        <v>3339</v>
      </c>
      <c r="I2401" s="8" t="s">
        <v>123</v>
      </c>
      <c r="J2401" s="16" t="s">
        <v>11412</v>
      </c>
      <c r="K2401" s="2" t="s">
        <v>635</v>
      </c>
      <c r="L2401" s="8" t="s">
        <v>15248</v>
      </c>
      <c r="M2401" s="8" t="s">
        <v>379</v>
      </c>
      <c r="N2401" s="2" t="s">
        <v>12559</v>
      </c>
      <c r="O2401" s="8" t="s">
        <v>1013</v>
      </c>
      <c r="P2401" s="8" t="s">
        <v>401</v>
      </c>
      <c r="Q2401" s="12" t="s">
        <v>12560</v>
      </c>
      <c r="R2401" s="8" t="s">
        <v>100</v>
      </c>
      <c r="S2401" s="7" t="s">
        <v>18</v>
      </c>
      <c r="T2401" s="6"/>
      <c r="U2401" s="8"/>
    </row>
    <row r="2402" spans="1:34" ht="13" customHeight="1">
      <c r="A2402" s="8" t="s">
        <v>12561</v>
      </c>
      <c r="B2402" s="16">
        <v>30</v>
      </c>
      <c r="C2402" s="8" t="s">
        <v>114</v>
      </c>
      <c r="D2402" s="8" t="s">
        <v>85</v>
      </c>
      <c r="F2402" s="17">
        <v>41622</v>
      </c>
      <c r="G2402" s="8" t="s">
        <v>12562</v>
      </c>
      <c r="H2402" s="8" t="s">
        <v>5227</v>
      </c>
      <c r="I2402" s="8" t="s">
        <v>45</v>
      </c>
      <c r="J2402" s="16" t="s">
        <v>12563</v>
      </c>
      <c r="K2402" s="2" t="s">
        <v>98</v>
      </c>
      <c r="L2402" s="8" t="s">
        <v>5014</v>
      </c>
      <c r="M2402" s="8" t="s">
        <v>379</v>
      </c>
      <c r="N2402" s="2" t="s">
        <v>21641</v>
      </c>
      <c r="O2402" s="8" t="s">
        <v>1013</v>
      </c>
      <c r="P2402" s="8" t="s">
        <v>401</v>
      </c>
      <c r="Q2402" s="12" t="s">
        <v>12564</v>
      </c>
      <c r="R2402" s="8" t="s">
        <v>100</v>
      </c>
      <c r="S2402" s="7" t="s">
        <v>379</v>
      </c>
      <c r="T2402" s="6"/>
      <c r="U2402" s="8"/>
    </row>
    <row r="2403" spans="1:34" ht="13" customHeight="1">
      <c r="A2403" s="8" t="s">
        <v>12565</v>
      </c>
      <c r="B2403" s="16">
        <v>43</v>
      </c>
      <c r="C2403" s="8" t="s">
        <v>20</v>
      </c>
      <c r="D2403" s="8" t="s">
        <v>48</v>
      </c>
      <c r="F2403" s="17">
        <v>41622</v>
      </c>
      <c r="G2403" s="8" t="s">
        <v>12566</v>
      </c>
      <c r="H2403" s="8" t="s">
        <v>12567</v>
      </c>
      <c r="I2403" s="8" t="s">
        <v>873</v>
      </c>
      <c r="J2403" s="16" t="s">
        <v>12568</v>
      </c>
      <c r="K2403" s="2" t="s">
        <v>2372</v>
      </c>
      <c r="L2403" s="8" t="s">
        <v>3603</v>
      </c>
      <c r="M2403" s="8" t="s">
        <v>27</v>
      </c>
      <c r="N2403" s="2" t="s">
        <v>12569</v>
      </c>
      <c r="O2403" s="8" t="s">
        <v>1013</v>
      </c>
      <c r="P2403" s="8" t="s">
        <v>401</v>
      </c>
      <c r="Q2403" s="12" t="s">
        <v>12570</v>
      </c>
      <c r="R2403" s="8" t="s">
        <v>555</v>
      </c>
      <c r="S2403" s="7" t="s">
        <v>28</v>
      </c>
      <c r="T2403" s="6"/>
      <c r="U2403" s="8"/>
    </row>
    <row r="2404" spans="1:34" ht="13" customHeight="1">
      <c r="A2404" s="8" t="s">
        <v>12578</v>
      </c>
      <c r="B2404" s="16">
        <v>49</v>
      </c>
      <c r="C2404" s="8" t="s">
        <v>20</v>
      </c>
      <c r="D2404" s="8" t="s">
        <v>48</v>
      </c>
      <c r="E2404" s="8" t="s">
        <v>12579</v>
      </c>
      <c r="F2404" s="17">
        <v>41622</v>
      </c>
      <c r="G2404" s="8" t="s">
        <v>12580</v>
      </c>
      <c r="H2404" s="8" t="s">
        <v>2288</v>
      </c>
      <c r="I2404" s="8" t="s">
        <v>209</v>
      </c>
      <c r="J2404" s="16" t="s">
        <v>12581</v>
      </c>
      <c r="K2404" s="2" t="s">
        <v>1432</v>
      </c>
      <c r="L2404" s="8" t="s">
        <v>12582</v>
      </c>
      <c r="M2404" s="8" t="s">
        <v>27</v>
      </c>
      <c r="N2404" s="2" t="s">
        <v>12583</v>
      </c>
      <c r="O2404" s="8" t="s">
        <v>550</v>
      </c>
      <c r="P2404" s="8" t="s">
        <v>401</v>
      </c>
      <c r="Q2404" s="12" t="s">
        <v>12584</v>
      </c>
      <c r="R2404" s="8" t="s">
        <v>967</v>
      </c>
      <c r="S2404" s="7" t="s">
        <v>28</v>
      </c>
      <c r="T2404" s="6"/>
      <c r="U2404" s="8"/>
    </row>
    <row r="2405" spans="1:34" ht="13" customHeight="1">
      <c r="A2405" s="8" t="s">
        <v>12571</v>
      </c>
      <c r="B2405" s="16">
        <v>20</v>
      </c>
      <c r="C2405" s="8" t="s">
        <v>114</v>
      </c>
      <c r="D2405" s="8" t="s">
        <v>48</v>
      </c>
      <c r="E2405" s="8" t="s">
        <v>12572</v>
      </c>
      <c r="F2405" s="17">
        <v>41622</v>
      </c>
      <c r="G2405" s="8" t="s">
        <v>12573</v>
      </c>
      <c r="H2405" s="8" t="s">
        <v>6272</v>
      </c>
      <c r="I2405" s="8" t="s">
        <v>45</v>
      </c>
      <c r="J2405" s="16" t="s">
        <v>12574</v>
      </c>
      <c r="K2405" s="2" t="s">
        <v>98</v>
      </c>
      <c r="L2405" s="8" t="s">
        <v>5014</v>
      </c>
      <c r="M2405" s="8" t="s">
        <v>379</v>
      </c>
      <c r="N2405" s="2" t="s">
        <v>12575</v>
      </c>
      <c r="O2405" s="8" t="s">
        <v>1013</v>
      </c>
      <c r="P2405" s="8" t="s">
        <v>401</v>
      </c>
      <c r="Q2405" s="12" t="s">
        <v>12576</v>
      </c>
      <c r="R2405" s="8" t="s">
        <v>100</v>
      </c>
      <c r="S2405" s="7" t="s">
        <v>18</v>
      </c>
      <c r="T2405" s="6"/>
      <c r="U2405" s="8"/>
    </row>
    <row r="2406" spans="1:34" ht="13" customHeight="1">
      <c r="A2406" s="8" t="s">
        <v>12577</v>
      </c>
      <c r="B2406" s="16">
        <v>31</v>
      </c>
      <c r="C2406" s="8" t="s">
        <v>20</v>
      </c>
      <c r="D2406" s="8" t="s">
        <v>48</v>
      </c>
      <c r="E2406" s="8" t="s">
        <v>12572</v>
      </c>
      <c r="F2406" s="17">
        <v>41622</v>
      </c>
      <c r="G2406" s="8" t="s">
        <v>12573</v>
      </c>
      <c r="H2406" s="8" t="s">
        <v>6272</v>
      </c>
      <c r="I2406" s="8" t="s">
        <v>45</v>
      </c>
      <c r="J2406" s="16" t="s">
        <v>12574</v>
      </c>
      <c r="K2406" s="2" t="s">
        <v>98</v>
      </c>
      <c r="L2406" s="8" t="s">
        <v>5014</v>
      </c>
      <c r="M2406" s="8" t="s">
        <v>379</v>
      </c>
      <c r="N2406" s="2" t="s">
        <v>12575</v>
      </c>
      <c r="O2406" s="8" t="s">
        <v>1013</v>
      </c>
      <c r="P2406" s="8" t="s">
        <v>401</v>
      </c>
      <c r="Q2406" s="12" t="s">
        <v>12576</v>
      </c>
      <c r="R2406" s="8" t="s">
        <v>100</v>
      </c>
      <c r="S2406" s="7" t="s">
        <v>18</v>
      </c>
      <c r="T2406" s="6"/>
      <c r="U2406" s="8"/>
    </row>
    <row r="2407" spans="1:34" ht="13" customHeight="1">
      <c r="A2407" s="8" t="s">
        <v>12586</v>
      </c>
      <c r="B2407" s="16">
        <v>58</v>
      </c>
      <c r="C2407" s="8" t="s">
        <v>20</v>
      </c>
      <c r="D2407" s="8" t="s">
        <v>30</v>
      </c>
      <c r="F2407" s="17">
        <v>41622</v>
      </c>
      <c r="G2407" s="8" t="s">
        <v>12587</v>
      </c>
      <c r="H2407" s="8" t="s">
        <v>12588</v>
      </c>
      <c r="I2407" s="8" t="s">
        <v>225</v>
      </c>
      <c r="J2407" s="16" t="s">
        <v>12589</v>
      </c>
      <c r="K2407" s="2" t="s">
        <v>1993</v>
      </c>
      <c r="L2407" s="8" t="s">
        <v>12590</v>
      </c>
      <c r="M2407" s="8" t="s">
        <v>27</v>
      </c>
      <c r="N2407" s="2" t="s">
        <v>12591</v>
      </c>
      <c r="O2407" s="8" t="s">
        <v>1013</v>
      </c>
      <c r="P2407" s="8" t="s">
        <v>401</v>
      </c>
      <c r="Q2407" s="12" t="s">
        <v>12592</v>
      </c>
      <c r="R2407" s="8" t="s">
        <v>29</v>
      </c>
      <c r="S2407" s="7" t="s">
        <v>28</v>
      </c>
      <c r="T2407" s="6"/>
      <c r="U2407" s="8"/>
    </row>
    <row r="2408" spans="1:34" ht="13" customHeight="1">
      <c r="A2408" s="8" t="s">
        <v>12585</v>
      </c>
      <c r="B2408" s="16">
        <v>35</v>
      </c>
      <c r="C2408" s="8" t="s">
        <v>20</v>
      </c>
      <c r="D2408" s="8" t="s">
        <v>30</v>
      </c>
      <c r="F2408" s="17">
        <v>41622</v>
      </c>
      <c r="G2408" s="8" t="s">
        <v>12562</v>
      </c>
      <c r="H2408" s="8" t="s">
        <v>5227</v>
      </c>
      <c r="I2408" s="8" t="s">
        <v>45</v>
      </c>
      <c r="J2408" s="16" t="s">
        <v>12563</v>
      </c>
      <c r="K2408" s="2" t="s">
        <v>98</v>
      </c>
      <c r="L2408" s="8" t="s">
        <v>5014</v>
      </c>
      <c r="M2408" s="8" t="s">
        <v>379</v>
      </c>
      <c r="N2408" s="2" t="s">
        <v>21642</v>
      </c>
      <c r="O2408" s="8" t="s">
        <v>1013</v>
      </c>
      <c r="P2408" s="8" t="s">
        <v>401</v>
      </c>
      <c r="Q2408" s="12" t="s">
        <v>12564</v>
      </c>
      <c r="R2408" s="8" t="s">
        <v>100</v>
      </c>
      <c r="S2408" s="7" t="s">
        <v>18</v>
      </c>
      <c r="T2408" s="6"/>
      <c r="U2408" s="8"/>
    </row>
    <row r="2409" spans="1:34" ht="13" customHeight="1">
      <c r="A2409" s="8" t="s">
        <v>3267</v>
      </c>
      <c r="B2409" s="16" t="s">
        <v>29</v>
      </c>
      <c r="D2409" s="8" t="s">
        <v>30</v>
      </c>
      <c r="F2409" s="17">
        <v>41622</v>
      </c>
      <c r="G2409" s="8" t="s">
        <v>12562</v>
      </c>
      <c r="H2409" s="8" t="s">
        <v>5227</v>
      </c>
      <c r="I2409" s="8" t="s">
        <v>45</v>
      </c>
      <c r="J2409" s="16" t="s">
        <v>12563</v>
      </c>
      <c r="K2409" s="2" t="s">
        <v>98</v>
      </c>
      <c r="L2409" s="8" t="s">
        <v>5014</v>
      </c>
      <c r="M2409" s="8" t="s">
        <v>379</v>
      </c>
      <c r="N2409" s="2" t="s">
        <v>21643</v>
      </c>
      <c r="O2409" s="8" t="s">
        <v>1013</v>
      </c>
      <c r="P2409" s="8" t="s">
        <v>401</v>
      </c>
      <c r="Q2409" s="12" t="s">
        <v>12564</v>
      </c>
      <c r="R2409" s="8" t="s">
        <v>100</v>
      </c>
      <c r="S2409" s="7" t="s">
        <v>18</v>
      </c>
      <c r="T2409" s="6"/>
      <c r="U2409" s="8"/>
    </row>
    <row r="2410" spans="1:34" ht="13" customHeight="1">
      <c r="A2410" s="8" t="s">
        <v>12601</v>
      </c>
      <c r="B2410" s="16">
        <v>23</v>
      </c>
      <c r="C2410" s="8" t="s">
        <v>20</v>
      </c>
      <c r="D2410" s="8" t="s">
        <v>37</v>
      </c>
      <c r="E2410" s="8" t="s">
        <v>12602</v>
      </c>
      <c r="F2410" s="17">
        <v>41621</v>
      </c>
      <c r="G2410" s="8" t="s">
        <v>12603</v>
      </c>
      <c r="H2410" s="8" t="s">
        <v>12604</v>
      </c>
      <c r="I2410" s="8" t="s">
        <v>438</v>
      </c>
      <c r="J2410" s="16" t="s">
        <v>12605</v>
      </c>
      <c r="K2410" s="2" t="s">
        <v>570</v>
      </c>
      <c r="L2410" s="8" t="s">
        <v>12606</v>
      </c>
      <c r="M2410" s="8" t="s">
        <v>27</v>
      </c>
      <c r="N2410" s="2" t="s">
        <v>12607</v>
      </c>
      <c r="O2410" s="8" t="s">
        <v>550</v>
      </c>
      <c r="P2410" s="8" t="s">
        <v>401</v>
      </c>
      <c r="Q2410" s="12" t="s">
        <v>12608</v>
      </c>
      <c r="R2410" s="8" t="s">
        <v>967</v>
      </c>
      <c r="S2410" s="7" t="s">
        <v>28</v>
      </c>
      <c r="T2410" s="6"/>
      <c r="U2410" s="8"/>
    </row>
    <row r="2411" spans="1:34" ht="13" customHeight="1">
      <c r="A2411" s="8" t="s">
        <v>12593</v>
      </c>
      <c r="B2411" s="16">
        <v>41</v>
      </c>
      <c r="C2411" s="8" t="s">
        <v>20</v>
      </c>
      <c r="D2411" s="8" t="s">
        <v>37</v>
      </c>
      <c r="E2411" s="8" t="s">
        <v>12594</v>
      </c>
      <c r="F2411" s="17">
        <v>41621</v>
      </c>
      <c r="G2411" s="8" t="s">
        <v>12595</v>
      </c>
      <c r="H2411" s="8" t="s">
        <v>12596</v>
      </c>
      <c r="I2411" s="8" t="s">
        <v>44</v>
      </c>
      <c r="J2411" s="16" t="s">
        <v>12597</v>
      </c>
      <c r="K2411" s="2" t="s">
        <v>88</v>
      </c>
      <c r="L2411" s="8" t="s">
        <v>12598</v>
      </c>
      <c r="M2411" s="8" t="s">
        <v>27</v>
      </c>
      <c r="N2411" s="2" t="s">
        <v>12599</v>
      </c>
      <c r="O2411" s="8" t="s">
        <v>1013</v>
      </c>
      <c r="P2411" s="8" t="s">
        <v>401</v>
      </c>
      <c r="Q2411" s="12" t="s">
        <v>12600</v>
      </c>
      <c r="R2411" s="8" t="s">
        <v>29</v>
      </c>
      <c r="S2411" s="7" t="s">
        <v>28</v>
      </c>
      <c r="T2411" s="6"/>
      <c r="U2411" s="8"/>
      <c r="Y2411" s="8"/>
      <c r="Z2411" s="8"/>
      <c r="AA2411" s="8"/>
      <c r="AB2411" s="8"/>
      <c r="AC2411" s="8"/>
      <c r="AD2411" s="8"/>
      <c r="AE2411" s="8"/>
      <c r="AF2411" s="8"/>
      <c r="AG2411" s="8"/>
      <c r="AH2411" s="8"/>
    </row>
    <row r="2412" spans="1:34" ht="13" customHeight="1">
      <c r="A2412" s="8" t="s">
        <v>12609</v>
      </c>
      <c r="B2412" s="16">
        <v>43</v>
      </c>
      <c r="C2412" s="8" t="s">
        <v>20</v>
      </c>
      <c r="D2412" s="8" t="s">
        <v>37</v>
      </c>
      <c r="E2412" s="8" t="s">
        <v>12610</v>
      </c>
      <c r="F2412" s="17">
        <v>41621</v>
      </c>
      <c r="G2412" s="8" t="s">
        <v>12611</v>
      </c>
      <c r="H2412" s="8" t="s">
        <v>12612</v>
      </c>
      <c r="I2412" s="8" t="s">
        <v>41</v>
      </c>
      <c r="J2412" s="16" t="s">
        <v>12613</v>
      </c>
      <c r="K2412" s="2" t="s">
        <v>852</v>
      </c>
      <c r="L2412" s="8" t="s">
        <v>12614</v>
      </c>
      <c r="M2412" s="8" t="s">
        <v>27</v>
      </c>
      <c r="N2412" s="2" t="s">
        <v>12615</v>
      </c>
      <c r="O2412" s="8" t="s">
        <v>1013</v>
      </c>
      <c r="P2412" s="8" t="s">
        <v>401</v>
      </c>
      <c r="Q2412" s="12" t="s">
        <v>12616</v>
      </c>
      <c r="R2412" s="8" t="s">
        <v>29</v>
      </c>
      <c r="S2412" s="7" t="s">
        <v>28</v>
      </c>
      <c r="T2412" s="6"/>
      <c r="U2412" s="8"/>
    </row>
    <row r="2413" spans="1:34" ht="13" customHeight="1">
      <c r="A2413" s="8" t="s">
        <v>12617</v>
      </c>
      <c r="B2413" s="16">
        <v>51</v>
      </c>
      <c r="C2413" s="8" t="s">
        <v>20</v>
      </c>
      <c r="D2413" s="8" t="s">
        <v>37</v>
      </c>
      <c r="E2413" s="8" t="s">
        <v>12618</v>
      </c>
      <c r="F2413" s="17">
        <v>41621</v>
      </c>
      <c r="G2413" s="8" t="s">
        <v>12619</v>
      </c>
      <c r="H2413" s="8" t="s">
        <v>98</v>
      </c>
      <c r="I2413" s="8" t="s">
        <v>45</v>
      </c>
      <c r="J2413" s="16" t="s">
        <v>12620</v>
      </c>
      <c r="K2413" s="2" t="s">
        <v>98</v>
      </c>
      <c r="L2413" s="8" t="s">
        <v>99</v>
      </c>
      <c r="M2413" s="8" t="s">
        <v>27</v>
      </c>
      <c r="N2413" s="2" t="s">
        <v>12621</v>
      </c>
      <c r="O2413" s="8" t="s">
        <v>12622</v>
      </c>
      <c r="P2413" s="8" t="s">
        <v>401</v>
      </c>
      <c r="Q2413" s="12" t="s">
        <v>12623</v>
      </c>
      <c r="R2413" s="8" t="s">
        <v>555</v>
      </c>
      <c r="S2413" s="7" t="s">
        <v>18</v>
      </c>
      <c r="T2413" s="6"/>
      <c r="U2413" s="8"/>
    </row>
    <row r="2414" spans="1:34" ht="13" customHeight="1">
      <c r="A2414" s="8" t="s">
        <v>12624</v>
      </c>
      <c r="B2414" s="16">
        <v>50</v>
      </c>
      <c r="C2414" s="8" t="s">
        <v>20</v>
      </c>
      <c r="D2414" s="8" t="s">
        <v>85</v>
      </c>
      <c r="E2414" s="8" t="s">
        <v>12625</v>
      </c>
      <c r="F2414" s="17">
        <v>41620</v>
      </c>
      <c r="G2414" s="8" t="s">
        <v>12626</v>
      </c>
      <c r="H2414" s="8" t="s">
        <v>1290</v>
      </c>
      <c r="I2414" s="8" t="s">
        <v>69</v>
      </c>
      <c r="J2414" s="16" t="s">
        <v>12627</v>
      </c>
      <c r="K2414" s="2" t="s">
        <v>1291</v>
      </c>
      <c r="L2414" s="8" t="s">
        <v>12628</v>
      </c>
      <c r="M2414" s="8" t="s">
        <v>27</v>
      </c>
      <c r="N2414" s="2" t="s">
        <v>12629</v>
      </c>
      <c r="O2414" s="8" t="s">
        <v>550</v>
      </c>
      <c r="P2414" s="8" t="s">
        <v>401</v>
      </c>
      <c r="Q2414" s="12" t="s">
        <v>12630</v>
      </c>
      <c r="R2414" s="8" t="s">
        <v>29</v>
      </c>
      <c r="S2414" s="7" t="s">
        <v>28</v>
      </c>
      <c r="T2414" s="6"/>
      <c r="U2414" s="8"/>
    </row>
    <row r="2415" spans="1:34" ht="13" customHeight="1">
      <c r="A2415" s="8" t="s">
        <v>12631</v>
      </c>
      <c r="B2415" s="16">
        <v>61</v>
      </c>
      <c r="C2415" s="8" t="s">
        <v>20</v>
      </c>
      <c r="D2415" s="8" t="s">
        <v>37</v>
      </c>
      <c r="E2415" s="8" t="s">
        <v>12632</v>
      </c>
      <c r="F2415" s="17">
        <v>41620</v>
      </c>
      <c r="G2415" s="8" t="s">
        <v>12633</v>
      </c>
      <c r="H2415" s="8" t="s">
        <v>12634</v>
      </c>
      <c r="I2415" s="8" t="s">
        <v>4399</v>
      </c>
      <c r="J2415" s="16" t="s">
        <v>12635</v>
      </c>
      <c r="K2415" s="2" t="s">
        <v>1608</v>
      </c>
      <c r="L2415" s="8" t="s">
        <v>4402</v>
      </c>
      <c r="M2415" s="8" t="s">
        <v>27</v>
      </c>
      <c r="N2415" s="2" t="s">
        <v>12636</v>
      </c>
      <c r="O2415" s="8" t="s">
        <v>550</v>
      </c>
      <c r="P2415" s="8" t="s">
        <v>401</v>
      </c>
      <c r="Q2415" s="12" t="s">
        <v>12637</v>
      </c>
      <c r="R2415" s="8" t="s">
        <v>967</v>
      </c>
      <c r="S2415" s="7" t="s">
        <v>28</v>
      </c>
      <c r="T2415" s="6"/>
      <c r="U2415" s="8"/>
    </row>
    <row r="2416" spans="1:34" ht="13" customHeight="1">
      <c r="A2416" s="8" t="s">
        <v>12638</v>
      </c>
      <c r="B2416" s="16">
        <v>43</v>
      </c>
      <c r="C2416" s="8" t="s">
        <v>20</v>
      </c>
      <c r="D2416" s="8" t="s">
        <v>37</v>
      </c>
      <c r="F2416" s="17">
        <v>41620</v>
      </c>
      <c r="G2416" s="8" t="s">
        <v>12639</v>
      </c>
      <c r="H2416" s="8" t="s">
        <v>12640</v>
      </c>
      <c r="I2416" s="8" t="s">
        <v>303</v>
      </c>
      <c r="J2416" s="16" t="s">
        <v>12641</v>
      </c>
      <c r="K2416" s="2" t="s">
        <v>941</v>
      </c>
      <c r="L2416" s="8" t="s">
        <v>12642</v>
      </c>
      <c r="M2416" s="8" t="s">
        <v>27</v>
      </c>
      <c r="N2416" s="2" t="s">
        <v>12643</v>
      </c>
      <c r="O2416" s="8" t="s">
        <v>550</v>
      </c>
      <c r="P2416" s="8" t="s">
        <v>401</v>
      </c>
      <c r="Q2416" s="12" t="s">
        <v>12644</v>
      </c>
      <c r="R2416" s="8" t="s">
        <v>29</v>
      </c>
      <c r="S2416" s="7" t="s">
        <v>379</v>
      </c>
      <c r="T2416" s="6"/>
      <c r="U2416" s="8"/>
    </row>
    <row r="2417" spans="1:34" ht="13" customHeight="1">
      <c r="A2417" s="8" t="s">
        <v>12645</v>
      </c>
      <c r="B2417" s="16">
        <v>70</v>
      </c>
      <c r="C2417" s="8" t="s">
        <v>20</v>
      </c>
      <c r="D2417" s="8" t="s">
        <v>37</v>
      </c>
      <c r="E2417" s="8" t="s">
        <v>12646</v>
      </c>
      <c r="F2417" s="17">
        <v>41619</v>
      </c>
      <c r="G2417" s="8" t="s">
        <v>12647</v>
      </c>
      <c r="H2417" s="8" t="s">
        <v>12648</v>
      </c>
      <c r="I2417" s="8" t="s">
        <v>73</v>
      </c>
      <c r="J2417" s="16" t="s">
        <v>12649</v>
      </c>
      <c r="K2417" s="2" t="s">
        <v>12650</v>
      </c>
      <c r="L2417" s="8" t="s">
        <v>12651</v>
      </c>
      <c r="M2417" s="8" t="s">
        <v>3386</v>
      </c>
      <c r="N2417" s="2" t="s">
        <v>12652</v>
      </c>
      <c r="O2417" s="8" t="s">
        <v>1161</v>
      </c>
      <c r="P2417" s="8" t="s">
        <v>1162</v>
      </c>
      <c r="Q2417" s="12" t="s">
        <v>12653</v>
      </c>
      <c r="R2417" s="8" t="s">
        <v>100</v>
      </c>
      <c r="S2417" s="7" t="s">
        <v>18</v>
      </c>
      <c r="T2417" s="6"/>
      <c r="U2417" s="8"/>
    </row>
    <row r="2418" spans="1:34" ht="13" customHeight="1">
      <c r="A2418" s="8" t="s">
        <v>12662</v>
      </c>
      <c r="B2418" s="16">
        <v>64</v>
      </c>
      <c r="C2418" s="8" t="s">
        <v>20</v>
      </c>
      <c r="D2418" s="8" t="s">
        <v>37</v>
      </c>
      <c r="E2418" s="8" t="s">
        <v>12663</v>
      </c>
      <c r="F2418" s="17">
        <v>41619</v>
      </c>
      <c r="G2418" s="8" t="s">
        <v>12664</v>
      </c>
      <c r="H2418" s="8" t="s">
        <v>5265</v>
      </c>
      <c r="I2418" s="8" t="s">
        <v>62</v>
      </c>
      <c r="J2418" s="16" t="s">
        <v>12665</v>
      </c>
      <c r="K2418" s="2" t="s">
        <v>2407</v>
      </c>
      <c r="L2418" s="8" t="s">
        <v>12666</v>
      </c>
      <c r="M2418" s="8" t="s">
        <v>27</v>
      </c>
      <c r="N2418" s="2" t="s">
        <v>12667</v>
      </c>
      <c r="O2418" s="8" t="s">
        <v>1013</v>
      </c>
      <c r="P2418" s="8" t="s">
        <v>401</v>
      </c>
      <c r="Q2418" s="12" t="s">
        <v>12668</v>
      </c>
      <c r="R2418" s="8" t="s">
        <v>967</v>
      </c>
      <c r="S2418" s="7" t="s">
        <v>28</v>
      </c>
      <c r="T2418" s="6"/>
      <c r="U2418" s="8"/>
    </row>
    <row r="2419" spans="1:34" ht="13" customHeight="1">
      <c r="A2419" s="8" t="s">
        <v>12654</v>
      </c>
      <c r="B2419" s="16">
        <v>35</v>
      </c>
      <c r="C2419" s="8" t="s">
        <v>114</v>
      </c>
      <c r="D2419" s="8" t="s">
        <v>37</v>
      </c>
      <c r="E2419" s="8" t="s">
        <v>12655</v>
      </c>
      <c r="F2419" s="17">
        <v>41619</v>
      </c>
      <c r="G2419" s="8" t="s">
        <v>12656</v>
      </c>
      <c r="H2419" s="8" t="s">
        <v>12657</v>
      </c>
      <c r="I2419" s="8" t="s">
        <v>69</v>
      </c>
      <c r="J2419" s="16" t="s">
        <v>12658</v>
      </c>
      <c r="K2419" s="2" t="s">
        <v>3238</v>
      </c>
      <c r="L2419" s="8" t="s">
        <v>12659</v>
      </c>
      <c r="M2419" s="8" t="s">
        <v>27</v>
      </c>
      <c r="N2419" s="2" t="s">
        <v>12660</v>
      </c>
      <c r="O2419" s="8" t="s">
        <v>550</v>
      </c>
      <c r="P2419" s="8" t="s">
        <v>401</v>
      </c>
      <c r="Q2419" s="12" t="s">
        <v>12661</v>
      </c>
      <c r="R2419" s="8" t="s">
        <v>100</v>
      </c>
      <c r="S2419" s="7" t="s">
        <v>18</v>
      </c>
      <c r="T2419" s="6"/>
      <c r="U2419" s="8"/>
    </row>
    <row r="2420" spans="1:34" ht="13" customHeight="1">
      <c r="A2420" s="8" t="s">
        <v>12669</v>
      </c>
      <c r="B2420" s="16">
        <v>50</v>
      </c>
      <c r="C2420" s="8" t="s">
        <v>20</v>
      </c>
      <c r="D2420" s="8" t="s">
        <v>48</v>
      </c>
      <c r="E2420" s="8" t="s">
        <v>12670</v>
      </c>
      <c r="F2420" s="17">
        <v>41618</v>
      </c>
      <c r="G2420" s="8" t="s">
        <v>12671</v>
      </c>
      <c r="H2420" s="8" t="s">
        <v>213</v>
      </c>
      <c r="I2420" s="8" t="s">
        <v>62</v>
      </c>
      <c r="J2420" s="16" t="s">
        <v>9127</v>
      </c>
      <c r="K2420" s="2" t="s">
        <v>161</v>
      </c>
      <c r="L2420" s="8" t="s">
        <v>162</v>
      </c>
      <c r="M2420" s="8" t="s">
        <v>27</v>
      </c>
      <c r="N2420" s="2" t="s">
        <v>12672</v>
      </c>
      <c r="O2420" s="8" t="s">
        <v>1013</v>
      </c>
      <c r="P2420" s="8" t="s">
        <v>401</v>
      </c>
      <c r="Q2420" s="12" t="s">
        <v>12673</v>
      </c>
      <c r="R2420" s="8" t="s">
        <v>100</v>
      </c>
      <c r="S2420" s="7" t="s">
        <v>18</v>
      </c>
      <c r="T2420" s="6"/>
      <c r="U2420" s="8"/>
    </row>
    <row r="2421" spans="1:34" ht="13" customHeight="1">
      <c r="A2421" s="8" t="s">
        <v>12674</v>
      </c>
      <c r="B2421" s="16">
        <v>27</v>
      </c>
      <c r="C2421" s="8" t="s">
        <v>20</v>
      </c>
      <c r="D2421" s="8" t="s">
        <v>37</v>
      </c>
      <c r="E2421" s="8" t="s">
        <v>12675</v>
      </c>
      <c r="F2421" s="17">
        <v>41618</v>
      </c>
      <c r="G2421" s="8" t="s">
        <v>12671</v>
      </c>
      <c r="H2421" s="8" t="s">
        <v>213</v>
      </c>
      <c r="I2421" s="8" t="s">
        <v>62</v>
      </c>
      <c r="J2421" s="16" t="s">
        <v>9127</v>
      </c>
      <c r="K2421" s="2" t="s">
        <v>161</v>
      </c>
      <c r="L2421" s="8" t="s">
        <v>162</v>
      </c>
      <c r="M2421" s="8" t="s">
        <v>27</v>
      </c>
      <c r="N2421" s="2" t="s">
        <v>12676</v>
      </c>
      <c r="O2421" s="8" t="s">
        <v>400</v>
      </c>
      <c r="P2421" s="8" t="s">
        <v>401</v>
      </c>
      <c r="Q2421" s="12" t="s">
        <v>12673</v>
      </c>
      <c r="R2421" s="8" t="s">
        <v>967</v>
      </c>
      <c r="S2421" s="7" t="s">
        <v>18</v>
      </c>
      <c r="T2421" s="6"/>
      <c r="U2421" s="8"/>
    </row>
    <row r="2422" spans="1:34" ht="13" customHeight="1">
      <c r="A2422" s="8" t="s">
        <v>12683</v>
      </c>
      <c r="B2422" s="16">
        <v>43</v>
      </c>
      <c r="C2422" s="8" t="s">
        <v>20</v>
      </c>
      <c r="D2422" s="8" t="s">
        <v>37</v>
      </c>
      <c r="E2422" s="8" t="s">
        <v>12684</v>
      </c>
      <c r="F2422" s="17">
        <v>41618</v>
      </c>
      <c r="G2422" s="8" t="s">
        <v>12685</v>
      </c>
      <c r="H2422" s="8" t="s">
        <v>7155</v>
      </c>
      <c r="I2422" s="8" t="s">
        <v>45</v>
      </c>
      <c r="J2422" s="16" t="s">
        <v>12686</v>
      </c>
      <c r="K2422" s="2" t="s">
        <v>609</v>
      </c>
      <c r="L2422" s="8" t="s">
        <v>21387</v>
      </c>
      <c r="M2422" s="8" t="s">
        <v>27</v>
      </c>
      <c r="N2422" s="2" t="s">
        <v>12687</v>
      </c>
      <c r="O2422" s="8" t="s">
        <v>1013</v>
      </c>
      <c r="P2422" s="8" t="s">
        <v>401</v>
      </c>
      <c r="Q2422" s="12" t="s">
        <v>12688</v>
      </c>
      <c r="R2422" s="8" t="s">
        <v>555</v>
      </c>
      <c r="S2422" s="7" t="s">
        <v>35</v>
      </c>
      <c r="T2422" s="6"/>
      <c r="U2422" s="8"/>
    </row>
    <row r="2423" spans="1:34" ht="13" customHeight="1">
      <c r="A2423" s="8" t="s">
        <v>12677</v>
      </c>
      <c r="B2423" s="16">
        <v>54</v>
      </c>
      <c r="C2423" s="8" t="s">
        <v>20</v>
      </c>
      <c r="D2423" s="8" t="s">
        <v>37</v>
      </c>
      <c r="E2423" s="8" t="s">
        <v>12678</v>
      </c>
      <c r="F2423" s="17">
        <v>41618</v>
      </c>
      <c r="G2423" s="8" t="s">
        <v>12679</v>
      </c>
      <c r="H2423" s="8" t="s">
        <v>9899</v>
      </c>
      <c r="I2423" s="8" t="s">
        <v>62</v>
      </c>
      <c r="J2423" s="16" t="s">
        <v>12680</v>
      </c>
      <c r="K2423" s="2" t="s">
        <v>4381</v>
      </c>
      <c r="L2423" s="8" t="s">
        <v>12681</v>
      </c>
      <c r="M2423" s="8" t="s">
        <v>3386</v>
      </c>
      <c r="N2423" s="2" t="s">
        <v>12682</v>
      </c>
      <c r="O2423" s="8" t="s">
        <v>1013</v>
      </c>
      <c r="P2423" s="8" t="s">
        <v>401</v>
      </c>
      <c r="Q2423" s="12" t="str">
        <f>HYPERLINK("http://web.tampabay.com/news/publicsafety/crime/new-port-richey-man-dies-after-being-stunned-in-confrontation-with-police/2158068","http://web.tampabay.com/news/publicsafety/crime/new-port-richey-man-dies-after-being-stunned-in-confrontation-with-police/2158068")</f>
        <v>http://web.tampabay.com/news/publicsafety/crime/new-port-richey-man-dies-after-being-stunned-in-confrontation-with-police/2158068</v>
      </c>
      <c r="R2423" s="8" t="s">
        <v>555</v>
      </c>
      <c r="S2423" s="7" t="s">
        <v>18</v>
      </c>
      <c r="T2423" s="6"/>
      <c r="U2423" s="8"/>
    </row>
    <row r="2424" spans="1:34" ht="13" customHeight="1">
      <c r="A2424" s="8" t="s">
        <v>12689</v>
      </c>
      <c r="B2424" s="16">
        <v>26</v>
      </c>
      <c r="C2424" s="8" t="s">
        <v>20</v>
      </c>
      <c r="D2424" s="8" t="s">
        <v>37</v>
      </c>
      <c r="E2424" s="8" t="s">
        <v>12690</v>
      </c>
      <c r="F2424" s="17">
        <v>41617</v>
      </c>
      <c r="G2424" s="8" t="s">
        <v>12691</v>
      </c>
      <c r="H2424" s="8" t="s">
        <v>12692</v>
      </c>
      <c r="I2424" s="8" t="s">
        <v>404</v>
      </c>
      <c r="J2424" s="16" t="s">
        <v>12693</v>
      </c>
      <c r="K2424" s="2" t="s">
        <v>1639</v>
      </c>
      <c r="L2424" s="8" t="s">
        <v>12694</v>
      </c>
      <c r="M2424" s="8" t="s">
        <v>27</v>
      </c>
      <c r="N2424" s="2" t="s">
        <v>12695</v>
      </c>
      <c r="O2424" s="8" t="s">
        <v>1013</v>
      </c>
      <c r="P2424" s="8" t="s">
        <v>401</v>
      </c>
      <c r="Q2424" s="12" t="s">
        <v>12696</v>
      </c>
      <c r="R2424" s="8" t="s">
        <v>29</v>
      </c>
      <c r="S2424" s="7" t="s">
        <v>28</v>
      </c>
      <c r="T2424" s="6"/>
      <c r="U2424" s="8"/>
    </row>
    <row r="2425" spans="1:34" ht="13" customHeight="1">
      <c r="A2425" s="8" t="s">
        <v>12697</v>
      </c>
      <c r="B2425" s="16">
        <v>21</v>
      </c>
      <c r="C2425" s="8" t="s">
        <v>20</v>
      </c>
      <c r="D2425" s="8" t="s">
        <v>85</v>
      </c>
      <c r="E2425" s="8" t="s">
        <v>12698</v>
      </c>
      <c r="F2425" s="17">
        <v>41616</v>
      </c>
      <c r="G2425" s="8" t="s">
        <v>12699</v>
      </c>
      <c r="H2425" s="8" t="s">
        <v>12700</v>
      </c>
      <c r="I2425" s="8" t="s">
        <v>404</v>
      </c>
      <c r="J2425" s="16" t="s">
        <v>12701</v>
      </c>
      <c r="K2425" s="2" t="s">
        <v>1639</v>
      </c>
      <c r="L2425" s="8" t="s">
        <v>9400</v>
      </c>
      <c r="M2425" s="8" t="s">
        <v>27</v>
      </c>
      <c r="N2425" s="2" t="s">
        <v>12702</v>
      </c>
      <c r="O2425" s="8" t="s">
        <v>550</v>
      </c>
      <c r="P2425" s="8" t="s">
        <v>401</v>
      </c>
      <c r="Q2425" s="12" t="s">
        <v>12703</v>
      </c>
      <c r="R2425" s="8" t="s">
        <v>29</v>
      </c>
      <c r="S2425" s="7" t="s">
        <v>28</v>
      </c>
      <c r="T2425" s="6"/>
      <c r="U2425" s="8"/>
    </row>
    <row r="2426" spans="1:34" ht="13" customHeight="1">
      <c r="A2426" s="8" t="s">
        <v>12704</v>
      </c>
      <c r="B2426" s="16">
        <v>54</v>
      </c>
      <c r="C2426" s="8" t="s">
        <v>20</v>
      </c>
      <c r="D2426" s="8" t="s">
        <v>48</v>
      </c>
      <c r="F2426" s="17">
        <v>41616</v>
      </c>
      <c r="G2426" s="8" t="s">
        <v>12705</v>
      </c>
      <c r="H2426" s="8" t="s">
        <v>213</v>
      </c>
      <c r="I2426" s="8" t="s">
        <v>62</v>
      </c>
      <c r="J2426" s="16" t="s">
        <v>12706</v>
      </c>
      <c r="K2426" s="2" t="s">
        <v>161</v>
      </c>
      <c r="L2426" s="8" t="s">
        <v>162</v>
      </c>
      <c r="M2426" s="8" t="s">
        <v>27</v>
      </c>
      <c r="N2426" s="2" t="s">
        <v>12707</v>
      </c>
      <c r="O2426" s="8" t="s">
        <v>1013</v>
      </c>
      <c r="P2426" s="8" t="s">
        <v>401</v>
      </c>
      <c r="Q2426" s="12" t="str">
        <f>HYPERLINK("http://www.local10.com/news/man-dead-after-shootout-with-swat/23386254","http://www.local10.com/news/man-dead-after-shootout-with-swat/23386254")</f>
        <v>http://www.local10.com/news/man-dead-after-shootout-with-swat/23386254</v>
      </c>
      <c r="R2426" s="8" t="s">
        <v>100</v>
      </c>
      <c r="S2426" s="7" t="s">
        <v>28</v>
      </c>
      <c r="T2426" s="6"/>
      <c r="U2426" s="8"/>
    </row>
    <row r="2427" spans="1:34" ht="13" customHeight="1">
      <c r="A2427" s="8" t="s">
        <v>12708</v>
      </c>
      <c r="B2427" s="16">
        <v>57</v>
      </c>
      <c r="C2427" s="8" t="s">
        <v>20</v>
      </c>
      <c r="D2427" s="8" t="s">
        <v>48</v>
      </c>
      <c r="E2427" s="8" t="s">
        <v>12709</v>
      </c>
      <c r="F2427" s="17">
        <v>41616</v>
      </c>
      <c r="G2427" s="8" t="s">
        <v>12710</v>
      </c>
      <c r="H2427" s="8" t="s">
        <v>213</v>
      </c>
      <c r="I2427" s="8" t="s">
        <v>62</v>
      </c>
      <c r="J2427" s="16" t="s">
        <v>12711</v>
      </c>
      <c r="K2427" s="2" t="s">
        <v>161</v>
      </c>
      <c r="L2427" s="8" t="s">
        <v>456</v>
      </c>
      <c r="M2427" s="8" t="s">
        <v>27</v>
      </c>
      <c r="N2427" s="2" t="s">
        <v>12712</v>
      </c>
      <c r="O2427" s="8" t="s">
        <v>1013</v>
      </c>
      <c r="P2427" s="8" t="s">
        <v>401</v>
      </c>
      <c r="Q2427" s="12" t="s">
        <v>12713</v>
      </c>
      <c r="R2427" s="8" t="s">
        <v>29</v>
      </c>
      <c r="S2427" s="7" t="s">
        <v>28</v>
      </c>
      <c r="T2427" s="6"/>
      <c r="U2427" s="8"/>
    </row>
    <row r="2428" spans="1:34" ht="13" customHeight="1">
      <c r="A2428" s="8" t="s">
        <v>12714</v>
      </c>
      <c r="B2428" s="16" t="s">
        <v>8771</v>
      </c>
      <c r="C2428" s="8" t="s">
        <v>20</v>
      </c>
      <c r="D2428" s="8" t="s">
        <v>37</v>
      </c>
      <c r="E2428" s="8" t="s">
        <v>12715</v>
      </c>
      <c r="F2428" s="17">
        <v>41616</v>
      </c>
      <c r="G2428" s="8" t="s">
        <v>12716</v>
      </c>
      <c r="H2428" s="8" t="s">
        <v>925</v>
      </c>
      <c r="I2428" s="8" t="s">
        <v>195</v>
      </c>
      <c r="J2428" s="16" t="s">
        <v>12717</v>
      </c>
      <c r="K2428" s="2" t="s">
        <v>467</v>
      </c>
      <c r="L2428" s="8" t="s">
        <v>4995</v>
      </c>
      <c r="M2428" s="8" t="s">
        <v>27</v>
      </c>
      <c r="N2428" s="2" t="s">
        <v>12718</v>
      </c>
      <c r="O2428" s="8" t="s">
        <v>29</v>
      </c>
      <c r="P2428" s="8" t="s">
        <v>401</v>
      </c>
      <c r="Q2428" s="12" t="s">
        <v>10165</v>
      </c>
      <c r="R2428" s="8" t="s">
        <v>100</v>
      </c>
      <c r="S2428" s="7" t="s">
        <v>28</v>
      </c>
      <c r="T2428" s="6"/>
      <c r="U2428" s="8"/>
      <c r="Y2428" s="8"/>
      <c r="Z2428" s="8"/>
      <c r="AA2428" s="8"/>
      <c r="AB2428" s="8"/>
      <c r="AC2428" s="8"/>
      <c r="AD2428" s="8"/>
      <c r="AE2428" s="8"/>
      <c r="AF2428" s="8"/>
      <c r="AG2428" s="8"/>
      <c r="AH2428" s="8"/>
    </row>
    <row r="2429" spans="1:34" ht="13" customHeight="1">
      <c r="A2429" s="8" t="s">
        <v>12719</v>
      </c>
      <c r="B2429" s="16">
        <v>65</v>
      </c>
      <c r="C2429" s="8" t="s">
        <v>20</v>
      </c>
      <c r="D2429" s="8" t="s">
        <v>37</v>
      </c>
      <c r="E2429" s="8" t="s">
        <v>12720</v>
      </c>
      <c r="F2429" s="17">
        <v>41616</v>
      </c>
      <c r="G2429" s="8" t="s">
        <v>12721</v>
      </c>
      <c r="H2429" s="8" t="s">
        <v>12722</v>
      </c>
      <c r="I2429" s="8" t="s">
        <v>45</v>
      </c>
      <c r="J2429" s="16" t="s">
        <v>12723</v>
      </c>
      <c r="K2429" s="2" t="s">
        <v>98</v>
      </c>
      <c r="L2429" s="8" t="s">
        <v>5014</v>
      </c>
      <c r="M2429" s="8" t="s">
        <v>379</v>
      </c>
      <c r="N2429" s="2" t="s">
        <v>12724</v>
      </c>
      <c r="O2429" s="8" t="s">
        <v>3400</v>
      </c>
      <c r="P2429" s="8" t="s">
        <v>401</v>
      </c>
      <c r="Q2429" s="12" t="s">
        <v>12725</v>
      </c>
      <c r="R2429" s="8" t="s">
        <v>100</v>
      </c>
      <c r="S2429" s="7" t="s">
        <v>18</v>
      </c>
      <c r="T2429" s="6"/>
      <c r="U2429" s="8"/>
    </row>
    <row r="2430" spans="1:34" ht="13" customHeight="1">
      <c r="A2430" s="8" t="s">
        <v>12726</v>
      </c>
      <c r="B2430" s="16">
        <v>20</v>
      </c>
      <c r="C2430" s="8" t="s">
        <v>20</v>
      </c>
      <c r="D2430" s="8" t="s">
        <v>85</v>
      </c>
      <c r="E2430" s="8" t="s">
        <v>12727</v>
      </c>
      <c r="F2430" s="17">
        <v>41615</v>
      </c>
      <c r="G2430" s="8" t="s">
        <v>12728</v>
      </c>
      <c r="H2430" s="8" t="s">
        <v>825</v>
      </c>
      <c r="I2430" s="8" t="s">
        <v>46</v>
      </c>
      <c r="J2430" s="16" t="s">
        <v>12729</v>
      </c>
      <c r="K2430" s="2" t="s">
        <v>1703</v>
      </c>
      <c r="L2430" s="8" t="s">
        <v>3245</v>
      </c>
      <c r="M2430" s="8" t="s">
        <v>27</v>
      </c>
      <c r="N2430" s="2" t="s">
        <v>12730</v>
      </c>
      <c r="O2430" s="8" t="s">
        <v>1013</v>
      </c>
      <c r="P2430" s="8" t="s">
        <v>401</v>
      </c>
      <c r="Q2430" s="12" t="s">
        <v>12731</v>
      </c>
      <c r="R2430" s="8" t="s">
        <v>100</v>
      </c>
      <c r="S2430" s="7" t="s">
        <v>28</v>
      </c>
      <c r="T2430" s="6"/>
      <c r="U2430" s="8"/>
    </row>
    <row r="2431" spans="1:34" ht="13" customHeight="1">
      <c r="A2431" s="8" t="s">
        <v>12732</v>
      </c>
      <c r="B2431" s="16">
        <v>23</v>
      </c>
      <c r="C2431" s="8" t="s">
        <v>20</v>
      </c>
      <c r="D2431" s="8" t="s">
        <v>85</v>
      </c>
      <c r="F2431" s="17">
        <v>41615</v>
      </c>
      <c r="G2431" s="8" t="s">
        <v>12733</v>
      </c>
      <c r="H2431" s="8" t="s">
        <v>12734</v>
      </c>
      <c r="I2431" s="8" t="s">
        <v>303</v>
      </c>
      <c r="J2431" s="16" t="s">
        <v>12735</v>
      </c>
      <c r="K2431" s="2" t="s">
        <v>1212</v>
      </c>
      <c r="L2431" s="8" t="s">
        <v>12736</v>
      </c>
      <c r="M2431" s="8" t="s">
        <v>27</v>
      </c>
      <c r="N2431" s="2" t="s">
        <v>12737</v>
      </c>
      <c r="O2431" s="8" t="s">
        <v>1013</v>
      </c>
      <c r="P2431" s="8" t="s">
        <v>401</v>
      </c>
      <c r="Q2431" s="12" t="s">
        <v>12738</v>
      </c>
      <c r="R2431" s="8" t="s">
        <v>29</v>
      </c>
      <c r="S2431" s="7" t="s">
        <v>28</v>
      </c>
      <c r="T2431" s="6"/>
      <c r="U2431" s="8"/>
    </row>
    <row r="2432" spans="1:34" ht="13" customHeight="1">
      <c r="A2432" s="8" t="s">
        <v>12742</v>
      </c>
      <c r="B2432" s="16">
        <v>26</v>
      </c>
      <c r="C2432" s="8" t="s">
        <v>20</v>
      </c>
      <c r="D2432" s="8" t="s">
        <v>37</v>
      </c>
      <c r="E2432" s="8" t="s">
        <v>12743</v>
      </c>
      <c r="F2432" s="17">
        <v>41615</v>
      </c>
      <c r="G2432" s="8" t="s">
        <v>12744</v>
      </c>
      <c r="H2432" s="8" t="s">
        <v>657</v>
      </c>
      <c r="I2432" s="8" t="s">
        <v>269</v>
      </c>
      <c r="J2432" s="16" t="s">
        <v>12745</v>
      </c>
      <c r="K2432" s="2" t="s">
        <v>570</v>
      </c>
      <c r="L2432" s="8" t="s">
        <v>12746</v>
      </c>
      <c r="M2432" s="8" t="s">
        <v>27</v>
      </c>
      <c r="N2432" s="2" t="s">
        <v>12747</v>
      </c>
      <c r="O2432" s="8" t="s">
        <v>1013</v>
      </c>
      <c r="P2432" s="8" t="s">
        <v>401</v>
      </c>
      <c r="Q2432" s="12" t="s">
        <v>12741</v>
      </c>
      <c r="R2432" s="8" t="s">
        <v>29</v>
      </c>
      <c r="S2432" s="7" t="s">
        <v>28</v>
      </c>
      <c r="T2432" s="6"/>
      <c r="U2432" s="8"/>
    </row>
    <row r="2433" spans="1:46" ht="13" customHeight="1">
      <c r="A2433" s="8" t="s">
        <v>12739</v>
      </c>
      <c r="B2433" s="16">
        <v>26</v>
      </c>
      <c r="C2433" s="8" t="s">
        <v>20</v>
      </c>
      <c r="D2433" s="8" t="s">
        <v>37</v>
      </c>
      <c r="F2433" s="17">
        <v>41615</v>
      </c>
      <c r="G2433" s="8" t="s">
        <v>12740</v>
      </c>
      <c r="H2433" s="8" t="s">
        <v>657</v>
      </c>
      <c r="I2433" s="8" t="s">
        <v>269</v>
      </c>
      <c r="K2433" s="2" t="s">
        <v>570</v>
      </c>
      <c r="L2433" s="8" t="s">
        <v>571</v>
      </c>
      <c r="M2433" s="8" t="s">
        <v>27</v>
      </c>
      <c r="P2433" s="8" t="s">
        <v>401</v>
      </c>
      <c r="Q2433" s="12" t="s">
        <v>12741</v>
      </c>
      <c r="S2433" s="7" t="s">
        <v>28</v>
      </c>
      <c r="T2433" s="6"/>
      <c r="U2433" s="8"/>
    </row>
    <row r="2434" spans="1:46" ht="13" customHeight="1">
      <c r="A2434" s="8" t="s">
        <v>12748</v>
      </c>
      <c r="B2434" s="16">
        <v>42</v>
      </c>
      <c r="C2434" s="8" t="s">
        <v>20</v>
      </c>
      <c r="D2434" s="8" t="s">
        <v>37</v>
      </c>
      <c r="E2434" s="8" t="s">
        <v>12749</v>
      </c>
      <c r="F2434" s="17">
        <v>41614</v>
      </c>
      <c r="G2434" s="8" t="s">
        <v>12750</v>
      </c>
      <c r="H2434" s="8" t="s">
        <v>634</v>
      </c>
      <c r="I2434" s="8" t="s">
        <v>123</v>
      </c>
      <c r="J2434" s="16" t="s">
        <v>12751</v>
      </c>
      <c r="K2434" s="2" t="s">
        <v>635</v>
      </c>
      <c r="L2434" s="8" t="s">
        <v>636</v>
      </c>
      <c r="M2434" s="8" t="s">
        <v>27</v>
      </c>
      <c r="N2434" s="2" t="s">
        <v>12752</v>
      </c>
      <c r="O2434" s="8" t="s">
        <v>1013</v>
      </c>
      <c r="P2434" s="8" t="s">
        <v>401</v>
      </c>
      <c r="Q2434" s="12" t="s">
        <v>12753</v>
      </c>
      <c r="R2434" s="8" t="s">
        <v>100</v>
      </c>
      <c r="S2434" s="7" t="s">
        <v>28</v>
      </c>
      <c r="T2434" s="6"/>
      <c r="U2434" s="8"/>
      <c r="V2434" s="8"/>
      <c r="W2434" s="8"/>
      <c r="X2434" s="8"/>
    </row>
    <row r="2435" spans="1:46" ht="13" customHeight="1">
      <c r="A2435" s="8" t="s">
        <v>12754</v>
      </c>
      <c r="B2435" s="16">
        <v>23</v>
      </c>
      <c r="C2435" s="8" t="s">
        <v>20</v>
      </c>
      <c r="D2435" s="8" t="s">
        <v>37</v>
      </c>
      <c r="E2435" s="8" t="s">
        <v>12757</v>
      </c>
      <c r="F2435" s="17">
        <v>41614</v>
      </c>
      <c r="G2435" s="8" t="s">
        <v>12755</v>
      </c>
      <c r="H2435" s="8" t="s">
        <v>12758</v>
      </c>
      <c r="I2435" s="8" t="s">
        <v>73</v>
      </c>
      <c r="J2435" s="16" t="s">
        <v>12756</v>
      </c>
      <c r="K2435" s="2" t="s">
        <v>576</v>
      </c>
      <c r="L2435" s="8" t="s">
        <v>12759</v>
      </c>
      <c r="M2435" s="8" t="s">
        <v>27</v>
      </c>
      <c r="N2435" s="2" t="s">
        <v>21479</v>
      </c>
      <c r="O2435" s="8" t="s">
        <v>550</v>
      </c>
      <c r="P2435" s="8" t="s">
        <v>401</v>
      </c>
      <c r="Q2435" s="59" t="str">
        <f>HYPERLINK("http://www.today.com/news/unjustified-family-student-killed-campus-police-speaks-out-2D11723684","http://www.today.com/news/unjustified-family-student-killed-campus-police-speaks-out-2D11723684")</f>
        <v>http://www.today.com/news/unjustified-family-student-killed-campus-police-speaks-out-2D11723684</v>
      </c>
      <c r="R2435" s="8" t="s">
        <v>967</v>
      </c>
      <c r="S2435" s="7" t="s">
        <v>35</v>
      </c>
      <c r="T2435" s="6"/>
      <c r="U2435" s="8"/>
      <c r="AN2435" s="8"/>
      <c r="AO2435" s="8"/>
      <c r="AP2435" s="8"/>
      <c r="AQ2435" s="8"/>
      <c r="AR2435" s="8"/>
      <c r="AS2435" s="8"/>
      <c r="AT2435" s="8"/>
    </row>
    <row r="2436" spans="1:46" ht="13" customHeight="1">
      <c r="A2436" s="8" t="s">
        <v>12765</v>
      </c>
      <c r="B2436" s="16">
        <v>43</v>
      </c>
      <c r="C2436" s="8" t="s">
        <v>20</v>
      </c>
      <c r="D2436" s="8" t="s">
        <v>30</v>
      </c>
      <c r="F2436" s="17">
        <v>41613</v>
      </c>
      <c r="G2436" s="8" t="s">
        <v>12766</v>
      </c>
      <c r="H2436" s="8" t="s">
        <v>1763</v>
      </c>
      <c r="I2436" s="8" t="s">
        <v>45</v>
      </c>
      <c r="J2436" s="16" t="s">
        <v>1764</v>
      </c>
      <c r="K2436" s="2" t="s">
        <v>1765</v>
      </c>
      <c r="L2436" s="8" t="s">
        <v>1766</v>
      </c>
      <c r="M2436" s="8" t="s">
        <v>27</v>
      </c>
      <c r="N2436" s="2" t="s">
        <v>12767</v>
      </c>
      <c r="O2436" s="8" t="s">
        <v>1013</v>
      </c>
      <c r="P2436" s="8" t="s">
        <v>401</v>
      </c>
      <c r="Q2436" s="12" t="s">
        <v>12768</v>
      </c>
      <c r="R2436" s="8" t="s">
        <v>100</v>
      </c>
      <c r="S2436" s="7" t="s">
        <v>28</v>
      </c>
      <c r="T2436" s="6"/>
      <c r="U2436" s="8"/>
    </row>
    <row r="2437" spans="1:46" ht="13" customHeight="1">
      <c r="A2437" s="8" t="s">
        <v>12760</v>
      </c>
      <c r="B2437" s="16">
        <v>49</v>
      </c>
      <c r="C2437" s="8" t="s">
        <v>20</v>
      </c>
      <c r="D2437" s="8" t="s">
        <v>30</v>
      </c>
      <c r="F2437" s="17">
        <v>41613</v>
      </c>
      <c r="G2437" s="8" t="s">
        <v>12761</v>
      </c>
      <c r="H2437" s="8" t="s">
        <v>5389</v>
      </c>
      <c r="I2437" s="8" t="s">
        <v>431</v>
      </c>
      <c r="J2437" s="16" t="s">
        <v>12762</v>
      </c>
      <c r="K2437" s="2" t="s">
        <v>433</v>
      </c>
      <c r="L2437" s="8" t="s">
        <v>1416</v>
      </c>
      <c r="M2437" s="8" t="s">
        <v>27</v>
      </c>
      <c r="N2437" s="2" t="s">
        <v>12763</v>
      </c>
      <c r="O2437" s="8" t="s">
        <v>1013</v>
      </c>
      <c r="P2437" s="8" t="s">
        <v>401</v>
      </c>
      <c r="Q2437" s="12" t="s">
        <v>12764</v>
      </c>
      <c r="R2437" s="8" t="s">
        <v>29</v>
      </c>
      <c r="S2437" s="7" t="s">
        <v>28</v>
      </c>
      <c r="T2437" s="6"/>
      <c r="U2437" s="8"/>
    </row>
    <row r="2438" spans="1:46" ht="13" customHeight="1">
      <c r="A2438" s="8" t="s">
        <v>12769</v>
      </c>
      <c r="B2438" s="16">
        <v>73</v>
      </c>
      <c r="C2438" s="8" t="s">
        <v>20</v>
      </c>
      <c r="D2438" s="8" t="s">
        <v>85</v>
      </c>
      <c r="F2438" s="17">
        <v>41612</v>
      </c>
      <c r="G2438" s="8" t="s">
        <v>12770</v>
      </c>
      <c r="H2438" s="8" t="s">
        <v>12771</v>
      </c>
      <c r="I2438" s="8" t="s">
        <v>94</v>
      </c>
      <c r="J2438" s="16" t="s">
        <v>12772</v>
      </c>
      <c r="K2438" s="2" t="s">
        <v>285</v>
      </c>
      <c r="L2438" s="8" t="s">
        <v>12773</v>
      </c>
      <c r="M2438" s="8" t="s">
        <v>27</v>
      </c>
      <c r="N2438" s="2" t="s">
        <v>12774</v>
      </c>
      <c r="O2438" s="8" t="s">
        <v>1013</v>
      </c>
      <c r="P2438" s="8" t="s">
        <v>401</v>
      </c>
      <c r="Q2438" s="12" t="s">
        <v>12775</v>
      </c>
      <c r="R2438" s="8" t="s">
        <v>29</v>
      </c>
      <c r="S2438" s="7" t="s">
        <v>28</v>
      </c>
      <c r="T2438" s="6"/>
      <c r="U2438" s="8"/>
    </row>
    <row r="2439" spans="1:46" ht="13" customHeight="1">
      <c r="A2439" s="8" t="s">
        <v>12776</v>
      </c>
      <c r="B2439" s="16">
        <v>31</v>
      </c>
      <c r="C2439" s="8" t="s">
        <v>20</v>
      </c>
      <c r="D2439" s="8" t="s">
        <v>48</v>
      </c>
      <c r="E2439" s="8" t="s">
        <v>12777</v>
      </c>
      <c r="F2439" s="17">
        <v>41612</v>
      </c>
      <c r="G2439" s="8" t="s">
        <v>12778</v>
      </c>
      <c r="H2439" s="8" t="s">
        <v>12779</v>
      </c>
      <c r="I2439" s="8" t="s">
        <v>81</v>
      </c>
      <c r="J2439" s="16" t="s">
        <v>12780</v>
      </c>
      <c r="K2439" s="2" t="s">
        <v>42</v>
      </c>
      <c r="L2439" s="8" t="s">
        <v>12781</v>
      </c>
      <c r="M2439" s="8" t="s">
        <v>27</v>
      </c>
      <c r="N2439" s="2" t="s">
        <v>12782</v>
      </c>
      <c r="O2439" s="8" t="s">
        <v>550</v>
      </c>
      <c r="P2439" s="8" t="s">
        <v>401</v>
      </c>
      <c r="Q2439" s="12" t="s">
        <v>12783</v>
      </c>
      <c r="R2439" s="8" t="s">
        <v>29</v>
      </c>
      <c r="S2439" s="7" t="s">
        <v>28</v>
      </c>
      <c r="T2439" s="6"/>
      <c r="U2439" s="8"/>
    </row>
    <row r="2440" spans="1:46" ht="13" customHeight="1">
      <c r="A2440" s="8" t="s">
        <v>12784</v>
      </c>
      <c r="B2440" s="16">
        <v>19</v>
      </c>
      <c r="C2440" s="8" t="s">
        <v>20</v>
      </c>
      <c r="D2440" s="8" t="s">
        <v>85</v>
      </c>
      <c r="F2440" s="17">
        <v>41611</v>
      </c>
      <c r="G2440" s="8" t="s">
        <v>12785</v>
      </c>
      <c r="H2440" s="8" t="s">
        <v>118</v>
      </c>
      <c r="I2440" s="8" t="s">
        <v>3685</v>
      </c>
      <c r="J2440" s="16" t="s">
        <v>12786</v>
      </c>
      <c r="K2440" s="2" t="s">
        <v>3687</v>
      </c>
      <c r="L2440" s="8" t="s">
        <v>19723</v>
      </c>
      <c r="M2440" s="8" t="s">
        <v>27</v>
      </c>
      <c r="N2440" s="2" t="s">
        <v>12787</v>
      </c>
      <c r="O2440" s="8" t="s">
        <v>1013</v>
      </c>
      <c r="P2440" s="8" t="s">
        <v>401</v>
      </c>
      <c r="Q2440" s="12" t="s">
        <v>12788</v>
      </c>
      <c r="R2440" s="8" t="s">
        <v>100</v>
      </c>
      <c r="S2440" s="7" t="s">
        <v>28</v>
      </c>
      <c r="T2440" s="6"/>
      <c r="U2440" s="8"/>
    </row>
    <row r="2441" spans="1:46" ht="13" customHeight="1">
      <c r="A2441" s="8" t="s">
        <v>12794</v>
      </c>
      <c r="B2441" s="16">
        <v>53</v>
      </c>
      <c r="C2441" s="8" t="s">
        <v>20</v>
      </c>
      <c r="D2441" s="8" t="s">
        <v>37</v>
      </c>
      <c r="E2441" s="8" t="s">
        <v>12795</v>
      </c>
      <c r="F2441" s="17">
        <v>41611</v>
      </c>
      <c r="G2441" s="8" t="s">
        <v>12796</v>
      </c>
      <c r="H2441" s="8" t="s">
        <v>1097</v>
      </c>
      <c r="I2441" s="8" t="s">
        <v>395</v>
      </c>
      <c r="K2441" s="2" t="s">
        <v>1098</v>
      </c>
      <c r="L2441" s="8" t="s">
        <v>12797</v>
      </c>
      <c r="M2441" s="8" t="s">
        <v>2297</v>
      </c>
      <c r="N2441" s="2" t="s">
        <v>12798</v>
      </c>
      <c r="O2441" s="8" t="s">
        <v>1161</v>
      </c>
      <c r="P2441" s="8" t="s">
        <v>1162</v>
      </c>
      <c r="Q2441" s="12" t="s">
        <v>12799</v>
      </c>
      <c r="S2441" s="7" t="s">
        <v>28</v>
      </c>
      <c r="T2441" s="6"/>
      <c r="U2441" s="8"/>
      <c r="AN2441" s="8"/>
      <c r="AO2441" s="8"/>
      <c r="AP2441" s="8"/>
      <c r="AQ2441" s="8"/>
      <c r="AR2441" s="8"/>
      <c r="AS2441" s="8"/>
      <c r="AT2441" s="8"/>
    </row>
    <row r="2442" spans="1:46" ht="13" customHeight="1">
      <c r="A2442" s="8" t="s">
        <v>12789</v>
      </c>
      <c r="B2442" s="16">
        <v>38</v>
      </c>
      <c r="C2442" s="8" t="s">
        <v>20</v>
      </c>
      <c r="D2442" s="8" t="s">
        <v>37</v>
      </c>
      <c r="E2442" s="8" t="s">
        <v>12790</v>
      </c>
      <c r="F2442" s="17">
        <v>41611</v>
      </c>
      <c r="G2442" s="8" t="s">
        <v>12791</v>
      </c>
      <c r="H2442" s="8" t="s">
        <v>1865</v>
      </c>
      <c r="I2442" s="8" t="s">
        <v>370</v>
      </c>
      <c r="J2442" s="16" t="s">
        <v>7222</v>
      </c>
      <c r="K2442" s="2" t="s">
        <v>1867</v>
      </c>
      <c r="L2442" s="8" t="s">
        <v>1868</v>
      </c>
      <c r="M2442" s="8" t="s">
        <v>27</v>
      </c>
      <c r="N2442" s="2" t="s">
        <v>12792</v>
      </c>
      <c r="O2442" s="8" t="s">
        <v>1013</v>
      </c>
      <c r="P2442" s="8" t="s">
        <v>401</v>
      </c>
      <c r="Q2442" s="12" t="s">
        <v>12793</v>
      </c>
      <c r="R2442" s="8" t="s">
        <v>29</v>
      </c>
      <c r="S2442" s="7" t="s">
        <v>28</v>
      </c>
      <c r="T2442" s="6"/>
      <c r="U2442" s="8"/>
      <c r="AN2442" s="8"/>
      <c r="AO2442" s="8"/>
      <c r="AP2442" s="8"/>
      <c r="AQ2442" s="8"/>
      <c r="AR2442" s="8"/>
      <c r="AS2442" s="8"/>
      <c r="AT2442" s="8"/>
    </row>
    <row r="2443" spans="1:46" ht="13" customHeight="1">
      <c r="A2443" s="8" t="s">
        <v>12800</v>
      </c>
      <c r="B2443" s="16">
        <v>22</v>
      </c>
      <c r="C2443" s="8" t="s">
        <v>20</v>
      </c>
      <c r="D2443" s="8" t="s">
        <v>85</v>
      </c>
      <c r="E2443" s="8" t="s">
        <v>12801</v>
      </c>
      <c r="F2443" s="17">
        <v>41610</v>
      </c>
      <c r="G2443" s="8" t="s">
        <v>12802</v>
      </c>
      <c r="H2443" s="8" t="s">
        <v>1290</v>
      </c>
      <c r="I2443" s="8" t="s">
        <v>69</v>
      </c>
      <c r="J2443" s="16" t="s">
        <v>3420</v>
      </c>
      <c r="K2443" s="2" t="s">
        <v>1291</v>
      </c>
      <c r="L2443" s="8" t="s">
        <v>12628</v>
      </c>
      <c r="M2443" s="8" t="s">
        <v>27</v>
      </c>
      <c r="N2443" s="2" t="s">
        <v>12803</v>
      </c>
      <c r="O2443" s="8" t="s">
        <v>550</v>
      </c>
      <c r="P2443" s="8" t="s">
        <v>401</v>
      </c>
      <c r="Q2443" s="12" t="s">
        <v>12804</v>
      </c>
      <c r="R2443" s="8" t="s">
        <v>100</v>
      </c>
      <c r="S2443" s="7" t="s">
        <v>28</v>
      </c>
      <c r="T2443" s="6"/>
      <c r="U2443" s="8"/>
    </row>
    <row r="2444" spans="1:46" ht="13" customHeight="1">
      <c r="A2444" s="8" t="s">
        <v>12805</v>
      </c>
      <c r="B2444" s="16">
        <v>46</v>
      </c>
      <c r="C2444" s="8" t="s">
        <v>20</v>
      </c>
      <c r="D2444" s="8" t="s">
        <v>30</v>
      </c>
      <c r="F2444" s="17">
        <v>41610</v>
      </c>
      <c r="G2444" s="8" t="s">
        <v>12806</v>
      </c>
      <c r="H2444" s="8" t="s">
        <v>561</v>
      </c>
      <c r="I2444" s="8" t="s">
        <v>123</v>
      </c>
      <c r="J2444" s="16" t="s">
        <v>6363</v>
      </c>
      <c r="K2444" s="2" t="s">
        <v>562</v>
      </c>
      <c r="L2444" s="8" t="s">
        <v>12807</v>
      </c>
      <c r="M2444" s="8" t="s">
        <v>27</v>
      </c>
      <c r="N2444" s="2" t="s">
        <v>12808</v>
      </c>
      <c r="O2444" s="8" t="s">
        <v>1013</v>
      </c>
      <c r="P2444" s="8" t="s">
        <v>401</v>
      </c>
      <c r="Q2444" s="12" t="s">
        <v>12809</v>
      </c>
      <c r="R2444" s="8" t="s">
        <v>100</v>
      </c>
      <c r="S2444" s="7" t="s">
        <v>28</v>
      </c>
      <c r="T2444" s="6"/>
      <c r="U2444" s="8"/>
    </row>
    <row r="2445" spans="1:46" ht="13" customHeight="1">
      <c r="A2445" s="8" t="s">
        <v>12810</v>
      </c>
      <c r="B2445" s="16">
        <v>49</v>
      </c>
      <c r="C2445" s="8" t="s">
        <v>20</v>
      </c>
      <c r="D2445" s="8" t="s">
        <v>37</v>
      </c>
      <c r="E2445" s="8" t="s">
        <v>12811</v>
      </c>
      <c r="F2445" s="17">
        <v>41610</v>
      </c>
      <c r="G2445" s="8" t="s">
        <v>12812</v>
      </c>
      <c r="H2445" s="8" t="s">
        <v>12813</v>
      </c>
      <c r="I2445" s="8" t="s">
        <v>319</v>
      </c>
      <c r="J2445" s="16" t="s">
        <v>12814</v>
      </c>
      <c r="K2445" s="2" t="s">
        <v>12815</v>
      </c>
      <c r="L2445" s="8" t="s">
        <v>12816</v>
      </c>
      <c r="M2445" s="8" t="s">
        <v>27</v>
      </c>
      <c r="N2445" s="2" t="s">
        <v>12817</v>
      </c>
      <c r="O2445" s="8" t="s">
        <v>550</v>
      </c>
      <c r="P2445" s="8" t="s">
        <v>401</v>
      </c>
      <c r="Q2445" s="12" t="s">
        <v>12818</v>
      </c>
      <c r="R2445" s="8" t="s">
        <v>100</v>
      </c>
      <c r="S2445" s="7" t="s">
        <v>28</v>
      </c>
      <c r="T2445" s="6"/>
      <c r="U2445" s="8"/>
      <c r="AN2445" s="8"/>
      <c r="AO2445" s="8"/>
      <c r="AP2445" s="8"/>
      <c r="AQ2445" s="8"/>
      <c r="AR2445" s="8"/>
      <c r="AS2445" s="8"/>
      <c r="AT2445" s="8"/>
    </row>
    <row r="2446" spans="1:46" ht="13" customHeight="1">
      <c r="A2446" s="8" t="s">
        <v>12819</v>
      </c>
      <c r="B2446" s="16">
        <v>21</v>
      </c>
      <c r="C2446" s="8" t="s">
        <v>114</v>
      </c>
      <c r="D2446" s="8" t="s">
        <v>48</v>
      </c>
      <c r="E2446" s="8" t="s">
        <v>12820</v>
      </c>
      <c r="F2446" s="17">
        <v>41609</v>
      </c>
      <c r="G2446" s="8" t="s">
        <v>12821</v>
      </c>
      <c r="H2446" s="8" t="s">
        <v>12822</v>
      </c>
      <c r="I2446" s="8" t="s">
        <v>62</v>
      </c>
      <c r="J2446" s="16" t="s">
        <v>12823</v>
      </c>
      <c r="K2446" s="2" t="s">
        <v>12822</v>
      </c>
      <c r="L2446" s="8" t="s">
        <v>12824</v>
      </c>
      <c r="M2446" s="8" t="s">
        <v>379</v>
      </c>
      <c r="N2446" s="2" t="s">
        <v>12825</v>
      </c>
      <c r="O2446" s="8" t="s">
        <v>12826</v>
      </c>
      <c r="P2446" s="8" t="s">
        <v>401</v>
      </c>
      <c r="Q2446" s="12" t="s">
        <v>12827</v>
      </c>
      <c r="R2446" s="8" t="s">
        <v>100</v>
      </c>
      <c r="S2446" s="7" t="s">
        <v>18</v>
      </c>
      <c r="T2446" s="6"/>
      <c r="U2446" s="8"/>
    </row>
    <row r="2447" spans="1:46" ht="13" customHeight="1">
      <c r="A2447" s="8" t="s">
        <v>12828</v>
      </c>
      <c r="B2447" s="16">
        <v>21</v>
      </c>
      <c r="C2447" s="8" t="s">
        <v>114</v>
      </c>
      <c r="D2447" s="8" t="s">
        <v>48</v>
      </c>
      <c r="E2447" s="8" t="s">
        <v>12820</v>
      </c>
      <c r="F2447" s="17">
        <v>41609</v>
      </c>
      <c r="G2447" s="8" t="s">
        <v>12821</v>
      </c>
      <c r="H2447" s="8" t="s">
        <v>12822</v>
      </c>
      <c r="I2447" s="8" t="s">
        <v>62</v>
      </c>
      <c r="J2447" s="16" t="s">
        <v>12823</v>
      </c>
      <c r="K2447" s="2" t="s">
        <v>12822</v>
      </c>
      <c r="L2447" s="8" t="s">
        <v>12824</v>
      </c>
      <c r="M2447" s="8" t="s">
        <v>379</v>
      </c>
      <c r="N2447" s="2" t="s">
        <v>12825</v>
      </c>
      <c r="O2447" s="8" t="s">
        <v>12826</v>
      </c>
      <c r="P2447" s="8" t="s">
        <v>401</v>
      </c>
      <c r="Q2447" s="12" t="s">
        <v>12827</v>
      </c>
      <c r="R2447" s="8" t="s">
        <v>100</v>
      </c>
      <c r="S2447" s="7" t="s">
        <v>18</v>
      </c>
      <c r="T2447" s="6"/>
      <c r="U2447" s="8"/>
    </row>
    <row r="2448" spans="1:46" ht="13" customHeight="1">
      <c r="A2448" s="8" t="s">
        <v>12837</v>
      </c>
      <c r="B2448" s="16">
        <v>26</v>
      </c>
      <c r="C2448" s="8" t="s">
        <v>20</v>
      </c>
      <c r="D2448" s="8" t="s">
        <v>37</v>
      </c>
      <c r="E2448" s="8" t="s">
        <v>12838</v>
      </c>
      <c r="F2448" s="17">
        <v>41609</v>
      </c>
      <c r="G2448" s="8" t="s">
        <v>12839</v>
      </c>
      <c r="H2448" s="8" t="s">
        <v>430</v>
      </c>
      <c r="I2448" s="8" t="s">
        <v>431</v>
      </c>
      <c r="J2448" s="16" t="s">
        <v>12840</v>
      </c>
      <c r="K2448" s="2" t="s">
        <v>433</v>
      </c>
      <c r="L2448" s="8" t="s">
        <v>434</v>
      </c>
      <c r="M2448" s="8" t="s">
        <v>27</v>
      </c>
      <c r="N2448" s="2" t="s">
        <v>21465</v>
      </c>
      <c r="O2448" s="8" t="s">
        <v>550</v>
      </c>
      <c r="P2448" s="8" t="s">
        <v>401</v>
      </c>
      <c r="Q2448" s="12" t="s">
        <v>12841</v>
      </c>
      <c r="R2448" s="8" t="s">
        <v>967</v>
      </c>
      <c r="S2448" s="7" t="s">
        <v>18</v>
      </c>
      <c r="T2448" s="6"/>
      <c r="U2448" s="8"/>
      <c r="AN2448" s="8"/>
      <c r="AO2448" s="8"/>
      <c r="AP2448" s="8"/>
      <c r="AQ2448" s="8"/>
      <c r="AR2448" s="8"/>
      <c r="AS2448" s="8"/>
      <c r="AT2448" s="8"/>
    </row>
    <row r="2449" spans="1:46" ht="13" customHeight="1">
      <c r="A2449" s="8" t="s">
        <v>12829</v>
      </c>
      <c r="B2449" s="16">
        <v>33</v>
      </c>
      <c r="C2449" s="8" t="s">
        <v>20</v>
      </c>
      <c r="D2449" s="8" t="s">
        <v>37</v>
      </c>
      <c r="E2449" s="8" t="s">
        <v>12830</v>
      </c>
      <c r="F2449" s="17">
        <v>41609</v>
      </c>
      <c r="G2449" s="8" t="s">
        <v>12831</v>
      </c>
      <c r="H2449" s="8" t="s">
        <v>12832</v>
      </c>
      <c r="I2449" s="8" t="s">
        <v>431</v>
      </c>
      <c r="J2449" s="16" t="s">
        <v>12833</v>
      </c>
      <c r="K2449" s="2" t="s">
        <v>4979</v>
      </c>
      <c r="L2449" s="8" t="s">
        <v>12834</v>
      </c>
      <c r="M2449" s="8" t="s">
        <v>27</v>
      </c>
      <c r="N2449" s="2" t="s">
        <v>12835</v>
      </c>
      <c r="O2449" s="8" t="s">
        <v>550</v>
      </c>
      <c r="P2449" s="8" t="s">
        <v>401</v>
      </c>
      <c r="Q2449" s="12" t="s">
        <v>12836</v>
      </c>
      <c r="R2449" s="8" t="s">
        <v>29</v>
      </c>
      <c r="S2449" s="7" t="s">
        <v>18</v>
      </c>
      <c r="T2449" s="6"/>
      <c r="U2449" s="8"/>
      <c r="Y2449" s="8"/>
      <c r="Z2449" s="8"/>
      <c r="AA2449" s="8"/>
      <c r="AB2449" s="8"/>
      <c r="AC2449" s="8"/>
      <c r="AD2449" s="8"/>
      <c r="AE2449" s="8"/>
      <c r="AF2449" s="8"/>
      <c r="AG2449" s="8"/>
      <c r="AH2449" s="8"/>
      <c r="AN2449" s="8"/>
      <c r="AO2449" s="8"/>
      <c r="AP2449" s="8"/>
      <c r="AQ2449" s="8"/>
      <c r="AR2449" s="8"/>
      <c r="AS2449" s="8"/>
      <c r="AT2449" s="8"/>
    </row>
    <row r="2450" spans="1:46" ht="13" customHeight="1">
      <c r="A2450" s="8" t="s">
        <v>12842</v>
      </c>
      <c r="B2450" s="16">
        <v>23</v>
      </c>
      <c r="C2450" s="8" t="s">
        <v>20</v>
      </c>
      <c r="D2450" s="8" t="s">
        <v>48</v>
      </c>
      <c r="F2450" s="17">
        <v>41607</v>
      </c>
      <c r="G2450" s="8" t="s">
        <v>12843</v>
      </c>
      <c r="H2450" s="8" t="s">
        <v>1671</v>
      </c>
      <c r="I2450" s="8" t="s">
        <v>45</v>
      </c>
      <c r="J2450" s="16" t="s">
        <v>1672</v>
      </c>
      <c r="K2450" s="2" t="s">
        <v>98</v>
      </c>
      <c r="L2450" s="8" t="s">
        <v>12844</v>
      </c>
      <c r="M2450" s="8" t="s">
        <v>27</v>
      </c>
      <c r="N2450" s="2" t="s">
        <v>12845</v>
      </c>
      <c r="O2450" s="8" t="s">
        <v>1013</v>
      </c>
      <c r="P2450" s="8" t="s">
        <v>401</v>
      </c>
      <c r="Q2450" s="12" t="s">
        <v>12846</v>
      </c>
      <c r="R2450" s="8" t="s">
        <v>100</v>
      </c>
      <c r="S2450" s="7" t="s">
        <v>28</v>
      </c>
      <c r="T2450" s="6"/>
      <c r="U2450" s="8"/>
      <c r="Y2450" s="8"/>
      <c r="Z2450" s="8"/>
      <c r="AA2450" s="8"/>
      <c r="AB2450" s="8"/>
      <c r="AC2450" s="8"/>
      <c r="AD2450" s="8"/>
      <c r="AE2450" s="8"/>
      <c r="AF2450" s="8"/>
      <c r="AG2450" s="8"/>
      <c r="AH2450" s="8"/>
    </row>
    <row r="2451" spans="1:46" ht="13" customHeight="1">
      <c r="A2451" s="8" t="s">
        <v>12847</v>
      </c>
      <c r="B2451" s="16">
        <v>22</v>
      </c>
      <c r="C2451" s="8" t="s">
        <v>20</v>
      </c>
      <c r="D2451" s="8" t="s">
        <v>37</v>
      </c>
      <c r="E2451" s="8" t="s">
        <v>12848</v>
      </c>
      <c r="F2451" s="17">
        <v>41607</v>
      </c>
      <c r="G2451" s="8" t="s">
        <v>12849</v>
      </c>
      <c r="H2451" s="8" t="s">
        <v>12850</v>
      </c>
      <c r="I2451" s="8" t="s">
        <v>73</v>
      </c>
      <c r="J2451" s="16" t="s">
        <v>12851</v>
      </c>
      <c r="K2451" s="2" t="s">
        <v>12852</v>
      </c>
      <c r="L2451" s="8" t="s">
        <v>12853</v>
      </c>
      <c r="M2451" s="8" t="s">
        <v>27</v>
      </c>
      <c r="N2451" s="2" t="s">
        <v>12854</v>
      </c>
      <c r="O2451" s="8" t="s">
        <v>400</v>
      </c>
      <c r="P2451" s="8" t="s">
        <v>401</v>
      </c>
      <c r="Q2451" s="12" t="s">
        <v>12855</v>
      </c>
      <c r="R2451" s="8" t="s">
        <v>29</v>
      </c>
      <c r="S2451" s="7" t="s">
        <v>28</v>
      </c>
      <c r="T2451" s="6"/>
      <c r="U2451" s="8"/>
      <c r="AN2451" s="8"/>
      <c r="AO2451" s="8"/>
      <c r="AP2451" s="8"/>
      <c r="AQ2451" s="8"/>
      <c r="AR2451" s="8"/>
      <c r="AS2451" s="8"/>
      <c r="AT2451" s="8"/>
    </row>
    <row r="2452" spans="1:46" ht="13" customHeight="1">
      <c r="A2452" s="8" t="s">
        <v>12856</v>
      </c>
      <c r="B2452" s="16">
        <v>51</v>
      </c>
      <c r="C2452" s="8" t="s">
        <v>20</v>
      </c>
      <c r="D2452" s="8" t="s">
        <v>37</v>
      </c>
      <c r="F2452" s="17">
        <v>41607</v>
      </c>
      <c r="G2452" s="8" t="s">
        <v>12857</v>
      </c>
      <c r="H2452" s="8" t="s">
        <v>1211</v>
      </c>
      <c r="I2452" s="8" t="s">
        <v>303</v>
      </c>
      <c r="J2452" s="16" t="s">
        <v>10778</v>
      </c>
      <c r="K2452" s="2" t="s">
        <v>1212</v>
      </c>
      <c r="L2452" s="8" t="s">
        <v>1213</v>
      </c>
      <c r="M2452" s="8" t="s">
        <v>27</v>
      </c>
      <c r="N2452" s="2" t="s">
        <v>12858</v>
      </c>
      <c r="O2452" s="8" t="s">
        <v>4714</v>
      </c>
      <c r="P2452" s="8" t="s">
        <v>401</v>
      </c>
      <c r="Q2452" s="12" t="s">
        <v>12859</v>
      </c>
      <c r="R2452" s="8" t="s">
        <v>100</v>
      </c>
      <c r="S2452" s="7" t="s">
        <v>28</v>
      </c>
      <c r="T2452" s="6"/>
      <c r="U2452" s="8"/>
      <c r="AN2452" s="8"/>
      <c r="AO2452" s="8"/>
      <c r="AP2452" s="8"/>
      <c r="AQ2452" s="8"/>
      <c r="AR2452" s="8"/>
      <c r="AS2452" s="8"/>
      <c r="AT2452" s="8"/>
    </row>
    <row r="2453" spans="1:46" ht="13" customHeight="1">
      <c r="A2453" s="8" t="s">
        <v>12860</v>
      </c>
      <c r="B2453" s="16">
        <v>20</v>
      </c>
      <c r="C2453" s="8" t="s">
        <v>114</v>
      </c>
      <c r="D2453" s="8" t="s">
        <v>85</v>
      </c>
      <c r="E2453" s="8" t="str">
        <f>HYPERLINK("https://www.facebook.com/remembershia","https://www.facebook.com/remembershia")</f>
        <v>https://www.facebook.com/remembershia</v>
      </c>
      <c r="F2453" s="17">
        <v>41606</v>
      </c>
      <c r="G2453" s="8" t="s">
        <v>12861</v>
      </c>
      <c r="H2453" s="8" t="s">
        <v>7619</v>
      </c>
      <c r="I2453" s="8" t="s">
        <v>62</v>
      </c>
      <c r="K2453" s="2" t="s">
        <v>12862</v>
      </c>
      <c r="L2453" s="8" t="s">
        <v>12863</v>
      </c>
      <c r="M2453" s="8" t="s">
        <v>379</v>
      </c>
      <c r="P2453" s="8" t="s">
        <v>401</v>
      </c>
      <c r="Q2453" s="12" t="s">
        <v>12864</v>
      </c>
      <c r="S2453" s="7" t="s">
        <v>18</v>
      </c>
      <c r="T2453" s="6"/>
      <c r="U2453" s="8"/>
    </row>
    <row r="2454" spans="1:46" ht="13" customHeight="1">
      <c r="A2454" s="8" t="s">
        <v>12865</v>
      </c>
      <c r="B2454" s="16">
        <v>16</v>
      </c>
      <c r="C2454" s="8" t="s">
        <v>20</v>
      </c>
      <c r="D2454" s="8" t="s">
        <v>85</v>
      </c>
      <c r="F2454" s="17">
        <v>41606</v>
      </c>
      <c r="G2454" s="8" t="s">
        <v>12866</v>
      </c>
      <c r="H2454" s="8" t="s">
        <v>7619</v>
      </c>
      <c r="I2454" s="8" t="s">
        <v>62</v>
      </c>
      <c r="J2454" s="16" t="s">
        <v>12867</v>
      </c>
      <c r="K2454" s="2" t="s">
        <v>12862</v>
      </c>
      <c r="L2454" s="8" t="s">
        <v>12863</v>
      </c>
      <c r="M2454" s="8" t="s">
        <v>379</v>
      </c>
      <c r="N2454" s="2" t="s">
        <v>12868</v>
      </c>
      <c r="O2454" s="8" t="s">
        <v>1013</v>
      </c>
      <c r="P2454" s="8" t="s">
        <v>401</v>
      </c>
      <c r="Q2454" s="12" t="s">
        <v>12864</v>
      </c>
      <c r="R2454" s="8" t="s">
        <v>100</v>
      </c>
      <c r="S2454" s="7" t="s">
        <v>18</v>
      </c>
      <c r="T2454" s="6"/>
      <c r="U2454" s="8"/>
    </row>
    <row r="2455" spans="1:46" ht="13" customHeight="1">
      <c r="A2455" s="8" t="s">
        <v>12869</v>
      </c>
      <c r="B2455" s="16">
        <v>20</v>
      </c>
      <c r="C2455" s="8" t="s">
        <v>20</v>
      </c>
      <c r="D2455" s="8" t="s">
        <v>85</v>
      </c>
      <c r="E2455" s="8" t="s">
        <v>12870</v>
      </c>
      <c r="F2455" s="17">
        <v>41606</v>
      </c>
      <c r="G2455" s="8" t="s">
        <v>12871</v>
      </c>
      <c r="H2455" s="8" t="s">
        <v>7619</v>
      </c>
      <c r="I2455" s="8" t="s">
        <v>62</v>
      </c>
      <c r="J2455" s="16" t="s">
        <v>12867</v>
      </c>
      <c r="K2455" s="2" t="s">
        <v>12862</v>
      </c>
      <c r="L2455" s="8" t="s">
        <v>12863</v>
      </c>
      <c r="M2455" s="8" t="s">
        <v>379</v>
      </c>
      <c r="N2455" s="2" t="s">
        <v>12868</v>
      </c>
      <c r="O2455" s="8" t="s">
        <v>1013</v>
      </c>
      <c r="P2455" s="8" t="s">
        <v>401</v>
      </c>
      <c r="Q2455" s="12" t="s">
        <v>12864</v>
      </c>
      <c r="R2455" s="8" t="s">
        <v>100</v>
      </c>
      <c r="S2455" s="7" t="s">
        <v>379</v>
      </c>
      <c r="T2455" s="6"/>
      <c r="U2455" s="8"/>
    </row>
    <row r="2456" spans="1:46" ht="13" customHeight="1">
      <c r="A2456" s="8" t="s">
        <v>12872</v>
      </c>
      <c r="B2456" s="16">
        <v>42</v>
      </c>
      <c r="C2456" s="8" t="s">
        <v>20</v>
      </c>
      <c r="D2456" s="8" t="s">
        <v>48</v>
      </c>
      <c r="E2456" s="8" t="s">
        <v>12873</v>
      </c>
      <c r="F2456" s="17">
        <v>41606</v>
      </c>
      <c r="G2456" s="8" t="s">
        <v>12874</v>
      </c>
      <c r="H2456" s="8" t="s">
        <v>608</v>
      </c>
      <c r="I2456" s="8" t="s">
        <v>45</v>
      </c>
      <c r="J2456" s="16" t="s">
        <v>12875</v>
      </c>
      <c r="K2456" s="2" t="s">
        <v>609</v>
      </c>
      <c r="L2456" s="8" t="s">
        <v>730</v>
      </c>
      <c r="M2456" s="8" t="s">
        <v>27</v>
      </c>
      <c r="N2456" s="2" t="s">
        <v>12876</v>
      </c>
      <c r="O2456" s="8" t="s">
        <v>4714</v>
      </c>
      <c r="P2456" s="8" t="s">
        <v>401</v>
      </c>
      <c r="Q2456" s="12" t="s">
        <v>12877</v>
      </c>
      <c r="R2456" s="8" t="s">
        <v>100</v>
      </c>
      <c r="S2456" s="7" t="s">
        <v>379</v>
      </c>
      <c r="T2456" s="6"/>
      <c r="U2456" s="8"/>
    </row>
    <row r="2457" spans="1:46" ht="13" customHeight="1">
      <c r="A2457" s="8" t="s">
        <v>12890</v>
      </c>
      <c r="B2457" s="16">
        <v>61</v>
      </c>
      <c r="C2457" s="8" t="s">
        <v>20</v>
      </c>
      <c r="D2457" s="8" t="s">
        <v>37</v>
      </c>
      <c r="E2457" s="8" t="s">
        <v>12891</v>
      </c>
      <c r="F2457" s="17">
        <v>41606</v>
      </c>
      <c r="G2457" s="8" t="s">
        <v>12892</v>
      </c>
      <c r="H2457" s="8" t="s">
        <v>12893</v>
      </c>
      <c r="I2457" s="8" t="s">
        <v>62</v>
      </c>
      <c r="J2457" s="16" t="s">
        <v>12894</v>
      </c>
      <c r="K2457" s="2" t="s">
        <v>1108</v>
      </c>
      <c r="L2457" s="8" t="s">
        <v>12895</v>
      </c>
      <c r="M2457" s="8" t="s">
        <v>12896</v>
      </c>
      <c r="N2457" s="2" t="s">
        <v>12897</v>
      </c>
      <c r="O2457" s="8" t="s">
        <v>3400</v>
      </c>
      <c r="P2457" s="8" t="s">
        <v>401</v>
      </c>
      <c r="Q2457" s="12" t="s">
        <v>12898</v>
      </c>
      <c r="R2457" s="8" t="s">
        <v>100</v>
      </c>
      <c r="S2457" s="7" t="s">
        <v>18</v>
      </c>
      <c r="T2457" s="6"/>
      <c r="U2457" s="8"/>
      <c r="AN2457" s="8"/>
      <c r="AO2457" s="8"/>
      <c r="AP2457" s="8"/>
      <c r="AQ2457" s="8"/>
      <c r="AR2457" s="8"/>
      <c r="AS2457" s="8"/>
      <c r="AT2457" s="8"/>
    </row>
    <row r="2458" spans="1:46" ht="13" customHeight="1">
      <c r="A2458" s="8" t="s">
        <v>12883</v>
      </c>
      <c r="B2458" s="16">
        <v>44</v>
      </c>
      <c r="C2458" s="8" t="s">
        <v>20</v>
      </c>
      <c r="D2458" s="8" t="s">
        <v>37</v>
      </c>
      <c r="E2458" s="8" t="s">
        <v>12884</v>
      </c>
      <c r="F2458" s="17">
        <v>41606</v>
      </c>
      <c r="G2458" s="8" t="s">
        <v>12885</v>
      </c>
      <c r="H2458" s="8" t="s">
        <v>2031</v>
      </c>
      <c r="I2458" s="8" t="s">
        <v>217</v>
      </c>
      <c r="J2458" s="16" t="s">
        <v>12886</v>
      </c>
      <c r="K2458" s="2" t="s">
        <v>4089</v>
      </c>
      <c r="L2458" s="8" t="s">
        <v>12887</v>
      </c>
      <c r="M2458" s="8" t="s">
        <v>27</v>
      </c>
      <c r="N2458" s="2" t="s">
        <v>12888</v>
      </c>
      <c r="O2458" s="8" t="s">
        <v>1013</v>
      </c>
      <c r="P2458" s="8" t="s">
        <v>401</v>
      </c>
      <c r="Q2458" s="12" t="s">
        <v>12889</v>
      </c>
      <c r="R2458" s="8" t="s">
        <v>100</v>
      </c>
      <c r="S2458" s="7" t="s">
        <v>28</v>
      </c>
      <c r="T2458" s="6"/>
      <c r="U2458" s="8"/>
      <c r="AN2458" s="8"/>
      <c r="AO2458" s="8"/>
      <c r="AP2458" s="8"/>
      <c r="AQ2458" s="8"/>
      <c r="AR2458" s="8"/>
      <c r="AS2458" s="8"/>
      <c r="AT2458" s="8"/>
    </row>
    <row r="2459" spans="1:46" ht="13" customHeight="1">
      <c r="A2459" s="8" t="s">
        <v>12878</v>
      </c>
      <c r="B2459" s="16">
        <v>48</v>
      </c>
      <c r="C2459" s="8" t="s">
        <v>20</v>
      </c>
      <c r="D2459" s="8" t="s">
        <v>37</v>
      </c>
      <c r="E2459" s="8" t="s">
        <v>12879</v>
      </c>
      <c r="F2459" s="17">
        <v>41606</v>
      </c>
      <c r="G2459" s="8" t="s">
        <v>12880</v>
      </c>
      <c r="H2459" s="8" t="s">
        <v>1925</v>
      </c>
      <c r="I2459" s="8" t="s">
        <v>209</v>
      </c>
      <c r="J2459" s="16" t="s">
        <v>1926</v>
      </c>
      <c r="K2459" s="2" t="s">
        <v>3849</v>
      </c>
      <c r="L2459" s="8" t="s">
        <v>10280</v>
      </c>
      <c r="M2459" s="8" t="s">
        <v>27</v>
      </c>
      <c r="N2459" s="2" t="s">
        <v>12881</v>
      </c>
      <c r="O2459" s="8" t="s">
        <v>550</v>
      </c>
      <c r="P2459" s="8" t="s">
        <v>401</v>
      </c>
      <c r="Q2459" s="12" t="s">
        <v>12882</v>
      </c>
      <c r="R2459" s="8" t="s">
        <v>100</v>
      </c>
      <c r="S2459" s="7" t="s">
        <v>28</v>
      </c>
      <c r="T2459" s="6"/>
      <c r="U2459" s="8"/>
      <c r="Y2459" s="8"/>
      <c r="Z2459" s="8"/>
      <c r="AA2459" s="8"/>
      <c r="AB2459" s="8"/>
      <c r="AC2459" s="8"/>
      <c r="AD2459" s="8"/>
      <c r="AE2459" s="8"/>
      <c r="AF2459" s="8"/>
      <c r="AG2459" s="8"/>
      <c r="AH2459" s="8"/>
      <c r="AN2459" s="8"/>
      <c r="AO2459" s="8"/>
      <c r="AP2459" s="8"/>
      <c r="AQ2459" s="8"/>
      <c r="AR2459" s="8"/>
      <c r="AS2459" s="8"/>
      <c r="AT2459" s="8"/>
    </row>
    <row r="2460" spans="1:46" ht="13" customHeight="1">
      <c r="A2460" s="8" t="s">
        <v>12899</v>
      </c>
      <c r="B2460" s="16">
        <v>28</v>
      </c>
      <c r="C2460" s="8" t="s">
        <v>20</v>
      </c>
      <c r="D2460" s="8" t="s">
        <v>85</v>
      </c>
      <c r="E2460" s="8" t="s">
        <v>12900</v>
      </c>
      <c r="F2460" s="17">
        <v>41605</v>
      </c>
      <c r="G2460" s="8" t="s">
        <v>12901</v>
      </c>
      <c r="H2460" s="8" t="s">
        <v>2163</v>
      </c>
      <c r="I2460" s="8" t="s">
        <v>94</v>
      </c>
      <c r="J2460" s="16" t="s">
        <v>12902</v>
      </c>
      <c r="K2460" s="2" t="s">
        <v>2165</v>
      </c>
      <c r="L2460" s="8" t="s">
        <v>12903</v>
      </c>
      <c r="M2460" s="8" t="s">
        <v>27</v>
      </c>
      <c r="N2460" s="2" t="s">
        <v>12904</v>
      </c>
      <c r="O2460" s="8" t="s">
        <v>400</v>
      </c>
      <c r="P2460" s="8" t="s">
        <v>401</v>
      </c>
      <c r="Q2460" s="12" t="str">
        <f>HYPERLINK("http://whnt.com/2013/12/02/grand-jury-to-review-shooting-involving-corrections-officer/","http://whnt.com/2013/12/02/grand-jury-to-review-shooting-involving-corrections-officer/")</f>
        <v>http://whnt.com/2013/12/02/grand-jury-to-review-shooting-involving-corrections-officer/</v>
      </c>
      <c r="R2460" s="8" t="s">
        <v>29</v>
      </c>
      <c r="S2460" s="7" t="s">
        <v>18</v>
      </c>
      <c r="T2460" s="6"/>
      <c r="U2460" s="8"/>
    </row>
    <row r="2461" spans="1:46" ht="13" customHeight="1">
      <c r="A2461" s="8" t="s">
        <v>12905</v>
      </c>
      <c r="B2461" s="16">
        <v>30</v>
      </c>
      <c r="C2461" s="8" t="s">
        <v>20</v>
      </c>
      <c r="D2461" s="8" t="s">
        <v>48</v>
      </c>
      <c r="E2461" s="8" t="s">
        <v>12906</v>
      </c>
      <c r="F2461" s="17">
        <v>41605</v>
      </c>
      <c r="G2461" s="8" t="s">
        <v>12907</v>
      </c>
      <c r="H2461" s="8" t="s">
        <v>1097</v>
      </c>
      <c r="I2461" s="8" t="s">
        <v>395</v>
      </c>
      <c r="J2461" s="16" t="s">
        <v>12908</v>
      </c>
      <c r="K2461" s="2" t="s">
        <v>1098</v>
      </c>
      <c r="L2461" s="8" t="s">
        <v>1099</v>
      </c>
      <c r="M2461" s="8" t="s">
        <v>27</v>
      </c>
      <c r="N2461" s="2" t="s">
        <v>12909</v>
      </c>
      <c r="O2461" s="8" t="s">
        <v>4714</v>
      </c>
      <c r="P2461" s="8" t="s">
        <v>401</v>
      </c>
      <c r="Q2461" s="12" t="s">
        <v>12910</v>
      </c>
      <c r="R2461" s="8" t="s">
        <v>100</v>
      </c>
      <c r="S2461" s="7" t="s">
        <v>28</v>
      </c>
      <c r="T2461" s="6"/>
      <c r="U2461" s="8"/>
    </row>
    <row r="2462" spans="1:46" ht="13" customHeight="1">
      <c r="A2462" s="8" t="s">
        <v>12911</v>
      </c>
      <c r="B2462" s="16">
        <v>38</v>
      </c>
      <c r="C2462" s="8" t="s">
        <v>20</v>
      </c>
      <c r="D2462" s="8" t="s">
        <v>85</v>
      </c>
      <c r="F2462" s="17">
        <v>41604</v>
      </c>
      <c r="G2462" s="8" t="s">
        <v>12912</v>
      </c>
      <c r="H2462" s="8" t="s">
        <v>12913</v>
      </c>
      <c r="I2462" s="8" t="s">
        <v>25</v>
      </c>
      <c r="K2462" s="2" t="s">
        <v>12914</v>
      </c>
      <c r="L2462" s="8" t="s">
        <v>12915</v>
      </c>
      <c r="M2462" s="8" t="s">
        <v>391</v>
      </c>
      <c r="P2462" s="8" t="s">
        <v>401</v>
      </c>
      <c r="Q2462" s="12" t="s">
        <v>12916</v>
      </c>
      <c r="S2462" s="7" t="s">
        <v>28</v>
      </c>
      <c r="T2462" s="6"/>
      <c r="U2462" s="8"/>
    </row>
    <row r="2463" spans="1:46" ht="13" customHeight="1">
      <c r="A2463" s="8" t="s">
        <v>12917</v>
      </c>
      <c r="B2463" s="16">
        <v>31</v>
      </c>
      <c r="C2463" s="8" t="s">
        <v>20</v>
      </c>
      <c r="D2463" s="8" t="s">
        <v>37</v>
      </c>
      <c r="E2463" s="8" t="s">
        <v>12918</v>
      </c>
      <c r="F2463" s="17">
        <v>41604</v>
      </c>
      <c r="G2463" s="8" t="s">
        <v>12919</v>
      </c>
      <c r="H2463" s="8" t="s">
        <v>1063</v>
      </c>
      <c r="I2463" s="8" t="s">
        <v>62</v>
      </c>
      <c r="J2463" s="16" t="s">
        <v>12920</v>
      </c>
      <c r="K2463" s="2" t="s">
        <v>1064</v>
      </c>
      <c r="L2463" s="8" t="s">
        <v>1065</v>
      </c>
      <c r="M2463" s="8" t="s">
        <v>27</v>
      </c>
      <c r="N2463" s="2" t="s">
        <v>12921</v>
      </c>
      <c r="O2463" s="8" t="s">
        <v>4714</v>
      </c>
      <c r="P2463" s="8" t="s">
        <v>401</v>
      </c>
      <c r="Q2463" s="12" t="s">
        <v>12922</v>
      </c>
      <c r="R2463" s="8" t="s">
        <v>100</v>
      </c>
      <c r="S2463" s="7" t="s">
        <v>379</v>
      </c>
      <c r="T2463" s="6"/>
      <c r="U2463" s="8"/>
      <c r="AN2463" s="8"/>
      <c r="AO2463" s="8"/>
      <c r="AP2463" s="8"/>
      <c r="AQ2463" s="8"/>
      <c r="AR2463" s="8"/>
      <c r="AS2463" s="8"/>
      <c r="AT2463" s="8"/>
    </row>
    <row r="2464" spans="1:46" ht="13" customHeight="1">
      <c r="A2464" s="8" t="s">
        <v>12923</v>
      </c>
      <c r="B2464" s="16">
        <v>23</v>
      </c>
      <c r="C2464" s="8" t="s">
        <v>20</v>
      </c>
      <c r="D2464" s="8" t="s">
        <v>85</v>
      </c>
      <c r="E2464" s="8" t="s">
        <v>12924</v>
      </c>
      <c r="F2464" s="17">
        <v>41603</v>
      </c>
      <c r="G2464" s="8" t="s">
        <v>12925</v>
      </c>
      <c r="H2464" s="8" t="s">
        <v>12926</v>
      </c>
      <c r="I2464" s="8" t="s">
        <v>41</v>
      </c>
      <c r="J2464" s="16" t="s">
        <v>12927</v>
      </c>
      <c r="K2464" s="2" t="s">
        <v>4915</v>
      </c>
      <c r="L2464" s="8" t="s">
        <v>12928</v>
      </c>
      <c r="M2464" s="8" t="s">
        <v>27</v>
      </c>
      <c r="N2464" s="2" t="s">
        <v>12929</v>
      </c>
      <c r="O2464" s="8" t="s">
        <v>4714</v>
      </c>
      <c r="P2464" s="8" t="s">
        <v>401</v>
      </c>
      <c r="Q2464" s="12" t="s">
        <v>12930</v>
      </c>
      <c r="R2464" s="8" t="s">
        <v>100</v>
      </c>
      <c r="S2464" s="7" t="s">
        <v>28</v>
      </c>
      <c r="T2464" s="6"/>
      <c r="U2464" s="8"/>
    </row>
    <row r="2465" spans="1:46" ht="13" customHeight="1">
      <c r="A2465" s="8" t="s">
        <v>12931</v>
      </c>
      <c r="B2465" s="16">
        <v>53</v>
      </c>
      <c r="C2465" s="8" t="s">
        <v>20</v>
      </c>
      <c r="D2465" s="8" t="s">
        <v>85</v>
      </c>
      <c r="F2465" s="17">
        <v>41603</v>
      </c>
      <c r="G2465" s="8" t="s">
        <v>12932</v>
      </c>
      <c r="H2465" s="8" t="s">
        <v>12933</v>
      </c>
      <c r="I2465" s="8" t="s">
        <v>173</v>
      </c>
      <c r="J2465" s="16" t="s">
        <v>12934</v>
      </c>
      <c r="K2465" s="2" t="s">
        <v>3324</v>
      </c>
      <c r="L2465" s="8" t="s">
        <v>3325</v>
      </c>
      <c r="M2465" s="8" t="s">
        <v>27</v>
      </c>
      <c r="N2465" s="2" t="s">
        <v>12935</v>
      </c>
      <c r="O2465" s="8" t="s">
        <v>1013</v>
      </c>
      <c r="P2465" s="8" t="s">
        <v>401</v>
      </c>
      <c r="Q2465" s="12" t="s">
        <v>12936</v>
      </c>
      <c r="R2465" s="8" t="s">
        <v>100</v>
      </c>
      <c r="S2465" s="7" t="s">
        <v>28</v>
      </c>
      <c r="T2465" s="6"/>
      <c r="U2465" s="8"/>
    </row>
    <row r="2466" spans="1:46" ht="13" customHeight="1">
      <c r="A2466" s="8" t="s">
        <v>12937</v>
      </c>
      <c r="B2466" s="16">
        <v>72</v>
      </c>
      <c r="C2466" s="8" t="s">
        <v>20</v>
      </c>
      <c r="D2466" s="8" t="s">
        <v>48</v>
      </c>
      <c r="F2466" s="17">
        <v>41603</v>
      </c>
      <c r="G2466" s="8" t="s">
        <v>12938</v>
      </c>
      <c r="H2466" s="8" t="s">
        <v>12939</v>
      </c>
      <c r="I2466" s="8" t="s">
        <v>45</v>
      </c>
      <c r="J2466" s="16" t="s">
        <v>12940</v>
      </c>
      <c r="K2466" s="2" t="s">
        <v>98</v>
      </c>
      <c r="L2466" s="8" t="s">
        <v>99</v>
      </c>
      <c r="M2466" s="8" t="s">
        <v>27</v>
      </c>
      <c r="N2466" s="2" t="s">
        <v>12941</v>
      </c>
      <c r="O2466" s="8" t="s">
        <v>4714</v>
      </c>
      <c r="P2466" s="8" t="s">
        <v>401</v>
      </c>
      <c r="Q2466" s="12" t="s">
        <v>12942</v>
      </c>
      <c r="R2466" s="8" t="s">
        <v>100</v>
      </c>
      <c r="S2466" s="7" t="s">
        <v>28</v>
      </c>
      <c r="T2466" s="6"/>
      <c r="U2466" s="8"/>
    </row>
    <row r="2467" spans="1:46" ht="13" customHeight="1">
      <c r="A2467" s="8" t="s">
        <v>12943</v>
      </c>
      <c r="B2467" s="16">
        <v>26</v>
      </c>
      <c r="C2467" s="8" t="s">
        <v>20</v>
      </c>
      <c r="D2467" s="8" t="s">
        <v>30</v>
      </c>
      <c r="F2467" s="17">
        <v>41603</v>
      </c>
      <c r="G2467" s="8" t="s">
        <v>12944</v>
      </c>
      <c r="H2467" s="8" t="s">
        <v>118</v>
      </c>
      <c r="I2467" s="8" t="s">
        <v>3685</v>
      </c>
      <c r="J2467" s="16" t="s">
        <v>10706</v>
      </c>
      <c r="K2467" s="2" t="s">
        <v>3687</v>
      </c>
      <c r="L2467" s="8" t="s">
        <v>19723</v>
      </c>
      <c r="M2467" s="8" t="s">
        <v>27</v>
      </c>
      <c r="N2467" s="2" t="s">
        <v>12945</v>
      </c>
      <c r="O2467" s="8" t="s">
        <v>1013</v>
      </c>
      <c r="P2467" s="8" t="s">
        <v>401</v>
      </c>
      <c r="Q2467" s="12" t="s">
        <v>12946</v>
      </c>
      <c r="R2467" s="8" t="s">
        <v>100</v>
      </c>
      <c r="S2467" s="7" t="s">
        <v>28</v>
      </c>
      <c r="T2467" s="6"/>
      <c r="U2467" s="8"/>
    </row>
    <row r="2468" spans="1:46" ht="13" customHeight="1">
      <c r="A2468" s="8" t="s">
        <v>12947</v>
      </c>
      <c r="B2468" s="16">
        <v>35</v>
      </c>
      <c r="C2468" s="8" t="s">
        <v>20</v>
      </c>
      <c r="D2468" s="8" t="s">
        <v>85</v>
      </c>
      <c r="F2468" s="17">
        <v>41602</v>
      </c>
      <c r="G2468" s="8" t="s">
        <v>12948</v>
      </c>
      <c r="H2468" s="8" t="s">
        <v>12949</v>
      </c>
      <c r="I2468" s="8" t="s">
        <v>45</v>
      </c>
      <c r="K2468" s="2" t="s">
        <v>786</v>
      </c>
      <c r="L2468" s="8" t="s">
        <v>787</v>
      </c>
      <c r="M2468" s="8" t="s">
        <v>27</v>
      </c>
      <c r="P2468" s="8" t="s">
        <v>401</v>
      </c>
      <c r="Q2468" s="12" t="s">
        <v>5854</v>
      </c>
      <c r="S2468" s="7" t="s">
        <v>28</v>
      </c>
      <c r="T2468" s="6"/>
      <c r="U2468" s="8"/>
    </row>
    <row r="2469" spans="1:46" ht="13" customHeight="1">
      <c r="A2469" s="8" t="s">
        <v>12950</v>
      </c>
      <c r="B2469" s="16">
        <v>42</v>
      </c>
      <c r="C2469" s="8" t="s">
        <v>20</v>
      </c>
      <c r="D2469" s="8" t="s">
        <v>37</v>
      </c>
      <c r="F2469" s="17">
        <v>41602</v>
      </c>
      <c r="G2469" s="8" t="s">
        <v>12951</v>
      </c>
      <c r="H2469" s="8" t="s">
        <v>999</v>
      </c>
      <c r="I2469" s="8" t="s">
        <v>209</v>
      </c>
      <c r="J2469" s="16" t="s">
        <v>12952</v>
      </c>
      <c r="K2469" s="2" t="s">
        <v>999</v>
      </c>
      <c r="L2469" s="8" t="s">
        <v>1000</v>
      </c>
      <c r="M2469" s="8" t="s">
        <v>27</v>
      </c>
      <c r="N2469" s="2" t="s">
        <v>12953</v>
      </c>
      <c r="O2469" s="8" t="s">
        <v>550</v>
      </c>
      <c r="P2469" s="8" t="s">
        <v>401</v>
      </c>
      <c r="Q2469" s="12" t="s">
        <v>12954</v>
      </c>
      <c r="R2469" s="8" t="s">
        <v>100</v>
      </c>
      <c r="S2469" s="7" t="s">
        <v>28</v>
      </c>
      <c r="T2469" s="6"/>
      <c r="U2469" s="8"/>
      <c r="AN2469" s="8"/>
      <c r="AO2469" s="8"/>
      <c r="AP2469" s="8"/>
      <c r="AQ2469" s="8"/>
      <c r="AR2469" s="8"/>
      <c r="AS2469" s="8"/>
      <c r="AT2469" s="8"/>
    </row>
    <row r="2470" spans="1:46" ht="13" customHeight="1">
      <c r="A2470" s="8" t="s">
        <v>12955</v>
      </c>
      <c r="B2470" s="16">
        <v>24</v>
      </c>
      <c r="C2470" s="8" t="s">
        <v>20</v>
      </c>
      <c r="D2470" s="8" t="s">
        <v>30</v>
      </c>
      <c r="F2470" s="17">
        <v>41601</v>
      </c>
      <c r="G2470" s="8" t="s">
        <v>12956</v>
      </c>
      <c r="H2470" s="8" t="s">
        <v>3719</v>
      </c>
      <c r="I2470" s="8" t="s">
        <v>45</v>
      </c>
      <c r="J2470" s="16" t="s">
        <v>3720</v>
      </c>
      <c r="K2470" s="2" t="s">
        <v>98</v>
      </c>
      <c r="L2470" s="8" t="s">
        <v>3721</v>
      </c>
      <c r="M2470" s="8" t="s">
        <v>27</v>
      </c>
      <c r="N2470" s="2" t="s">
        <v>12957</v>
      </c>
      <c r="O2470" s="8" t="s">
        <v>4714</v>
      </c>
      <c r="P2470" s="8" t="s">
        <v>401</v>
      </c>
      <c r="Q2470" s="12" t="s">
        <v>12958</v>
      </c>
      <c r="R2470" s="8" t="s">
        <v>100</v>
      </c>
      <c r="S2470" s="7" t="s">
        <v>18</v>
      </c>
      <c r="T2470" s="6"/>
      <c r="U2470" s="8"/>
    </row>
    <row r="2471" spans="1:46" ht="13" customHeight="1">
      <c r="A2471" s="8" t="s">
        <v>12959</v>
      </c>
      <c r="B2471" s="16">
        <v>24</v>
      </c>
      <c r="C2471" s="8" t="s">
        <v>20</v>
      </c>
      <c r="D2471" s="8" t="s">
        <v>37</v>
      </c>
      <c r="E2471" s="8" t="s">
        <v>12960</v>
      </c>
      <c r="F2471" s="17">
        <v>41601</v>
      </c>
      <c r="G2471" s="8" t="s">
        <v>12961</v>
      </c>
      <c r="H2471" s="8" t="s">
        <v>929</v>
      </c>
      <c r="I2471" s="8" t="s">
        <v>73</v>
      </c>
      <c r="J2471" s="16" t="s">
        <v>12962</v>
      </c>
      <c r="K2471" s="2" t="s">
        <v>74</v>
      </c>
      <c r="L2471" s="8" t="s">
        <v>930</v>
      </c>
      <c r="M2471" s="8" t="s">
        <v>27</v>
      </c>
      <c r="N2471" s="2" t="s">
        <v>12963</v>
      </c>
      <c r="O2471" s="8" t="s">
        <v>550</v>
      </c>
      <c r="P2471" s="8" t="s">
        <v>401</v>
      </c>
      <c r="Q2471" s="12" t="s">
        <v>12964</v>
      </c>
      <c r="R2471" s="8" t="s">
        <v>100</v>
      </c>
      <c r="S2471" s="7" t="s">
        <v>379</v>
      </c>
      <c r="T2471" s="6"/>
      <c r="U2471" s="8"/>
      <c r="AN2471" s="8"/>
      <c r="AO2471" s="8"/>
      <c r="AP2471" s="8"/>
      <c r="AQ2471" s="8"/>
      <c r="AR2471" s="8"/>
      <c r="AS2471" s="8"/>
      <c r="AT2471" s="8"/>
    </row>
    <row r="2472" spans="1:46" ht="13" customHeight="1">
      <c r="A2472" s="8" t="s">
        <v>12965</v>
      </c>
      <c r="B2472" s="16">
        <v>47</v>
      </c>
      <c r="C2472" s="8" t="s">
        <v>20</v>
      </c>
      <c r="D2472" s="8" t="s">
        <v>85</v>
      </c>
      <c r="E2472" s="8" t="s">
        <v>12966</v>
      </c>
      <c r="F2472" s="17">
        <v>41600</v>
      </c>
      <c r="G2472" s="8" t="s">
        <v>12967</v>
      </c>
      <c r="H2472" s="8" t="s">
        <v>1290</v>
      </c>
      <c r="I2472" s="8" t="s">
        <v>69</v>
      </c>
      <c r="J2472" s="16" t="s">
        <v>5065</v>
      </c>
      <c r="K2472" s="2" t="s">
        <v>1291</v>
      </c>
      <c r="L2472" s="8" t="s">
        <v>12628</v>
      </c>
      <c r="M2472" s="8" t="s">
        <v>27</v>
      </c>
      <c r="N2472" s="2" t="s">
        <v>12968</v>
      </c>
      <c r="O2472" s="8" t="s">
        <v>1013</v>
      </c>
      <c r="P2472" s="8" t="s">
        <v>401</v>
      </c>
      <c r="Q2472" s="12" t="s">
        <v>12969</v>
      </c>
      <c r="R2472" s="8" t="s">
        <v>100</v>
      </c>
      <c r="S2472" s="7" t="s">
        <v>28</v>
      </c>
      <c r="T2472" s="6"/>
      <c r="U2472" s="8"/>
    </row>
    <row r="2473" spans="1:46" ht="13" customHeight="1">
      <c r="A2473" s="8" t="s">
        <v>12970</v>
      </c>
      <c r="B2473" s="16">
        <v>18</v>
      </c>
      <c r="C2473" s="8" t="s">
        <v>20</v>
      </c>
      <c r="D2473" s="8" t="s">
        <v>48</v>
      </c>
      <c r="F2473" s="17">
        <v>41600</v>
      </c>
      <c r="G2473" s="8" t="s">
        <v>12971</v>
      </c>
      <c r="H2473" s="8" t="s">
        <v>98</v>
      </c>
      <c r="I2473" s="8" t="s">
        <v>45</v>
      </c>
      <c r="J2473" s="16" t="s">
        <v>12972</v>
      </c>
      <c r="K2473" s="2" t="s">
        <v>98</v>
      </c>
      <c r="L2473" s="8" t="s">
        <v>99</v>
      </c>
      <c r="M2473" s="8" t="s">
        <v>27</v>
      </c>
      <c r="N2473" s="2" t="s">
        <v>12973</v>
      </c>
      <c r="O2473" s="8" t="s">
        <v>4714</v>
      </c>
      <c r="P2473" s="8" t="s">
        <v>401</v>
      </c>
      <c r="Q2473" s="12" t="s">
        <v>12974</v>
      </c>
      <c r="R2473" s="8" t="s">
        <v>100</v>
      </c>
      <c r="S2473" s="7" t="s">
        <v>28</v>
      </c>
      <c r="T2473" s="6"/>
      <c r="U2473" s="8"/>
    </row>
    <row r="2474" spans="1:46" ht="13" customHeight="1">
      <c r="A2474" s="8" t="s">
        <v>12975</v>
      </c>
      <c r="B2474" s="16" t="s">
        <v>8771</v>
      </c>
      <c r="C2474" s="8" t="s">
        <v>20</v>
      </c>
      <c r="D2474" s="8" t="s">
        <v>48</v>
      </c>
      <c r="F2474" s="17">
        <v>41600</v>
      </c>
      <c r="G2474" s="8" t="s">
        <v>12976</v>
      </c>
      <c r="H2474" s="8" t="s">
        <v>786</v>
      </c>
      <c r="I2474" s="8" t="s">
        <v>45</v>
      </c>
      <c r="J2474" s="16" t="s">
        <v>12977</v>
      </c>
      <c r="K2474" s="2" t="s">
        <v>786</v>
      </c>
      <c r="L2474" s="8" t="s">
        <v>5973</v>
      </c>
      <c r="M2474" s="8" t="s">
        <v>27</v>
      </c>
      <c r="N2474" s="2" t="s">
        <v>12978</v>
      </c>
      <c r="O2474" s="8" t="s">
        <v>29</v>
      </c>
      <c r="P2474" s="8" t="s">
        <v>401</v>
      </c>
      <c r="Q2474" s="12" t="s">
        <v>12979</v>
      </c>
      <c r="R2474" s="8" t="s">
        <v>100</v>
      </c>
      <c r="S2474" s="7" t="s">
        <v>28</v>
      </c>
      <c r="T2474" s="6"/>
      <c r="U2474" s="8"/>
    </row>
    <row r="2475" spans="1:46" ht="13" customHeight="1">
      <c r="A2475" s="8" t="s">
        <v>12988</v>
      </c>
      <c r="B2475" s="16">
        <v>26</v>
      </c>
      <c r="C2475" s="8" t="s">
        <v>20</v>
      </c>
      <c r="D2475" s="8" t="s">
        <v>37</v>
      </c>
      <c r="E2475" s="8" t="s">
        <v>12989</v>
      </c>
      <c r="F2475" s="17">
        <v>41600</v>
      </c>
      <c r="G2475" s="8" t="s">
        <v>12990</v>
      </c>
      <c r="H2475" s="8" t="s">
        <v>929</v>
      </c>
      <c r="I2475" s="8" t="s">
        <v>73</v>
      </c>
      <c r="J2475" s="16" t="s">
        <v>12991</v>
      </c>
      <c r="K2475" s="2" t="s">
        <v>74</v>
      </c>
      <c r="L2475" s="8" t="s">
        <v>930</v>
      </c>
      <c r="M2475" s="8" t="s">
        <v>27</v>
      </c>
      <c r="N2475" s="2" t="s">
        <v>12992</v>
      </c>
      <c r="O2475" s="8" t="s">
        <v>550</v>
      </c>
      <c r="P2475" s="8" t="s">
        <v>401</v>
      </c>
      <c r="Q2475" s="12" t="s">
        <v>12993</v>
      </c>
      <c r="R2475" s="8" t="s">
        <v>100</v>
      </c>
      <c r="S2475" s="7" t="s">
        <v>28</v>
      </c>
      <c r="T2475" s="6"/>
      <c r="U2475" s="8"/>
      <c r="AN2475" s="8"/>
      <c r="AO2475" s="8"/>
      <c r="AP2475" s="8"/>
      <c r="AQ2475" s="8"/>
      <c r="AR2475" s="8"/>
      <c r="AS2475" s="8"/>
      <c r="AT2475" s="8"/>
    </row>
    <row r="2476" spans="1:46" ht="13" customHeight="1">
      <c r="A2476" s="8" t="s">
        <v>12994</v>
      </c>
      <c r="B2476" s="16">
        <v>30</v>
      </c>
      <c r="C2476" s="8" t="s">
        <v>20</v>
      </c>
      <c r="D2476" s="8" t="s">
        <v>37</v>
      </c>
      <c r="E2476" s="8" t="s">
        <v>12995</v>
      </c>
      <c r="F2476" s="17">
        <v>41600</v>
      </c>
      <c r="G2476" s="8" t="s">
        <v>12996</v>
      </c>
      <c r="H2476" s="8" t="s">
        <v>12997</v>
      </c>
      <c r="I2476" s="8" t="s">
        <v>44</v>
      </c>
      <c r="J2476" s="16" t="s">
        <v>12998</v>
      </c>
      <c r="K2476" s="2" t="s">
        <v>12999</v>
      </c>
      <c r="L2476" s="8" t="s">
        <v>13000</v>
      </c>
      <c r="M2476" s="8" t="s">
        <v>27</v>
      </c>
      <c r="N2476" s="2" t="s">
        <v>13001</v>
      </c>
      <c r="O2476" s="8" t="s">
        <v>550</v>
      </c>
      <c r="P2476" s="8" t="s">
        <v>401</v>
      </c>
      <c r="Q2476" s="12" t="s">
        <v>13002</v>
      </c>
      <c r="R2476" s="8" t="s">
        <v>100</v>
      </c>
      <c r="S2476" s="7" t="s">
        <v>28</v>
      </c>
      <c r="T2476" s="6"/>
      <c r="U2476" s="8"/>
      <c r="AN2476" s="8"/>
      <c r="AO2476" s="8"/>
      <c r="AP2476" s="8"/>
      <c r="AQ2476" s="8"/>
      <c r="AR2476" s="8"/>
      <c r="AS2476" s="8"/>
      <c r="AT2476" s="8"/>
    </row>
    <row r="2477" spans="1:46" ht="13" customHeight="1">
      <c r="A2477" s="8" t="s">
        <v>12980</v>
      </c>
      <c r="B2477" s="16">
        <v>31</v>
      </c>
      <c r="C2477" s="8" t="s">
        <v>20</v>
      </c>
      <c r="D2477" s="8" t="s">
        <v>37</v>
      </c>
      <c r="E2477" s="8" t="s">
        <v>12981</v>
      </c>
      <c r="F2477" s="17">
        <v>41600</v>
      </c>
      <c r="G2477" s="8" t="s">
        <v>12982</v>
      </c>
      <c r="H2477" s="8" t="s">
        <v>12983</v>
      </c>
      <c r="I2477" s="8" t="s">
        <v>117</v>
      </c>
      <c r="J2477" s="16" t="s">
        <v>12984</v>
      </c>
      <c r="K2477" s="2" t="s">
        <v>12985</v>
      </c>
      <c r="L2477" s="8" t="s">
        <v>12986</v>
      </c>
      <c r="M2477" s="8" t="s">
        <v>27</v>
      </c>
      <c r="N2477" s="2" t="s">
        <v>12987</v>
      </c>
      <c r="O2477" s="8" t="s">
        <v>550</v>
      </c>
      <c r="P2477" s="8" t="s">
        <v>401</v>
      </c>
      <c r="Q2477" s="12" t="s">
        <v>21480</v>
      </c>
      <c r="R2477" s="8" t="s">
        <v>100</v>
      </c>
      <c r="S2477" s="7" t="s">
        <v>18</v>
      </c>
      <c r="T2477" s="6"/>
      <c r="U2477" s="8"/>
      <c r="AN2477" s="8"/>
      <c r="AO2477" s="8"/>
      <c r="AP2477" s="8"/>
      <c r="AQ2477" s="8"/>
      <c r="AR2477" s="8"/>
      <c r="AS2477" s="8"/>
      <c r="AT2477" s="8"/>
    </row>
    <row r="2478" spans="1:46" ht="13" customHeight="1">
      <c r="A2478" s="8" t="s">
        <v>13003</v>
      </c>
      <c r="B2478" s="16">
        <v>28</v>
      </c>
      <c r="C2478" s="8" t="s">
        <v>20</v>
      </c>
      <c r="D2478" s="8" t="s">
        <v>37</v>
      </c>
      <c r="E2478" s="8" t="s">
        <v>13004</v>
      </c>
      <c r="F2478" s="17">
        <v>41599</v>
      </c>
      <c r="G2478" s="8" t="s">
        <v>13005</v>
      </c>
      <c r="H2478" s="8" t="s">
        <v>13006</v>
      </c>
      <c r="I2478" s="8" t="s">
        <v>81</v>
      </c>
      <c r="J2478" s="16" t="s">
        <v>13007</v>
      </c>
      <c r="K2478" s="2" t="s">
        <v>42</v>
      </c>
      <c r="L2478" s="8" t="s">
        <v>13008</v>
      </c>
      <c r="M2478" s="8" t="s">
        <v>27</v>
      </c>
      <c r="N2478" s="2" t="s">
        <v>13009</v>
      </c>
      <c r="O2478" s="8" t="s">
        <v>29</v>
      </c>
      <c r="P2478" s="8" t="s">
        <v>401</v>
      </c>
      <c r="Q2478" s="12" t="s">
        <v>13010</v>
      </c>
      <c r="R2478" s="8" t="s">
        <v>555</v>
      </c>
      <c r="S2478" s="7" t="s">
        <v>28</v>
      </c>
      <c r="T2478" s="6"/>
      <c r="U2478" s="8"/>
      <c r="AN2478" s="8"/>
      <c r="AO2478" s="8"/>
      <c r="AP2478" s="8"/>
      <c r="AQ2478" s="8"/>
      <c r="AR2478" s="8"/>
      <c r="AS2478" s="8"/>
      <c r="AT2478" s="8"/>
    </row>
    <row r="2479" spans="1:46" ht="13" customHeight="1">
      <c r="A2479" s="8" t="s">
        <v>13011</v>
      </c>
      <c r="B2479" s="16">
        <v>58</v>
      </c>
      <c r="C2479" s="8" t="s">
        <v>20</v>
      </c>
      <c r="D2479" s="8" t="s">
        <v>37</v>
      </c>
      <c r="E2479" s="8" t="s">
        <v>13012</v>
      </c>
      <c r="F2479" s="17">
        <v>41599</v>
      </c>
      <c r="G2479" s="8" t="s">
        <v>13013</v>
      </c>
      <c r="H2479" s="8" t="s">
        <v>4661</v>
      </c>
      <c r="I2479" s="8" t="s">
        <v>62</v>
      </c>
      <c r="J2479" s="16" t="s">
        <v>13014</v>
      </c>
      <c r="K2479" s="2" t="s">
        <v>2100</v>
      </c>
      <c r="L2479" s="8" t="s">
        <v>3407</v>
      </c>
      <c r="M2479" s="8" t="s">
        <v>27</v>
      </c>
      <c r="N2479" s="2" t="s">
        <v>13015</v>
      </c>
      <c r="O2479" s="8" t="s">
        <v>400</v>
      </c>
      <c r="P2479" s="8" t="s">
        <v>401</v>
      </c>
      <c r="Q2479" s="12" t="s">
        <v>13016</v>
      </c>
      <c r="R2479" s="8" t="s">
        <v>100</v>
      </c>
      <c r="S2479" s="7" t="s">
        <v>28</v>
      </c>
      <c r="T2479" s="6"/>
      <c r="U2479" s="8"/>
      <c r="AN2479" s="8"/>
      <c r="AO2479" s="8"/>
      <c r="AP2479" s="8"/>
      <c r="AQ2479" s="8"/>
      <c r="AR2479" s="8"/>
      <c r="AS2479" s="8"/>
      <c r="AT2479" s="8"/>
    </row>
    <row r="2480" spans="1:46" ht="13" customHeight="1">
      <c r="A2480" s="8" t="s">
        <v>13017</v>
      </c>
      <c r="B2480" s="16">
        <v>20</v>
      </c>
      <c r="C2480" s="8" t="s">
        <v>20</v>
      </c>
      <c r="D2480" s="8" t="s">
        <v>85</v>
      </c>
      <c r="E2480" s="8" t="s">
        <v>13018</v>
      </c>
      <c r="F2480" s="17">
        <v>41598</v>
      </c>
      <c r="G2480" s="8" t="s">
        <v>13019</v>
      </c>
      <c r="H2480" s="8" t="s">
        <v>13020</v>
      </c>
      <c r="I2480" s="8" t="s">
        <v>123</v>
      </c>
      <c r="J2480" s="16" t="s">
        <v>13021</v>
      </c>
      <c r="K2480" s="2" t="s">
        <v>562</v>
      </c>
      <c r="L2480" s="8" t="s">
        <v>12807</v>
      </c>
      <c r="M2480" s="8" t="s">
        <v>27</v>
      </c>
      <c r="N2480" s="2" t="s">
        <v>13022</v>
      </c>
      <c r="O2480" s="8" t="s">
        <v>4714</v>
      </c>
      <c r="P2480" s="8" t="s">
        <v>401</v>
      </c>
      <c r="Q2480" s="12" t="s">
        <v>13023</v>
      </c>
      <c r="R2480" s="8" t="s">
        <v>555</v>
      </c>
      <c r="S2480" s="7" t="s">
        <v>28</v>
      </c>
      <c r="T2480" s="6"/>
      <c r="U2480" s="8"/>
    </row>
    <row r="2481" spans="1:21" ht="13" customHeight="1">
      <c r="A2481" s="8" t="s">
        <v>13024</v>
      </c>
      <c r="B2481" s="16">
        <v>25</v>
      </c>
      <c r="C2481" s="8" t="s">
        <v>20</v>
      </c>
      <c r="D2481" s="8" t="s">
        <v>85</v>
      </c>
      <c r="E2481" s="8" t="s">
        <v>13025</v>
      </c>
      <c r="F2481" s="17">
        <v>41598</v>
      </c>
      <c r="G2481" s="8" t="s">
        <v>13026</v>
      </c>
      <c r="H2481" s="8" t="s">
        <v>2130</v>
      </c>
      <c r="I2481" s="8" t="s">
        <v>423</v>
      </c>
      <c r="J2481" s="16" t="s">
        <v>13027</v>
      </c>
      <c r="K2481" s="2" t="s">
        <v>1064</v>
      </c>
      <c r="L2481" s="8" t="s">
        <v>13028</v>
      </c>
      <c r="M2481" s="8" t="s">
        <v>27</v>
      </c>
      <c r="N2481" s="2" t="s">
        <v>13029</v>
      </c>
      <c r="O2481" s="8" t="s">
        <v>550</v>
      </c>
      <c r="P2481" s="8" t="s">
        <v>401</v>
      </c>
      <c r="Q2481" s="12" t="s">
        <v>13030</v>
      </c>
      <c r="R2481" s="8" t="s">
        <v>100</v>
      </c>
      <c r="S2481" s="7" t="s">
        <v>28</v>
      </c>
      <c r="T2481" s="6"/>
      <c r="U2481" s="8"/>
    </row>
    <row r="2482" spans="1:21" ht="13" customHeight="1">
      <c r="A2482" s="8" t="s">
        <v>13031</v>
      </c>
      <c r="B2482" s="16">
        <v>44</v>
      </c>
      <c r="C2482" s="8" t="s">
        <v>20</v>
      </c>
      <c r="D2482" s="8" t="s">
        <v>37</v>
      </c>
      <c r="F2482" s="17">
        <v>41598</v>
      </c>
      <c r="G2482" s="8" t="s">
        <v>13032</v>
      </c>
      <c r="H2482" s="8" t="s">
        <v>3209</v>
      </c>
      <c r="I2482" s="8" t="s">
        <v>117</v>
      </c>
      <c r="J2482" s="16" t="s">
        <v>13033</v>
      </c>
      <c r="K2482" s="2" t="s">
        <v>3211</v>
      </c>
      <c r="L2482" s="8" t="s">
        <v>3212</v>
      </c>
      <c r="M2482" s="8" t="s">
        <v>27</v>
      </c>
      <c r="N2482" s="2" t="s">
        <v>13034</v>
      </c>
      <c r="O2482" s="8" t="s">
        <v>550</v>
      </c>
      <c r="P2482" s="8" t="s">
        <v>401</v>
      </c>
      <c r="Q2482" s="12" t="s">
        <v>13035</v>
      </c>
      <c r="R2482" s="8" t="s">
        <v>29</v>
      </c>
      <c r="S2482" s="7" t="s">
        <v>28</v>
      </c>
      <c r="T2482" s="6"/>
      <c r="U2482" s="8"/>
    </row>
    <row r="2483" spans="1:21" ht="13" customHeight="1">
      <c r="A2483" s="8" t="s">
        <v>13036</v>
      </c>
      <c r="B2483" s="16">
        <v>19</v>
      </c>
      <c r="C2483" s="8" t="s">
        <v>20</v>
      </c>
      <c r="D2483" s="8" t="s">
        <v>85</v>
      </c>
      <c r="E2483" s="8" t="s">
        <v>13037</v>
      </c>
      <c r="F2483" s="17">
        <v>41597</v>
      </c>
      <c r="G2483" s="8" t="s">
        <v>13038</v>
      </c>
      <c r="H2483" s="8" t="s">
        <v>489</v>
      </c>
      <c r="I2483" s="8" t="s">
        <v>45</v>
      </c>
      <c r="J2483" s="16" t="s">
        <v>6378</v>
      </c>
      <c r="K2483" s="2" t="s">
        <v>98</v>
      </c>
      <c r="L2483" s="8" t="s">
        <v>490</v>
      </c>
      <c r="M2483" s="8" t="s">
        <v>27</v>
      </c>
      <c r="N2483" s="2" t="s">
        <v>13039</v>
      </c>
      <c r="O2483" s="8" t="s">
        <v>1013</v>
      </c>
      <c r="P2483" s="8" t="s">
        <v>401</v>
      </c>
      <c r="Q2483" s="12" t="str">
        <f>HYPERLINK("http://www.presstelegram.com/general-news/20131120/man-shot-killed-by-long-beach-police-identified-as-from-rialto","http://www.presstelegram.com/general-news/20131120/man-shot-killed-by-long-beach-police-identified-as-from-rialto")</f>
        <v>http://www.presstelegram.com/general-news/20131120/man-shot-killed-by-long-beach-police-identified-as-from-rialto</v>
      </c>
      <c r="R2483" s="8" t="s">
        <v>100</v>
      </c>
      <c r="S2483" s="7" t="s">
        <v>35</v>
      </c>
      <c r="T2483" s="6"/>
      <c r="U2483" s="8"/>
    </row>
    <row r="2484" spans="1:21" ht="13" customHeight="1">
      <c r="A2484" s="8" t="s">
        <v>13040</v>
      </c>
      <c r="B2484" s="16">
        <v>17</v>
      </c>
      <c r="C2484" s="8" t="s">
        <v>20</v>
      </c>
      <c r="D2484" s="8" t="s">
        <v>48</v>
      </c>
      <c r="E2484" s="8" t="s">
        <v>13041</v>
      </c>
      <c r="F2484" s="17">
        <v>41597</v>
      </c>
      <c r="G2484" s="8" t="s">
        <v>13042</v>
      </c>
      <c r="H2484" s="8" t="s">
        <v>493</v>
      </c>
      <c r="I2484" s="8" t="s">
        <v>366</v>
      </c>
      <c r="J2484" s="16" t="s">
        <v>13043</v>
      </c>
      <c r="K2484" s="2" t="s">
        <v>493</v>
      </c>
      <c r="L2484" s="8" t="s">
        <v>495</v>
      </c>
      <c r="M2484" s="8" t="s">
        <v>27</v>
      </c>
      <c r="N2484" s="2" t="s">
        <v>21466</v>
      </c>
      <c r="O2484" s="8" t="s">
        <v>615</v>
      </c>
      <c r="P2484" s="8" t="s">
        <v>401</v>
      </c>
      <c r="Q2484" s="12" t="s">
        <v>13044</v>
      </c>
      <c r="R2484" s="8" t="s">
        <v>100</v>
      </c>
      <c r="S2484" s="7" t="s">
        <v>35</v>
      </c>
      <c r="T2484" s="6"/>
      <c r="U2484" s="8"/>
    </row>
    <row r="2485" spans="1:21" ht="13" customHeight="1">
      <c r="A2485" s="8" t="s">
        <v>13045</v>
      </c>
      <c r="B2485" s="16">
        <v>58</v>
      </c>
      <c r="C2485" s="8" t="s">
        <v>20</v>
      </c>
      <c r="D2485" s="8" t="s">
        <v>30</v>
      </c>
      <c r="F2485" s="17">
        <v>41597</v>
      </c>
      <c r="G2485" s="8" t="s">
        <v>13046</v>
      </c>
      <c r="H2485" s="8" t="s">
        <v>13047</v>
      </c>
      <c r="I2485" s="8" t="s">
        <v>45</v>
      </c>
      <c r="J2485" s="16" t="s">
        <v>13048</v>
      </c>
      <c r="K2485" s="2" t="s">
        <v>2680</v>
      </c>
      <c r="L2485" s="8" t="s">
        <v>2681</v>
      </c>
      <c r="M2485" s="8" t="s">
        <v>27</v>
      </c>
      <c r="N2485" s="2" t="s">
        <v>13049</v>
      </c>
      <c r="O2485" s="8" t="s">
        <v>1013</v>
      </c>
      <c r="P2485" s="8" t="s">
        <v>401</v>
      </c>
      <c r="Q2485" s="12" t="s">
        <v>13050</v>
      </c>
      <c r="R2485" s="8" t="s">
        <v>967</v>
      </c>
      <c r="S2485" s="7" t="s">
        <v>28</v>
      </c>
      <c r="T2485" s="6"/>
      <c r="U2485" s="8"/>
    </row>
    <row r="2486" spans="1:21" ht="13" customHeight="1">
      <c r="A2486" s="8" t="s">
        <v>13051</v>
      </c>
      <c r="B2486" s="16">
        <v>19</v>
      </c>
      <c r="C2486" s="8" t="s">
        <v>20</v>
      </c>
      <c r="D2486" s="8" t="s">
        <v>37</v>
      </c>
      <c r="E2486" s="8" t="s">
        <v>13052</v>
      </c>
      <c r="F2486" s="17">
        <v>41597</v>
      </c>
      <c r="G2486" s="8" t="s">
        <v>13053</v>
      </c>
      <c r="H2486" s="8" t="s">
        <v>13054</v>
      </c>
      <c r="I2486" s="8" t="s">
        <v>244</v>
      </c>
      <c r="J2486" s="16" t="s">
        <v>13055</v>
      </c>
      <c r="K2486" s="2" t="s">
        <v>13056</v>
      </c>
      <c r="L2486" s="8" t="s">
        <v>13057</v>
      </c>
      <c r="M2486" s="8" t="s">
        <v>27</v>
      </c>
      <c r="N2486" s="2" t="s">
        <v>13058</v>
      </c>
      <c r="O2486" s="8" t="s">
        <v>550</v>
      </c>
      <c r="P2486" s="8" t="s">
        <v>401</v>
      </c>
      <c r="Q2486" s="12" t="s">
        <v>13059</v>
      </c>
      <c r="R2486" s="8" t="s">
        <v>29</v>
      </c>
      <c r="S2486" s="7" t="s">
        <v>28</v>
      </c>
      <c r="T2486" s="6"/>
      <c r="U2486" s="8"/>
    </row>
    <row r="2487" spans="1:21" ht="13" customHeight="1">
      <c r="A2487" s="8" t="s">
        <v>13060</v>
      </c>
      <c r="B2487" s="16">
        <v>44</v>
      </c>
      <c r="C2487" s="8" t="s">
        <v>20</v>
      </c>
      <c r="D2487" s="8" t="s">
        <v>37</v>
      </c>
      <c r="E2487" s="8" t="s">
        <v>13061</v>
      </c>
      <c r="F2487" s="17">
        <v>41597</v>
      </c>
      <c r="G2487" s="8" t="s">
        <v>13062</v>
      </c>
      <c r="H2487" s="8" t="s">
        <v>522</v>
      </c>
      <c r="I2487" s="8" t="s">
        <v>123</v>
      </c>
      <c r="J2487" s="16" t="s">
        <v>13063</v>
      </c>
      <c r="K2487" s="2" t="s">
        <v>179</v>
      </c>
      <c r="L2487" s="8" t="s">
        <v>13064</v>
      </c>
      <c r="M2487" s="8" t="s">
        <v>27</v>
      </c>
      <c r="N2487" s="2" t="s">
        <v>13065</v>
      </c>
      <c r="O2487" s="8" t="s">
        <v>550</v>
      </c>
      <c r="P2487" s="8" t="s">
        <v>401</v>
      </c>
      <c r="Q2487" s="12" t="s">
        <v>13066</v>
      </c>
      <c r="R2487" s="8" t="s">
        <v>555</v>
      </c>
      <c r="S2487" s="7" t="s">
        <v>28</v>
      </c>
      <c r="T2487" s="6"/>
      <c r="U2487" s="8"/>
    </row>
    <row r="2488" spans="1:21" ht="13" customHeight="1">
      <c r="A2488" s="8" t="s">
        <v>13067</v>
      </c>
      <c r="B2488" s="16">
        <v>47</v>
      </c>
      <c r="C2488" s="8" t="s">
        <v>20</v>
      </c>
      <c r="D2488" s="8" t="s">
        <v>37</v>
      </c>
      <c r="E2488" s="8" t="s">
        <v>13068</v>
      </c>
      <c r="F2488" s="17">
        <v>41597</v>
      </c>
      <c r="G2488" s="8" t="s">
        <v>13069</v>
      </c>
      <c r="H2488" s="8" t="s">
        <v>10877</v>
      </c>
      <c r="I2488" s="8" t="s">
        <v>45</v>
      </c>
      <c r="J2488" s="16" t="s">
        <v>10878</v>
      </c>
      <c r="K2488" s="2" t="s">
        <v>309</v>
      </c>
      <c r="L2488" s="8" t="s">
        <v>12151</v>
      </c>
      <c r="M2488" s="8" t="s">
        <v>27</v>
      </c>
      <c r="N2488" s="2" t="s">
        <v>13070</v>
      </c>
      <c r="O2488" s="8" t="s">
        <v>1013</v>
      </c>
      <c r="P2488" s="8" t="s">
        <v>401</v>
      </c>
      <c r="Q2488" s="12" t="s">
        <v>13071</v>
      </c>
      <c r="R2488" s="8" t="s">
        <v>100</v>
      </c>
      <c r="S2488" s="7" t="s">
        <v>28</v>
      </c>
      <c r="T2488" s="6"/>
      <c r="U2488" s="8"/>
    </row>
    <row r="2489" spans="1:21" ht="13" customHeight="1">
      <c r="A2489" s="8" t="s">
        <v>13077</v>
      </c>
      <c r="B2489" s="16">
        <v>22</v>
      </c>
      <c r="C2489" s="8" t="s">
        <v>20</v>
      </c>
      <c r="D2489" s="8" t="s">
        <v>85</v>
      </c>
      <c r="E2489" s="8" t="s">
        <v>13078</v>
      </c>
      <c r="F2489" s="17">
        <v>41596</v>
      </c>
      <c r="G2489" s="8" t="s">
        <v>13079</v>
      </c>
      <c r="H2489" s="8" t="s">
        <v>757</v>
      </c>
      <c r="I2489" s="8" t="s">
        <v>423</v>
      </c>
      <c r="J2489" s="16" t="s">
        <v>13080</v>
      </c>
      <c r="K2489" s="2" t="s">
        <v>1716</v>
      </c>
      <c r="L2489" s="8" t="s">
        <v>582</v>
      </c>
      <c r="M2489" s="8" t="s">
        <v>27</v>
      </c>
      <c r="N2489" s="2" t="s">
        <v>13081</v>
      </c>
      <c r="O2489" s="8" t="s">
        <v>29</v>
      </c>
      <c r="P2489" s="8" t="s">
        <v>401</v>
      </c>
      <c r="Q2489" s="12" t="s">
        <v>13082</v>
      </c>
      <c r="R2489" s="8" t="s">
        <v>555</v>
      </c>
      <c r="S2489" s="7" t="s">
        <v>28</v>
      </c>
      <c r="T2489" s="6"/>
      <c r="U2489" s="8"/>
    </row>
    <row r="2490" spans="1:21" ht="13" customHeight="1">
      <c r="A2490" s="8" t="s">
        <v>13072</v>
      </c>
      <c r="B2490" s="16">
        <v>27</v>
      </c>
      <c r="C2490" s="8" t="s">
        <v>20</v>
      </c>
      <c r="D2490" s="8" t="s">
        <v>85</v>
      </c>
      <c r="F2490" s="17">
        <v>41596</v>
      </c>
      <c r="G2490" s="8" t="s">
        <v>13073</v>
      </c>
      <c r="H2490" s="8" t="s">
        <v>8575</v>
      </c>
      <c r="I2490" s="8" t="s">
        <v>52</v>
      </c>
      <c r="J2490" s="16" t="s">
        <v>13074</v>
      </c>
      <c r="K2490" s="2" t="s">
        <v>1059</v>
      </c>
      <c r="L2490" s="8" t="s">
        <v>2367</v>
      </c>
      <c r="M2490" s="8" t="s">
        <v>27</v>
      </c>
      <c r="N2490" s="2" t="s">
        <v>13075</v>
      </c>
      <c r="O2490" s="8" t="s">
        <v>1013</v>
      </c>
      <c r="P2490" s="8" t="s">
        <v>401</v>
      </c>
      <c r="Q2490" s="12" t="s">
        <v>13076</v>
      </c>
      <c r="R2490" s="8" t="s">
        <v>100</v>
      </c>
      <c r="S2490" s="7" t="s">
        <v>28</v>
      </c>
      <c r="T2490" s="6"/>
      <c r="U2490" s="8"/>
    </row>
    <row r="2491" spans="1:21" ht="13" customHeight="1">
      <c r="A2491" s="8" t="s">
        <v>13083</v>
      </c>
      <c r="B2491" s="16">
        <v>16</v>
      </c>
      <c r="C2491" s="8" t="s">
        <v>20</v>
      </c>
      <c r="D2491" s="8" t="s">
        <v>48</v>
      </c>
      <c r="E2491" s="8" t="s">
        <v>13084</v>
      </c>
      <c r="F2491" s="17">
        <v>41596</v>
      </c>
      <c r="G2491" s="8" t="s">
        <v>13085</v>
      </c>
      <c r="H2491" s="8" t="s">
        <v>156</v>
      </c>
      <c r="I2491" s="8" t="s">
        <v>45</v>
      </c>
      <c r="J2491" s="16" t="s">
        <v>13086</v>
      </c>
      <c r="K2491" s="2" t="s">
        <v>156</v>
      </c>
      <c r="L2491" s="8" t="s">
        <v>4762</v>
      </c>
      <c r="M2491" s="8" t="s">
        <v>3386</v>
      </c>
      <c r="N2491" s="2" t="s">
        <v>13087</v>
      </c>
      <c r="O2491" s="8" t="s">
        <v>1013</v>
      </c>
      <c r="P2491" s="8" t="s">
        <v>401</v>
      </c>
      <c r="Q2491" s="12" t="s">
        <v>13088</v>
      </c>
      <c r="R2491" s="8" t="s">
        <v>967</v>
      </c>
      <c r="S2491" s="7" t="s">
        <v>18</v>
      </c>
      <c r="T2491" s="6"/>
      <c r="U2491" s="8"/>
    </row>
    <row r="2492" spans="1:21" ht="13" customHeight="1">
      <c r="A2492" s="8" t="s">
        <v>13096</v>
      </c>
      <c r="B2492" s="16">
        <v>38</v>
      </c>
      <c r="C2492" s="8" t="s">
        <v>20</v>
      </c>
      <c r="D2492" s="8" t="s">
        <v>37</v>
      </c>
      <c r="E2492" s="8" t="s">
        <v>13097</v>
      </c>
      <c r="F2492" s="17">
        <v>41596</v>
      </c>
      <c r="G2492" s="8" t="s">
        <v>13098</v>
      </c>
      <c r="H2492" s="8" t="s">
        <v>8276</v>
      </c>
      <c r="I2492" s="8" t="s">
        <v>423</v>
      </c>
      <c r="J2492" s="16" t="s">
        <v>13099</v>
      </c>
      <c r="K2492" s="2" t="s">
        <v>666</v>
      </c>
      <c r="L2492" s="8" t="s">
        <v>13100</v>
      </c>
      <c r="M2492" s="8" t="s">
        <v>27</v>
      </c>
      <c r="N2492" s="2" t="s">
        <v>13101</v>
      </c>
      <c r="O2492" s="8" t="s">
        <v>550</v>
      </c>
      <c r="P2492" s="8" t="s">
        <v>401</v>
      </c>
      <c r="Q2492" s="12" t="s">
        <v>13102</v>
      </c>
      <c r="R2492" s="8" t="s">
        <v>100</v>
      </c>
      <c r="S2492" s="7" t="s">
        <v>28</v>
      </c>
      <c r="T2492" s="6"/>
      <c r="U2492" s="8"/>
    </row>
    <row r="2493" spans="1:21" ht="13" customHeight="1">
      <c r="A2493" s="8" t="s">
        <v>13089</v>
      </c>
      <c r="B2493" s="16">
        <v>55</v>
      </c>
      <c r="C2493" s="8" t="s">
        <v>37</v>
      </c>
      <c r="D2493" s="8" t="s">
        <v>37</v>
      </c>
      <c r="E2493" s="8" t="s">
        <v>13090</v>
      </c>
      <c r="F2493" s="17">
        <v>41596</v>
      </c>
      <c r="G2493" s="8" t="s">
        <v>13091</v>
      </c>
      <c r="H2493" s="8" t="s">
        <v>13092</v>
      </c>
      <c r="I2493" s="8" t="s">
        <v>62</v>
      </c>
      <c r="J2493" s="16" t="s">
        <v>13093</v>
      </c>
      <c r="K2493" s="2" t="s">
        <v>5354</v>
      </c>
      <c r="L2493" s="8" t="s">
        <v>63</v>
      </c>
      <c r="M2493" s="8" t="s">
        <v>27</v>
      </c>
      <c r="N2493" s="2" t="s">
        <v>13094</v>
      </c>
      <c r="O2493" s="8" t="s">
        <v>1013</v>
      </c>
      <c r="P2493" s="8" t="s">
        <v>401</v>
      </c>
      <c r="Q2493" s="12" t="s">
        <v>13095</v>
      </c>
      <c r="R2493" s="8" t="s">
        <v>100</v>
      </c>
      <c r="S2493" s="7" t="s">
        <v>28</v>
      </c>
      <c r="T2493" s="6"/>
      <c r="U2493" s="8"/>
    </row>
    <row r="2494" spans="1:21" ht="13" customHeight="1">
      <c r="A2494" s="8" t="s">
        <v>13110</v>
      </c>
      <c r="B2494" s="16">
        <v>26</v>
      </c>
      <c r="C2494" s="8" t="s">
        <v>20</v>
      </c>
      <c r="D2494" s="8" t="s">
        <v>85</v>
      </c>
      <c r="E2494" s="8" t="s">
        <v>13111</v>
      </c>
      <c r="F2494" s="17">
        <v>41595</v>
      </c>
      <c r="G2494" s="8" t="s">
        <v>13112</v>
      </c>
      <c r="H2494" s="8" t="s">
        <v>13113</v>
      </c>
      <c r="I2494" s="8" t="s">
        <v>62</v>
      </c>
      <c r="J2494" s="16" t="s">
        <v>13114</v>
      </c>
      <c r="K2494" s="2" t="s">
        <v>1772</v>
      </c>
      <c r="L2494" s="8" t="s">
        <v>13115</v>
      </c>
      <c r="M2494" s="8" t="s">
        <v>27</v>
      </c>
      <c r="N2494" s="2" t="s">
        <v>13116</v>
      </c>
      <c r="O2494" s="8" t="s">
        <v>1013</v>
      </c>
      <c r="P2494" s="8" t="s">
        <v>401</v>
      </c>
      <c r="Q2494" s="12" t="s">
        <v>13117</v>
      </c>
      <c r="R2494" s="8" t="s">
        <v>100</v>
      </c>
      <c r="S2494" s="7" t="s">
        <v>28</v>
      </c>
      <c r="T2494" s="6"/>
      <c r="U2494" s="8"/>
    </row>
    <row r="2495" spans="1:21" ht="13" customHeight="1">
      <c r="A2495" s="8" t="s">
        <v>13103</v>
      </c>
      <c r="B2495" s="16">
        <v>31</v>
      </c>
      <c r="C2495" s="8" t="s">
        <v>20</v>
      </c>
      <c r="D2495" s="8" t="s">
        <v>85</v>
      </c>
      <c r="E2495" s="8" t="s">
        <v>13104</v>
      </c>
      <c r="F2495" s="17">
        <v>41595</v>
      </c>
      <c r="G2495" s="8" t="s">
        <v>13105</v>
      </c>
      <c r="H2495" s="8" t="s">
        <v>13106</v>
      </c>
      <c r="I2495" s="8" t="s">
        <v>69</v>
      </c>
      <c r="J2495" s="16" t="s">
        <v>13107</v>
      </c>
      <c r="K2495" s="2" t="s">
        <v>1291</v>
      </c>
      <c r="L2495" s="8" t="s">
        <v>12628</v>
      </c>
      <c r="M2495" s="8" t="s">
        <v>27</v>
      </c>
      <c r="N2495" s="2" t="s">
        <v>13108</v>
      </c>
      <c r="O2495" s="8" t="s">
        <v>550</v>
      </c>
      <c r="P2495" s="8" t="s">
        <v>401</v>
      </c>
      <c r="Q2495" s="12" t="s">
        <v>13109</v>
      </c>
      <c r="R2495" s="8" t="s">
        <v>555</v>
      </c>
      <c r="S2495" s="7" t="s">
        <v>28</v>
      </c>
      <c r="T2495" s="6"/>
      <c r="U2495" s="8"/>
    </row>
    <row r="2496" spans="1:21" ht="13" customHeight="1">
      <c r="A2496" s="8" t="s">
        <v>13118</v>
      </c>
      <c r="B2496" s="16">
        <v>78</v>
      </c>
      <c r="C2496" s="8" t="s">
        <v>20</v>
      </c>
      <c r="D2496" s="8" t="s">
        <v>37</v>
      </c>
      <c r="E2496" s="8" t="s">
        <v>13119</v>
      </c>
      <c r="F2496" s="17">
        <v>41595</v>
      </c>
      <c r="G2496" s="8" t="s">
        <v>13120</v>
      </c>
      <c r="H2496" s="8" t="s">
        <v>98</v>
      </c>
      <c r="I2496" s="8" t="s">
        <v>45</v>
      </c>
      <c r="J2496" s="16" t="s">
        <v>13121</v>
      </c>
      <c r="K2496" s="2" t="s">
        <v>98</v>
      </c>
      <c r="L2496" s="8" t="s">
        <v>99</v>
      </c>
      <c r="M2496" s="8" t="s">
        <v>27</v>
      </c>
      <c r="N2496" s="2" t="s">
        <v>13122</v>
      </c>
      <c r="O2496" s="8" t="s">
        <v>1013</v>
      </c>
      <c r="P2496" s="8" t="s">
        <v>401</v>
      </c>
      <c r="Q2496" s="12" t="s">
        <v>13123</v>
      </c>
      <c r="R2496" s="8" t="s">
        <v>29</v>
      </c>
      <c r="S2496" s="7" t="s">
        <v>28</v>
      </c>
      <c r="T2496" s="6"/>
      <c r="U2496" s="8"/>
    </row>
    <row r="2497" spans="1:21" ht="13" customHeight="1">
      <c r="A2497" s="8" t="s">
        <v>13124</v>
      </c>
      <c r="B2497" s="16">
        <v>22</v>
      </c>
      <c r="C2497" s="8" t="s">
        <v>20</v>
      </c>
      <c r="D2497" s="8" t="s">
        <v>37</v>
      </c>
      <c r="E2497" s="8" t="s">
        <v>13125</v>
      </c>
      <c r="F2497" s="17">
        <v>41594</v>
      </c>
      <c r="G2497" s="8" t="s">
        <v>13126</v>
      </c>
      <c r="H2497" s="8" t="s">
        <v>430</v>
      </c>
      <c r="I2497" s="8" t="s">
        <v>363</v>
      </c>
      <c r="J2497" s="16" t="s">
        <v>11583</v>
      </c>
      <c r="K2497" s="2" t="s">
        <v>600</v>
      </c>
      <c r="L2497" s="8" t="s">
        <v>2126</v>
      </c>
      <c r="M2497" s="8" t="s">
        <v>27</v>
      </c>
      <c r="N2497" s="2" t="s">
        <v>13127</v>
      </c>
      <c r="O2497" s="8" t="s">
        <v>1013</v>
      </c>
      <c r="P2497" s="8" t="s">
        <v>401</v>
      </c>
      <c r="Q2497" s="12" t="s">
        <v>13128</v>
      </c>
      <c r="R2497" s="8" t="s">
        <v>100</v>
      </c>
      <c r="S2497" s="7" t="s">
        <v>28</v>
      </c>
      <c r="T2497" s="6"/>
      <c r="U2497" s="8"/>
    </row>
    <row r="2498" spans="1:21" ht="13" customHeight="1">
      <c r="A2498" s="8" t="s">
        <v>13129</v>
      </c>
      <c r="B2498" s="16">
        <v>61</v>
      </c>
      <c r="C2498" s="8" t="s">
        <v>114</v>
      </c>
      <c r="D2498" s="8" t="s">
        <v>37</v>
      </c>
      <c r="E2498" s="8" t="s">
        <v>13130</v>
      </c>
      <c r="F2498" s="17">
        <v>41594</v>
      </c>
      <c r="G2498" s="8" t="s">
        <v>13131</v>
      </c>
      <c r="H2498" s="8" t="s">
        <v>608</v>
      </c>
      <c r="I2498" s="8" t="s">
        <v>45</v>
      </c>
      <c r="J2498" s="16" t="s">
        <v>13132</v>
      </c>
      <c r="K2498" s="2" t="s">
        <v>609</v>
      </c>
      <c r="L2498" s="8" t="s">
        <v>21387</v>
      </c>
      <c r="M2498" s="8" t="s">
        <v>27</v>
      </c>
      <c r="N2498" s="2" t="s">
        <v>13133</v>
      </c>
      <c r="O2498" s="8" t="s">
        <v>1013</v>
      </c>
      <c r="P2498" s="8" t="s">
        <v>401</v>
      </c>
      <c r="Q2498" s="12" t="s">
        <v>13134</v>
      </c>
      <c r="R2498" s="8" t="s">
        <v>29</v>
      </c>
      <c r="S2498" s="7" t="s">
        <v>28</v>
      </c>
      <c r="T2498" s="6"/>
      <c r="U2498" s="8"/>
    </row>
    <row r="2499" spans="1:21" ht="13" customHeight="1">
      <c r="A2499" s="8" t="s">
        <v>13135</v>
      </c>
      <c r="B2499" s="16">
        <v>42</v>
      </c>
      <c r="C2499" s="8" t="s">
        <v>20</v>
      </c>
      <c r="D2499" s="8" t="s">
        <v>85</v>
      </c>
      <c r="F2499" s="17">
        <v>41593</v>
      </c>
      <c r="G2499" s="8" t="s">
        <v>13136</v>
      </c>
      <c r="H2499" s="8" t="s">
        <v>2912</v>
      </c>
      <c r="I2499" s="8" t="s">
        <v>81</v>
      </c>
      <c r="J2499" s="16" t="s">
        <v>13137</v>
      </c>
      <c r="K2499" s="2" t="s">
        <v>2914</v>
      </c>
      <c r="L2499" s="8" t="s">
        <v>2915</v>
      </c>
      <c r="M2499" s="8" t="s">
        <v>27</v>
      </c>
      <c r="N2499" s="2" t="s">
        <v>13138</v>
      </c>
      <c r="O2499" s="8" t="s">
        <v>1013</v>
      </c>
      <c r="P2499" s="8" t="s">
        <v>401</v>
      </c>
      <c r="Q2499" s="12" t="s">
        <v>13139</v>
      </c>
      <c r="R2499" s="8" t="s">
        <v>29</v>
      </c>
      <c r="S2499" s="7" t="s">
        <v>28</v>
      </c>
      <c r="T2499" s="6"/>
      <c r="U2499" s="8"/>
    </row>
    <row r="2500" spans="1:21" ht="13" customHeight="1">
      <c r="A2500" s="8" t="s">
        <v>13140</v>
      </c>
      <c r="B2500" s="16">
        <v>21</v>
      </c>
      <c r="C2500" s="8" t="s">
        <v>20</v>
      </c>
      <c r="D2500" s="8" t="s">
        <v>48</v>
      </c>
      <c r="F2500" s="17">
        <v>41593</v>
      </c>
      <c r="G2500" s="8" t="s">
        <v>13141</v>
      </c>
      <c r="H2500" s="8" t="s">
        <v>13142</v>
      </c>
      <c r="I2500" s="8" t="s">
        <v>45</v>
      </c>
      <c r="J2500" s="16" t="s">
        <v>13143</v>
      </c>
      <c r="K2500" s="2" t="s">
        <v>98</v>
      </c>
      <c r="L2500" s="8" t="s">
        <v>5014</v>
      </c>
      <c r="M2500" s="8" t="s">
        <v>27</v>
      </c>
      <c r="N2500" s="2" t="s">
        <v>13144</v>
      </c>
      <c r="O2500" s="8" t="s">
        <v>1013</v>
      </c>
      <c r="P2500" s="8" t="s">
        <v>401</v>
      </c>
      <c r="Q2500" s="12" t="s">
        <v>13145</v>
      </c>
      <c r="R2500" s="8" t="s">
        <v>967</v>
      </c>
      <c r="S2500" s="7" t="s">
        <v>28</v>
      </c>
      <c r="T2500" s="6"/>
      <c r="U2500" s="8"/>
    </row>
    <row r="2501" spans="1:21" ht="13" customHeight="1">
      <c r="A2501" s="8" t="s">
        <v>13146</v>
      </c>
      <c r="B2501" s="16">
        <v>30</v>
      </c>
      <c r="C2501" s="8" t="s">
        <v>20</v>
      </c>
      <c r="D2501" s="8" t="s">
        <v>37</v>
      </c>
      <c r="E2501" s="8" t="s">
        <v>13147</v>
      </c>
      <c r="F2501" s="17">
        <v>41593</v>
      </c>
      <c r="G2501" s="8" t="s">
        <v>13148</v>
      </c>
      <c r="H2501" s="8" t="s">
        <v>13149</v>
      </c>
      <c r="I2501" s="8" t="s">
        <v>133</v>
      </c>
      <c r="J2501" s="16" t="s">
        <v>13150</v>
      </c>
      <c r="K2501" s="2" t="s">
        <v>1075</v>
      </c>
      <c r="L2501" s="8" t="s">
        <v>13151</v>
      </c>
      <c r="M2501" s="8" t="s">
        <v>27</v>
      </c>
      <c r="N2501" s="2" t="s">
        <v>13152</v>
      </c>
      <c r="O2501" s="8" t="s">
        <v>550</v>
      </c>
      <c r="P2501" s="8" t="s">
        <v>401</v>
      </c>
      <c r="Q2501" s="12" t="str">
        <f>HYPERLINK("http://www.startribune.com/local/west/232358621.html","http://www.startribune.com/local/west/232358621.html")</f>
        <v>http://www.startribune.com/local/west/232358621.html</v>
      </c>
      <c r="R2501" s="8" t="s">
        <v>100</v>
      </c>
      <c r="S2501" s="7" t="s">
        <v>28</v>
      </c>
      <c r="T2501" s="6"/>
      <c r="U2501" s="8"/>
    </row>
    <row r="2502" spans="1:21" ht="13" customHeight="1">
      <c r="A2502" s="8" t="s">
        <v>13153</v>
      </c>
      <c r="B2502" s="16">
        <v>30</v>
      </c>
      <c r="C2502" s="8" t="s">
        <v>20</v>
      </c>
      <c r="D2502" s="8" t="s">
        <v>48</v>
      </c>
      <c r="F2502" s="17">
        <v>41592</v>
      </c>
      <c r="G2502" s="8" t="s">
        <v>13154</v>
      </c>
      <c r="H2502" s="8" t="s">
        <v>4739</v>
      </c>
      <c r="I2502" s="8" t="s">
        <v>73</v>
      </c>
      <c r="K2502" s="2" t="s">
        <v>4741</v>
      </c>
      <c r="L2502" s="8" t="s">
        <v>4742</v>
      </c>
      <c r="M2502" s="8" t="s">
        <v>29</v>
      </c>
      <c r="P2502" s="8" t="s">
        <v>401</v>
      </c>
      <c r="Q2502" s="12" t="s">
        <v>13155</v>
      </c>
      <c r="S2502" s="7" t="s">
        <v>28</v>
      </c>
      <c r="T2502" s="6"/>
      <c r="U2502" s="8"/>
    </row>
    <row r="2503" spans="1:21" ht="13" customHeight="1">
      <c r="A2503" s="8" t="s">
        <v>13156</v>
      </c>
      <c r="B2503" s="16">
        <v>49</v>
      </c>
      <c r="C2503" s="8" t="s">
        <v>20</v>
      </c>
      <c r="D2503" s="8" t="s">
        <v>30</v>
      </c>
      <c r="F2503" s="17">
        <v>41592</v>
      </c>
      <c r="G2503" s="8" t="s">
        <v>13157</v>
      </c>
      <c r="H2503" s="8" t="s">
        <v>13158</v>
      </c>
      <c r="I2503" s="8" t="s">
        <v>981</v>
      </c>
      <c r="J2503" s="16" t="s">
        <v>13159</v>
      </c>
      <c r="K2503" s="2" t="s">
        <v>5123</v>
      </c>
      <c r="L2503" s="8" t="s">
        <v>9804</v>
      </c>
      <c r="M2503" s="8" t="s">
        <v>27</v>
      </c>
      <c r="N2503" s="2" t="s">
        <v>13160</v>
      </c>
      <c r="O2503" s="8" t="s">
        <v>1013</v>
      </c>
      <c r="P2503" s="8" t="s">
        <v>401</v>
      </c>
      <c r="Q2503" s="12" t="s">
        <v>13161</v>
      </c>
      <c r="R2503" s="8" t="s">
        <v>555</v>
      </c>
      <c r="S2503" s="7" t="s">
        <v>28</v>
      </c>
      <c r="T2503" s="6"/>
      <c r="U2503" s="8"/>
    </row>
    <row r="2504" spans="1:21" ht="13" customHeight="1">
      <c r="A2504" s="8" t="s">
        <v>13162</v>
      </c>
      <c r="B2504" s="16">
        <v>53</v>
      </c>
      <c r="C2504" s="8" t="s">
        <v>20</v>
      </c>
      <c r="D2504" s="8" t="s">
        <v>30</v>
      </c>
      <c r="F2504" s="17">
        <v>41592</v>
      </c>
      <c r="G2504" s="8" t="s">
        <v>13163</v>
      </c>
      <c r="H2504" s="8" t="s">
        <v>575</v>
      </c>
      <c r="I2504" s="8" t="s">
        <v>73</v>
      </c>
      <c r="J2504" s="16" t="s">
        <v>13164</v>
      </c>
      <c r="K2504" s="2" t="s">
        <v>576</v>
      </c>
      <c r="L2504" s="8" t="s">
        <v>577</v>
      </c>
      <c r="M2504" s="8" t="s">
        <v>27</v>
      </c>
      <c r="N2504" s="2" t="s">
        <v>13165</v>
      </c>
      <c r="O2504" s="8" t="s">
        <v>1013</v>
      </c>
      <c r="P2504" s="8" t="s">
        <v>401</v>
      </c>
      <c r="Q2504" s="12" t="s">
        <v>13166</v>
      </c>
      <c r="R2504" s="8" t="s">
        <v>100</v>
      </c>
      <c r="S2504" s="7" t="s">
        <v>28</v>
      </c>
      <c r="T2504" s="6"/>
      <c r="U2504" s="8"/>
    </row>
    <row r="2505" spans="1:21" ht="13" customHeight="1">
      <c r="A2505" s="8" t="s">
        <v>13167</v>
      </c>
      <c r="B2505" s="16">
        <v>27</v>
      </c>
      <c r="C2505" s="8" t="s">
        <v>20</v>
      </c>
      <c r="D2505" s="8" t="s">
        <v>85</v>
      </c>
      <c r="F2505" s="17">
        <v>41591</v>
      </c>
      <c r="G2505" s="8" t="s">
        <v>13168</v>
      </c>
      <c r="H2505" s="8" t="s">
        <v>1290</v>
      </c>
      <c r="I2505" s="8" t="s">
        <v>173</v>
      </c>
      <c r="J2505" s="16" t="s">
        <v>13169</v>
      </c>
      <c r="K2505" s="2" t="s">
        <v>10842</v>
      </c>
      <c r="L2505" s="8" t="s">
        <v>13170</v>
      </c>
      <c r="M2505" s="8" t="s">
        <v>27</v>
      </c>
      <c r="N2505" s="2" t="s">
        <v>13171</v>
      </c>
      <c r="O2505" s="8" t="s">
        <v>1013</v>
      </c>
      <c r="P2505" s="8" t="s">
        <v>401</v>
      </c>
      <c r="Q2505" s="12" t="s">
        <v>13172</v>
      </c>
      <c r="R2505" s="8" t="s">
        <v>100</v>
      </c>
      <c r="S2505" s="7" t="s">
        <v>18</v>
      </c>
      <c r="T2505" s="6"/>
      <c r="U2505" s="8"/>
    </row>
    <row r="2506" spans="1:21" ht="13" customHeight="1">
      <c r="A2506" s="8" t="s">
        <v>13173</v>
      </c>
      <c r="B2506" s="16">
        <v>17</v>
      </c>
      <c r="C2506" s="8" t="s">
        <v>20</v>
      </c>
      <c r="D2506" s="8" t="s">
        <v>48</v>
      </c>
      <c r="E2506" s="8" t="s">
        <v>13174</v>
      </c>
      <c r="F2506" s="17">
        <v>41591</v>
      </c>
      <c r="G2506" s="8" t="s">
        <v>13175</v>
      </c>
      <c r="H2506" s="8" t="s">
        <v>726</v>
      </c>
      <c r="I2506" s="8" t="s">
        <v>73</v>
      </c>
      <c r="J2506" s="16" t="s">
        <v>13176</v>
      </c>
      <c r="K2506" s="2" t="s">
        <v>558</v>
      </c>
      <c r="L2506" s="8" t="s">
        <v>13177</v>
      </c>
      <c r="M2506" s="8" t="s">
        <v>27</v>
      </c>
      <c r="N2506" s="2" t="s">
        <v>13178</v>
      </c>
      <c r="O2506" s="8" t="s">
        <v>550</v>
      </c>
      <c r="P2506" s="8" t="s">
        <v>401</v>
      </c>
      <c r="Q2506" s="12" t="s">
        <v>13179</v>
      </c>
      <c r="R2506" s="8" t="s">
        <v>100</v>
      </c>
      <c r="S2506" s="7" t="s">
        <v>379</v>
      </c>
      <c r="T2506" s="6"/>
      <c r="U2506" s="8"/>
    </row>
    <row r="2507" spans="1:21" ht="13" customHeight="1">
      <c r="A2507" s="8" t="s">
        <v>3267</v>
      </c>
      <c r="C2507" s="8" t="s">
        <v>20</v>
      </c>
      <c r="D2507" s="8" t="s">
        <v>30</v>
      </c>
      <c r="F2507" s="17">
        <v>41591</v>
      </c>
      <c r="G2507" s="8" t="s">
        <v>13180</v>
      </c>
      <c r="H2507" s="8" t="s">
        <v>3147</v>
      </c>
      <c r="I2507" s="8" t="s">
        <v>45</v>
      </c>
      <c r="J2507" s="16" t="s">
        <v>13181</v>
      </c>
      <c r="K2507" s="2" t="s">
        <v>98</v>
      </c>
      <c r="L2507" s="8" t="s">
        <v>3148</v>
      </c>
      <c r="M2507" s="8" t="s">
        <v>27</v>
      </c>
      <c r="N2507" s="2" t="s">
        <v>13182</v>
      </c>
      <c r="O2507" s="8" t="s">
        <v>1013</v>
      </c>
      <c r="P2507" s="8" t="s">
        <v>401</v>
      </c>
      <c r="Q2507" s="12" t="s">
        <v>13183</v>
      </c>
      <c r="R2507" s="8" t="s">
        <v>100</v>
      </c>
      <c r="S2507" s="7" t="s">
        <v>28</v>
      </c>
      <c r="T2507" s="6"/>
      <c r="U2507" s="8"/>
    </row>
    <row r="2508" spans="1:21" ht="13" customHeight="1">
      <c r="A2508" s="8" t="s">
        <v>13192</v>
      </c>
      <c r="B2508" s="16">
        <v>17</v>
      </c>
      <c r="C2508" s="8" t="s">
        <v>20</v>
      </c>
      <c r="D2508" s="8" t="s">
        <v>85</v>
      </c>
      <c r="E2508" s="8" t="s">
        <v>13193</v>
      </c>
      <c r="F2508" s="17">
        <v>41589</v>
      </c>
      <c r="G2508" s="8" t="s">
        <v>13194</v>
      </c>
      <c r="H2508" s="8" t="s">
        <v>890</v>
      </c>
      <c r="I2508" s="8" t="s">
        <v>438</v>
      </c>
      <c r="J2508" s="16" t="s">
        <v>13195</v>
      </c>
      <c r="K2508" s="2" t="s">
        <v>890</v>
      </c>
      <c r="L2508" s="8" t="s">
        <v>3889</v>
      </c>
      <c r="M2508" s="8" t="s">
        <v>27</v>
      </c>
      <c r="N2508" s="2" t="s">
        <v>13196</v>
      </c>
      <c r="O2508" s="8" t="s">
        <v>1013</v>
      </c>
      <c r="P2508" s="8" t="s">
        <v>401</v>
      </c>
      <c r="Q2508" s="12" t="str">
        <f>HYPERLINK("http://www.jsonline.com/news/crime/shots-fired-in-downtown-milwaukee-b99139596z1-231430101.html","http://www.jsonline.com/news/crime/shots-fired-in-downtown-milwaukee-b99139596z1-231430101.html")</f>
        <v>http://www.jsonline.com/news/crime/shots-fired-in-downtown-milwaukee-b99139596z1-231430101.html</v>
      </c>
      <c r="R2508" s="8" t="s">
        <v>100</v>
      </c>
      <c r="S2508" s="7" t="s">
        <v>28</v>
      </c>
      <c r="T2508" s="6"/>
      <c r="U2508" s="8"/>
    </row>
    <row r="2509" spans="1:21" ht="13" customHeight="1">
      <c r="A2509" s="8" t="s">
        <v>13184</v>
      </c>
      <c r="B2509" s="16">
        <v>30</v>
      </c>
      <c r="C2509" s="8" t="s">
        <v>20</v>
      </c>
      <c r="D2509" s="8" t="s">
        <v>85</v>
      </c>
      <c r="E2509" s="8" t="s">
        <v>13185</v>
      </c>
      <c r="F2509" s="17">
        <v>41589</v>
      </c>
      <c r="G2509" s="8" t="s">
        <v>13186</v>
      </c>
      <c r="H2509" s="8" t="s">
        <v>13187</v>
      </c>
      <c r="I2509" s="8" t="s">
        <v>81</v>
      </c>
      <c r="J2509" s="16" t="s">
        <v>13188</v>
      </c>
      <c r="K2509" s="2" t="s">
        <v>528</v>
      </c>
      <c r="L2509" s="8" t="s">
        <v>13189</v>
      </c>
      <c r="M2509" s="8" t="s">
        <v>27</v>
      </c>
      <c r="N2509" s="2" t="s">
        <v>13190</v>
      </c>
      <c r="O2509" s="8" t="s">
        <v>400</v>
      </c>
      <c r="P2509" s="8" t="s">
        <v>401</v>
      </c>
      <c r="Q2509" s="12" t="s">
        <v>13191</v>
      </c>
      <c r="R2509" s="8" t="s">
        <v>100</v>
      </c>
      <c r="S2509" s="7" t="s">
        <v>18</v>
      </c>
      <c r="T2509" s="6"/>
      <c r="U2509" s="8"/>
    </row>
    <row r="2510" spans="1:21" ht="13" customHeight="1">
      <c r="A2510" s="8" t="s">
        <v>13197</v>
      </c>
      <c r="B2510" s="16">
        <v>59</v>
      </c>
      <c r="C2510" s="8" t="s">
        <v>20</v>
      </c>
      <c r="D2510" s="8" t="s">
        <v>30</v>
      </c>
      <c r="F2510" s="17">
        <v>41589</v>
      </c>
      <c r="G2510" s="8" t="s">
        <v>13198</v>
      </c>
      <c r="H2510" s="8" t="s">
        <v>1290</v>
      </c>
      <c r="I2510" s="8" t="s">
        <v>69</v>
      </c>
      <c r="J2510" s="16" t="s">
        <v>13199</v>
      </c>
      <c r="K2510" s="2" t="s">
        <v>909</v>
      </c>
      <c r="L2510" s="8" t="s">
        <v>13200</v>
      </c>
      <c r="M2510" s="8" t="s">
        <v>27</v>
      </c>
      <c r="N2510" s="2" t="s">
        <v>13201</v>
      </c>
      <c r="O2510" s="8" t="s">
        <v>1013</v>
      </c>
      <c r="P2510" s="8" t="s">
        <v>401</v>
      </c>
      <c r="Q2510" s="12" t="s">
        <v>13202</v>
      </c>
      <c r="R2510" s="8" t="s">
        <v>100</v>
      </c>
      <c r="S2510" s="7" t="s">
        <v>28</v>
      </c>
      <c r="T2510" s="6"/>
      <c r="U2510" s="8"/>
    </row>
    <row r="2511" spans="1:21" ht="13" customHeight="1">
      <c r="A2511" s="8" t="s">
        <v>13204</v>
      </c>
      <c r="B2511" s="16">
        <v>56</v>
      </c>
      <c r="C2511" s="8" t="s">
        <v>20</v>
      </c>
      <c r="D2511" s="8" t="s">
        <v>37</v>
      </c>
      <c r="E2511" s="8" t="s">
        <v>13205</v>
      </c>
      <c r="F2511" s="17">
        <v>41589</v>
      </c>
      <c r="G2511" s="8" t="s">
        <v>13206</v>
      </c>
      <c r="H2511" s="8" t="s">
        <v>13207</v>
      </c>
      <c r="I2511" s="8" t="s">
        <v>45</v>
      </c>
      <c r="J2511" s="16" t="s">
        <v>13208</v>
      </c>
      <c r="K2511" s="2" t="s">
        <v>309</v>
      </c>
      <c r="L2511" s="8" t="s">
        <v>310</v>
      </c>
      <c r="M2511" s="8" t="s">
        <v>27</v>
      </c>
      <c r="N2511" s="2" t="s">
        <v>13209</v>
      </c>
      <c r="O2511" s="8" t="s">
        <v>550</v>
      </c>
      <c r="P2511" s="8" t="s">
        <v>401</v>
      </c>
      <c r="Q2511" s="12" t="s">
        <v>13210</v>
      </c>
      <c r="R2511" s="8" t="s">
        <v>29</v>
      </c>
      <c r="S2511" s="7" t="s">
        <v>18</v>
      </c>
      <c r="T2511" s="6"/>
      <c r="U2511" s="8"/>
    </row>
    <row r="2512" spans="1:21" ht="13" customHeight="1">
      <c r="A2512" s="8" t="s">
        <v>13211</v>
      </c>
      <c r="B2512" s="16">
        <v>39</v>
      </c>
      <c r="C2512" s="8" t="s">
        <v>20</v>
      </c>
      <c r="D2512" s="8" t="s">
        <v>85</v>
      </c>
      <c r="E2512" s="8" t="s">
        <v>13212</v>
      </c>
      <c r="F2512" s="17">
        <v>41588</v>
      </c>
      <c r="G2512" s="8" t="s">
        <v>13213</v>
      </c>
      <c r="H2512" s="8" t="s">
        <v>489</v>
      </c>
      <c r="I2512" s="8" t="s">
        <v>45</v>
      </c>
      <c r="J2512" s="16" t="s">
        <v>9651</v>
      </c>
      <c r="K2512" s="2" t="s">
        <v>98</v>
      </c>
      <c r="L2512" s="8" t="s">
        <v>490</v>
      </c>
      <c r="M2512" s="8" t="s">
        <v>27</v>
      </c>
      <c r="N2512" s="2" t="s">
        <v>13214</v>
      </c>
      <c r="O2512" s="8" t="s">
        <v>29</v>
      </c>
      <c r="P2512" s="8" t="s">
        <v>401</v>
      </c>
      <c r="Q2512" s="12" t="s">
        <v>13215</v>
      </c>
      <c r="R2512" s="8" t="s">
        <v>100</v>
      </c>
      <c r="S2512" s="7" t="s">
        <v>28</v>
      </c>
      <c r="T2512" s="6"/>
      <c r="U2512" s="8"/>
    </row>
    <row r="2513" spans="1:39" ht="13" customHeight="1">
      <c r="A2513" s="8" t="s">
        <v>13216</v>
      </c>
      <c r="B2513" s="16">
        <v>31</v>
      </c>
      <c r="C2513" s="8" t="s">
        <v>20</v>
      </c>
      <c r="D2513" s="8" t="s">
        <v>37</v>
      </c>
      <c r="E2513" s="8" t="s">
        <v>13217</v>
      </c>
      <c r="F2513" s="17">
        <v>41588</v>
      </c>
      <c r="G2513" s="8" t="s">
        <v>13218</v>
      </c>
      <c r="H2513" s="8" t="s">
        <v>7124</v>
      </c>
      <c r="I2513" s="8" t="s">
        <v>217</v>
      </c>
      <c r="J2513" s="16" t="s">
        <v>7125</v>
      </c>
      <c r="K2513" s="2" t="s">
        <v>7124</v>
      </c>
      <c r="L2513" s="8" t="s">
        <v>7126</v>
      </c>
      <c r="M2513" s="8" t="s">
        <v>27</v>
      </c>
      <c r="N2513" s="2" t="s">
        <v>13219</v>
      </c>
      <c r="O2513" s="8" t="s">
        <v>550</v>
      </c>
      <c r="P2513" s="8" t="s">
        <v>401</v>
      </c>
      <c r="Q2513" s="12" t="s">
        <v>13220</v>
      </c>
      <c r="R2513" s="8" t="s">
        <v>967</v>
      </c>
      <c r="S2513" s="7" t="s">
        <v>379</v>
      </c>
      <c r="T2513" s="6"/>
      <c r="U2513" s="8"/>
    </row>
    <row r="2514" spans="1:39" ht="13" customHeight="1">
      <c r="A2514" s="8" t="s">
        <v>13221</v>
      </c>
      <c r="B2514" s="16">
        <v>24</v>
      </c>
      <c r="C2514" s="8" t="s">
        <v>20</v>
      </c>
      <c r="D2514" s="8" t="s">
        <v>85</v>
      </c>
      <c r="E2514" s="8" t="s">
        <v>13222</v>
      </c>
      <c r="F2514" s="17">
        <v>41586</v>
      </c>
      <c r="G2514" s="8" t="s">
        <v>13223</v>
      </c>
      <c r="H2514" s="8" t="s">
        <v>3457</v>
      </c>
      <c r="I2514" s="8" t="s">
        <v>25</v>
      </c>
      <c r="J2514" s="16" t="s">
        <v>13224</v>
      </c>
      <c r="K2514" s="2" t="s">
        <v>1781</v>
      </c>
      <c r="L2514" s="8" t="s">
        <v>12005</v>
      </c>
      <c r="M2514" s="8" t="s">
        <v>27</v>
      </c>
      <c r="N2514" s="2" t="s">
        <v>13225</v>
      </c>
      <c r="O2514" s="8" t="s">
        <v>1013</v>
      </c>
      <c r="P2514" s="8" t="s">
        <v>401</v>
      </c>
      <c r="Q2514" s="12" t="s">
        <v>13226</v>
      </c>
      <c r="R2514" s="8" t="s">
        <v>100</v>
      </c>
      <c r="S2514" s="7" t="s">
        <v>379</v>
      </c>
      <c r="T2514" s="6"/>
      <c r="U2514" s="8"/>
    </row>
    <row r="2515" spans="1:39" ht="13" customHeight="1">
      <c r="A2515" s="8" t="s">
        <v>13227</v>
      </c>
      <c r="B2515" s="16">
        <v>39</v>
      </c>
      <c r="C2515" s="8" t="s">
        <v>114</v>
      </c>
      <c r="D2515" s="8" t="s">
        <v>48</v>
      </c>
      <c r="E2515" s="8" t="s">
        <v>13228</v>
      </c>
      <c r="F2515" s="17">
        <v>41585</v>
      </c>
      <c r="G2515" s="8" t="s">
        <v>13229</v>
      </c>
      <c r="H2515" s="8" t="s">
        <v>630</v>
      </c>
      <c r="I2515" s="8" t="s">
        <v>195</v>
      </c>
      <c r="J2515" s="16" t="s">
        <v>13230</v>
      </c>
      <c r="K2515" s="2" t="s">
        <v>630</v>
      </c>
      <c r="L2515" s="8" t="s">
        <v>3098</v>
      </c>
      <c r="M2515" s="8" t="s">
        <v>27</v>
      </c>
      <c r="N2515" s="2" t="s">
        <v>13231</v>
      </c>
      <c r="O2515" s="8" t="s">
        <v>550</v>
      </c>
      <c r="P2515" s="8" t="s">
        <v>401</v>
      </c>
      <c r="Q2515" s="12" t="s">
        <v>13232</v>
      </c>
      <c r="R2515" s="8" t="s">
        <v>100</v>
      </c>
      <c r="S2515" s="7" t="s">
        <v>379</v>
      </c>
      <c r="T2515" s="6"/>
      <c r="U2515" s="8"/>
    </row>
    <row r="2516" spans="1:39" ht="13" customHeight="1">
      <c r="A2516" s="8" t="s">
        <v>13233</v>
      </c>
      <c r="B2516" s="16">
        <v>22</v>
      </c>
      <c r="C2516" s="8" t="s">
        <v>20</v>
      </c>
      <c r="D2516" s="8" t="s">
        <v>48</v>
      </c>
      <c r="E2516" s="8" t="s">
        <v>13234</v>
      </c>
      <c r="F2516" s="17">
        <v>41584</v>
      </c>
      <c r="G2516" s="8" t="s">
        <v>13235</v>
      </c>
      <c r="H2516" s="8" t="s">
        <v>526</v>
      </c>
      <c r="I2516" s="8" t="s">
        <v>81</v>
      </c>
      <c r="J2516" s="16" t="s">
        <v>13236</v>
      </c>
      <c r="K2516" s="2" t="s">
        <v>528</v>
      </c>
      <c r="L2516" s="8" t="s">
        <v>13237</v>
      </c>
      <c r="M2516" s="8" t="s">
        <v>27</v>
      </c>
      <c r="N2516" s="2" t="s">
        <v>13238</v>
      </c>
      <c r="O2516" s="8" t="s">
        <v>1013</v>
      </c>
      <c r="P2516" s="8" t="s">
        <v>401</v>
      </c>
      <c r="Q2516" s="12" t="s">
        <v>13239</v>
      </c>
      <c r="R2516" s="8" t="s">
        <v>100</v>
      </c>
      <c r="S2516" s="7" t="s">
        <v>35</v>
      </c>
      <c r="T2516" s="6"/>
      <c r="U2516" s="8"/>
    </row>
    <row r="2517" spans="1:39" ht="13" customHeight="1">
      <c r="A2517" s="8" t="s">
        <v>13240</v>
      </c>
      <c r="B2517" s="16">
        <v>49</v>
      </c>
      <c r="C2517" s="8" t="s">
        <v>20</v>
      </c>
      <c r="D2517" s="8" t="s">
        <v>37</v>
      </c>
      <c r="E2517" s="8" t="s">
        <v>13241</v>
      </c>
      <c r="F2517" s="17">
        <v>41584</v>
      </c>
      <c r="G2517" s="8" t="s">
        <v>13242</v>
      </c>
      <c r="H2517" s="8" t="s">
        <v>5130</v>
      </c>
      <c r="I2517" s="8" t="s">
        <v>10747</v>
      </c>
      <c r="J2517" s="16" t="s">
        <v>13243</v>
      </c>
      <c r="K2517" s="2" t="s">
        <v>13244</v>
      </c>
      <c r="L2517" s="8" t="s">
        <v>5132</v>
      </c>
      <c r="M2517" s="8" t="s">
        <v>27</v>
      </c>
      <c r="N2517" s="2" t="s">
        <v>13245</v>
      </c>
      <c r="O2517" s="8" t="s">
        <v>550</v>
      </c>
      <c r="P2517" s="8" t="s">
        <v>401</v>
      </c>
      <c r="Q2517" s="12" t="s">
        <v>13246</v>
      </c>
      <c r="R2517" s="8" t="s">
        <v>555</v>
      </c>
      <c r="S2517" s="7" t="s">
        <v>28</v>
      </c>
      <c r="T2517" s="6"/>
      <c r="U2517" s="8"/>
    </row>
    <row r="2518" spans="1:39" ht="13" customHeight="1">
      <c r="A2518" s="8" t="s">
        <v>13247</v>
      </c>
      <c r="B2518" s="16">
        <v>27</v>
      </c>
      <c r="C2518" s="8" t="s">
        <v>20</v>
      </c>
      <c r="D2518" s="8" t="s">
        <v>21</v>
      </c>
      <c r="E2518" s="8" t="s">
        <v>13248</v>
      </c>
      <c r="F2518" s="17">
        <v>41583</v>
      </c>
      <c r="G2518" s="8" t="s">
        <v>13249</v>
      </c>
      <c r="H2518" s="8" t="s">
        <v>200</v>
      </c>
      <c r="I2518" s="8" t="s">
        <v>45</v>
      </c>
      <c r="J2518" s="16" t="s">
        <v>13250</v>
      </c>
      <c r="K2518" s="2" t="s">
        <v>200</v>
      </c>
      <c r="L2518" s="8" t="s">
        <v>13251</v>
      </c>
      <c r="M2518" s="8" t="s">
        <v>27</v>
      </c>
      <c r="N2518" s="2" t="s">
        <v>13252</v>
      </c>
      <c r="O2518" s="8" t="s">
        <v>1013</v>
      </c>
      <c r="P2518" s="8" t="s">
        <v>401</v>
      </c>
      <c r="Q2518" s="12" t="s">
        <v>13253</v>
      </c>
      <c r="R2518" s="8" t="s">
        <v>100</v>
      </c>
      <c r="S2518" s="7" t="s">
        <v>28</v>
      </c>
      <c r="T2518" s="6"/>
      <c r="U2518" s="8"/>
      <c r="AI2518" s="8"/>
      <c r="AJ2518" s="8"/>
      <c r="AK2518" s="8"/>
      <c r="AL2518" s="8"/>
      <c r="AM2518" s="8"/>
    </row>
    <row r="2519" spans="1:39" ht="13" customHeight="1">
      <c r="A2519" s="8" t="s">
        <v>13254</v>
      </c>
      <c r="B2519" s="16">
        <v>24</v>
      </c>
      <c r="C2519" s="8" t="s">
        <v>20</v>
      </c>
      <c r="D2519" s="8" t="s">
        <v>85</v>
      </c>
      <c r="E2519" s="8" t="s">
        <v>13255</v>
      </c>
      <c r="F2519" s="17">
        <v>41583</v>
      </c>
      <c r="G2519" s="8" t="s">
        <v>13256</v>
      </c>
      <c r="H2519" s="8" t="s">
        <v>4915</v>
      </c>
      <c r="I2519" s="8" t="s">
        <v>45</v>
      </c>
      <c r="J2519" s="16" t="s">
        <v>4916</v>
      </c>
      <c r="K2519" s="2" t="s">
        <v>3442</v>
      </c>
      <c r="L2519" s="8" t="s">
        <v>13257</v>
      </c>
      <c r="M2519" s="8" t="s">
        <v>27</v>
      </c>
      <c r="N2519" s="2" t="s">
        <v>13258</v>
      </c>
      <c r="O2519" s="8" t="s">
        <v>29</v>
      </c>
      <c r="P2519" s="8" t="s">
        <v>401</v>
      </c>
      <c r="Q2519" s="12" t="s">
        <v>13259</v>
      </c>
      <c r="R2519" s="8" t="s">
        <v>100</v>
      </c>
      <c r="S2519" s="7" t="s">
        <v>28</v>
      </c>
      <c r="T2519" s="6"/>
      <c r="U2519" s="8"/>
    </row>
    <row r="2520" spans="1:39" ht="13" customHeight="1">
      <c r="A2520" s="8" t="s">
        <v>13267</v>
      </c>
      <c r="B2520" s="16">
        <v>23</v>
      </c>
      <c r="C2520" s="8" t="s">
        <v>20</v>
      </c>
      <c r="D2520" s="8" t="s">
        <v>85</v>
      </c>
      <c r="E2520" s="8" t="s">
        <v>13268</v>
      </c>
      <c r="F2520" s="17">
        <v>41582</v>
      </c>
      <c r="G2520" s="8" t="s">
        <v>13269</v>
      </c>
      <c r="H2520" s="8" t="s">
        <v>4274</v>
      </c>
      <c r="I2520" s="8" t="s">
        <v>62</v>
      </c>
      <c r="J2520" s="16" t="s">
        <v>13270</v>
      </c>
      <c r="K2520" s="2" t="s">
        <v>161</v>
      </c>
      <c r="L2520" s="8" t="s">
        <v>4276</v>
      </c>
      <c r="M2520" s="8" t="s">
        <v>27</v>
      </c>
      <c r="N2520" s="2" t="s">
        <v>13271</v>
      </c>
      <c r="O2520" s="8" t="s">
        <v>1013</v>
      </c>
      <c r="P2520" s="8" t="s">
        <v>401</v>
      </c>
      <c r="Q2520" s="12" t="s">
        <v>13272</v>
      </c>
      <c r="R2520" s="8" t="s">
        <v>100</v>
      </c>
      <c r="S2520" s="7" t="s">
        <v>28</v>
      </c>
      <c r="T2520" s="6"/>
      <c r="U2520" s="8"/>
    </row>
    <row r="2521" spans="1:39" ht="13" customHeight="1">
      <c r="A2521" s="8" t="s">
        <v>13260</v>
      </c>
      <c r="B2521" s="16">
        <v>26</v>
      </c>
      <c r="C2521" s="8" t="s">
        <v>20</v>
      </c>
      <c r="D2521" s="8" t="s">
        <v>85</v>
      </c>
      <c r="E2521" s="8" t="s">
        <v>13261</v>
      </c>
      <c r="F2521" s="17">
        <v>41582</v>
      </c>
      <c r="G2521" s="8" t="s">
        <v>13262</v>
      </c>
      <c r="H2521" s="8" t="s">
        <v>877</v>
      </c>
      <c r="I2521" s="8" t="s">
        <v>73</v>
      </c>
      <c r="J2521" s="16" t="s">
        <v>13263</v>
      </c>
      <c r="K2521" s="2" t="s">
        <v>1390</v>
      </c>
      <c r="L2521" s="8" t="s">
        <v>13264</v>
      </c>
      <c r="M2521" s="8" t="s">
        <v>27</v>
      </c>
      <c r="N2521" s="2" t="s">
        <v>13265</v>
      </c>
      <c r="O2521" s="8" t="s">
        <v>1013</v>
      </c>
      <c r="P2521" s="8" t="s">
        <v>401</v>
      </c>
      <c r="Q2521" s="12" t="s">
        <v>13266</v>
      </c>
      <c r="R2521" s="8" t="s">
        <v>555</v>
      </c>
      <c r="S2521" s="7" t="s">
        <v>28</v>
      </c>
      <c r="T2521" s="6"/>
      <c r="U2521" s="8"/>
    </row>
    <row r="2522" spans="1:39" ht="13" customHeight="1">
      <c r="A2522" s="8" t="s">
        <v>13273</v>
      </c>
      <c r="B2522" s="16">
        <v>19</v>
      </c>
      <c r="C2522" s="8" t="s">
        <v>20</v>
      </c>
      <c r="D2522" s="8" t="s">
        <v>37</v>
      </c>
      <c r="E2522" s="8" t="s">
        <v>13274</v>
      </c>
      <c r="F2522" s="17">
        <v>41582</v>
      </c>
      <c r="G2522" s="8" t="s">
        <v>13275</v>
      </c>
      <c r="H2522" s="8" t="s">
        <v>13276</v>
      </c>
      <c r="I2522" s="8" t="s">
        <v>370</v>
      </c>
      <c r="J2522" s="16" t="s">
        <v>13277</v>
      </c>
      <c r="K2522" s="2" t="s">
        <v>13278</v>
      </c>
      <c r="L2522" s="8" t="s">
        <v>13279</v>
      </c>
      <c r="M2522" s="8" t="s">
        <v>27</v>
      </c>
      <c r="N2522" s="2" t="s">
        <v>13280</v>
      </c>
      <c r="O2522" s="8" t="s">
        <v>550</v>
      </c>
      <c r="P2522" s="8" t="s">
        <v>401</v>
      </c>
      <c r="Q2522" s="12" t="s">
        <v>13281</v>
      </c>
      <c r="R2522" s="8" t="s">
        <v>100</v>
      </c>
      <c r="S2522" s="7" t="s">
        <v>379</v>
      </c>
      <c r="T2522" s="6"/>
      <c r="U2522" s="8"/>
      <c r="Y2522" s="8"/>
      <c r="Z2522" s="8"/>
      <c r="AA2522" s="8"/>
      <c r="AB2522" s="8"/>
      <c r="AC2522" s="8"/>
      <c r="AD2522" s="8"/>
      <c r="AE2522" s="8"/>
      <c r="AF2522" s="8"/>
      <c r="AG2522" s="8"/>
      <c r="AH2522" s="8"/>
    </row>
    <row r="2523" spans="1:39" ht="13" customHeight="1">
      <c r="A2523" s="8" t="s">
        <v>13282</v>
      </c>
      <c r="B2523" s="16">
        <v>51</v>
      </c>
      <c r="C2523" s="8" t="s">
        <v>20</v>
      </c>
      <c r="D2523" s="8" t="s">
        <v>30</v>
      </c>
      <c r="F2523" s="17">
        <v>41581</v>
      </c>
      <c r="G2523" s="8" t="s">
        <v>13283</v>
      </c>
      <c r="H2523" s="8" t="s">
        <v>634</v>
      </c>
      <c r="I2523" s="8" t="s">
        <v>123</v>
      </c>
      <c r="J2523" s="16" t="s">
        <v>13284</v>
      </c>
      <c r="K2523" s="2" t="s">
        <v>635</v>
      </c>
      <c r="L2523" s="8" t="s">
        <v>636</v>
      </c>
      <c r="M2523" s="8" t="s">
        <v>27</v>
      </c>
      <c r="N2523" s="2" t="s">
        <v>13285</v>
      </c>
      <c r="O2523" s="8" t="s">
        <v>1013</v>
      </c>
      <c r="P2523" s="8" t="s">
        <v>401</v>
      </c>
      <c r="Q2523" s="12" t="s">
        <v>13286</v>
      </c>
      <c r="R2523" s="8" t="s">
        <v>100</v>
      </c>
      <c r="S2523" s="7" t="s">
        <v>28</v>
      </c>
      <c r="T2523" s="6"/>
      <c r="U2523" s="8"/>
      <c r="V2523" s="8"/>
      <c r="W2523" s="8"/>
      <c r="X2523" s="8"/>
    </row>
    <row r="2524" spans="1:39" ht="13" customHeight="1">
      <c r="A2524" s="8" t="s">
        <v>13287</v>
      </c>
      <c r="B2524" s="16">
        <v>64</v>
      </c>
      <c r="C2524" s="8" t="s">
        <v>114</v>
      </c>
      <c r="D2524" s="8" t="s">
        <v>37</v>
      </c>
      <c r="E2524" s="8" t="s">
        <v>13288</v>
      </c>
      <c r="F2524" s="17">
        <v>41581</v>
      </c>
      <c r="G2524" s="8" t="s">
        <v>13289</v>
      </c>
      <c r="H2524" s="8" t="s">
        <v>1243</v>
      </c>
      <c r="I2524" s="8" t="s">
        <v>319</v>
      </c>
      <c r="J2524" s="16" t="s">
        <v>13290</v>
      </c>
      <c r="K2524" s="2" t="s">
        <v>13291</v>
      </c>
      <c r="L2524" s="8" t="s">
        <v>13292</v>
      </c>
      <c r="M2524" s="8" t="s">
        <v>27</v>
      </c>
      <c r="N2524" s="2" t="s">
        <v>13293</v>
      </c>
      <c r="O2524" s="8" t="s">
        <v>1013</v>
      </c>
      <c r="P2524" s="8" t="s">
        <v>401</v>
      </c>
      <c r="Q2524" s="12" t="s">
        <v>13294</v>
      </c>
      <c r="R2524" s="8" t="s">
        <v>555</v>
      </c>
      <c r="S2524" s="7" t="s">
        <v>28</v>
      </c>
      <c r="T2524" s="6"/>
      <c r="U2524" s="8"/>
    </row>
    <row r="2525" spans="1:39" ht="13" customHeight="1">
      <c r="A2525" s="8" t="s">
        <v>13295</v>
      </c>
      <c r="B2525" s="16">
        <v>22</v>
      </c>
      <c r="C2525" s="8" t="s">
        <v>20</v>
      </c>
      <c r="D2525" s="8" t="s">
        <v>48</v>
      </c>
      <c r="E2525" s="8" t="s">
        <v>13296</v>
      </c>
      <c r="F2525" s="17">
        <v>41580</v>
      </c>
      <c r="G2525" s="8" t="s">
        <v>13297</v>
      </c>
      <c r="H2525" s="8" t="s">
        <v>285</v>
      </c>
      <c r="I2525" s="8" t="s">
        <v>73</v>
      </c>
      <c r="J2525" s="16" t="s">
        <v>8970</v>
      </c>
      <c r="K2525" s="2" t="s">
        <v>285</v>
      </c>
      <c r="L2525" s="8" t="s">
        <v>286</v>
      </c>
      <c r="M2525" s="8" t="s">
        <v>27</v>
      </c>
      <c r="N2525" s="2" t="s">
        <v>13298</v>
      </c>
      <c r="O2525" s="8" t="s">
        <v>1013</v>
      </c>
      <c r="P2525" s="8" t="s">
        <v>401</v>
      </c>
      <c r="Q2525" s="12" t="s">
        <v>13299</v>
      </c>
      <c r="R2525" s="8" t="s">
        <v>100</v>
      </c>
      <c r="S2525" s="7" t="s">
        <v>28</v>
      </c>
      <c r="T2525" s="6"/>
      <c r="U2525" s="8"/>
    </row>
    <row r="2526" spans="1:39" ht="13" customHeight="1">
      <c r="A2526" s="8" t="s">
        <v>13300</v>
      </c>
      <c r="B2526" s="16">
        <v>27</v>
      </c>
      <c r="C2526" s="8" t="s">
        <v>20</v>
      </c>
      <c r="D2526" s="8" t="s">
        <v>48</v>
      </c>
      <c r="F2526" s="17">
        <v>41579</v>
      </c>
      <c r="G2526" s="8" t="s">
        <v>13301</v>
      </c>
      <c r="H2526" s="8" t="s">
        <v>6463</v>
      </c>
      <c r="I2526" s="8" t="s">
        <v>45</v>
      </c>
      <c r="J2526" s="16" t="s">
        <v>13302</v>
      </c>
      <c r="K2526" s="2" t="s">
        <v>98</v>
      </c>
      <c r="L2526" s="8" t="s">
        <v>5014</v>
      </c>
      <c r="M2526" s="8" t="s">
        <v>27</v>
      </c>
      <c r="N2526" s="2" t="s">
        <v>13303</v>
      </c>
      <c r="O2526" s="8" t="s">
        <v>1013</v>
      </c>
      <c r="P2526" s="8" t="s">
        <v>401</v>
      </c>
      <c r="Q2526" s="12" t="s">
        <v>13304</v>
      </c>
      <c r="R2526" s="8" t="s">
        <v>100</v>
      </c>
      <c r="S2526" s="7" t="s">
        <v>28</v>
      </c>
      <c r="T2526" s="6"/>
      <c r="U2526" s="8"/>
    </row>
    <row r="2527" spans="1:39" ht="13" customHeight="1">
      <c r="A2527" s="8" t="s">
        <v>13305</v>
      </c>
      <c r="B2527" s="16">
        <v>50</v>
      </c>
      <c r="C2527" s="8" t="s">
        <v>114</v>
      </c>
      <c r="D2527" s="8" t="s">
        <v>48</v>
      </c>
      <c r="E2527" s="8" t="s">
        <v>13306</v>
      </c>
      <c r="F2527" s="17">
        <v>41579</v>
      </c>
      <c r="G2527" s="8" t="s">
        <v>13307</v>
      </c>
      <c r="H2527" s="8" t="s">
        <v>7984</v>
      </c>
      <c r="I2527" s="8" t="s">
        <v>73</v>
      </c>
      <c r="J2527" s="16" t="s">
        <v>10887</v>
      </c>
      <c r="K2527" s="2" t="s">
        <v>1781</v>
      </c>
      <c r="L2527" s="8" t="s">
        <v>7985</v>
      </c>
      <c r="M2527" s="8" t="s">
        <v>27</v>
      </c>
      <c r="N2527" s="2" t="s">
        <v>13308</v>
      </c>
      <c r="O2527" s="8" t="s">
        <v>1013</v>
      </c>
      <c r="P2527" s="8" t="s">
        <v>401</v>
      </c>
      <c r="Q2527" s="12" t="s">
        <v>13309</v>
      </c>
      <c r="R2527" s="8" t="s">
        <v>555</v>
      </c>
      <c r="S2527" s="7" t="s">
        <v>28</v>
      </c>
      <c r="T2527" s="6"/>
      <c r="U2527" s="8"/>
    </row>
    <row r="2528" spans="1:39" ht="13" customHeight="1">
      <c r="A2528" s="8" t="s">
        <v>3267</v>
      </c>
      <c r="B2528" s="16">
        <v>26</v>
      </c>
      <c r="C2528" s="8" t="s">
        <v>20</v>
      </c>
      <c r="D2528" s="8" t="s">
        <v>30</v>
      </c>
      <c r="F2528" s="17">
        <v>41578</v>
      </c>
      <c r="G2528" s="8" t="s">
        <v>13318</v>
      </c>
      <c r="H2528" s="8" t="s">
        <v>1847</v>
      </c>
      <c r="I2528" s="8" t="s">
        <v>423</v>
      </c>
      <c r="J2528" s="16" t="s">
        <v>13319</v>
      </c>
      <c r="K2528" s="2" t="s">
        <v>757</v>
      </c>
      <c r="L2528" s="8" t="s">
        <v>582</v>
      </c>
      <c r="M2528" s="8" t="s">
        <v>27</v>
      </c>
      <c r="N2528" s="2" t="s">
        <v>13320</v>
      </c>
      <c r="O2528" s="8" t="s">
        <v>1013</v>
      </c>
      <c r="P2528" s="8" t="s">
        <v>401</v>
      </c>
      <c r="Q2528" s="12" t="s">
        <v>13321</v>
      </c>
      <c r="R2528" s="8" t="s">
        <v>100</v>
      </c>
      <c r="S2528" s="7" t="s">
        <v>28</v>
      </c>
      <c r="T2528" s="6"/>
      <c r="U2528" s="8"/>
    </row>
    <row r="2529" spans="1:34" ht="13" customHeight="1">
      <c r="A2529" s="8" t="s">
        <v>3267</v>
      </c>
      <c r="B2529" s="16">
        <v>26</v>
      </c>
      <c r="C2529" s="8" t="s">
        <v>20</v>
      </c>
      <c r="D2529" s="8" t="s">
        <v>30</v>
      </c>
      <c r="F2529" s="17">
        <v>41578</v>
      </c>
      <c r="G2529" s="8" t="s">
        <v>13322</v>
      </c>
      <c r="H2529" s="8" t="s">
        <v>757</v>
      </c>
      <c r="I2529" s="8" t="s">
        <v>423</v>
      </c>
      <c r="J2529" s="16" t="s">
        <v>13319</v>
      </c>
      <c r="K2529" s="2" t="s">
        <v>1847</v>
      </c>
      <c r="L2529" s="8" t="s">
        <v>582</v>
      </c>
      <c r="M2529" s="8" t="s">
        <v>27</v>
      </c>
      <c r="N2529" s="2" t="s">
        <v>13323</v>
      </c>
      <c r="O2529" s="8" t="s">
        <v>1013</v>
      </c>
      <c r="P2529" s="8" t="s">
        <v>401</v>
      </c>
      <c r="Q2529" s="12" t="s">
        <v>13321</v>
      </c>
      <c r="R2529" s="8" t="s">
        <v>29</v>
      </c>
      <c r="S2529" s="7" t="s">
        <v>28</v>
      </c>
      <c r="T2529" s="6"/>
      <c r="U2529" s="8"/>
    </row>
    <row r="2530" spans="1:34" ht="13" customHeight="1">
      <c r="A2530" s="8" t="s">
        <v>13324</v>
      </c>
      <c r="B2530" s="16">
        <v>57</v>
      </c>
      <c r="C2530" s="8" t="s">
        <v>20</v>
      </c>
      <c r="D2530" s="8" t="s">
        <v>30</v>
      </c>
      <c r="F2530" s="17">
        <v>41578</v>
      </c>
      <c r="G2530" s="8" t="s">
        <v>13325</v>
      </c>
      <c r="H2530" s="8" t="s">
        <v>5552</v>
      </c>
      <c r="I2530" s="8" t="s">
        <v>173</v>
      </c>
      <c r="J2530" s="16" t="s">
        <v>13326</v>
      </c>
      <c r="K2530" s="2" t="s">
        <v>7337</v>
      </c>
      <c r="L2530" s="8" t="s">
        <v>11785</v>
      </c>
      <c r="M2530" s="8" t="s">
        <v>27</v>
      </c>
      <c r="N2530" s="2" t="s">
        <v>13327</v>
      </c>
      <c r="O2530" s="8" t="s">
        <v>1013</v>
      </c>
      <c r="P2530" s="8" t="s">
        <v>401</v>
      </c>
      <c r="Q2530" s="12" t="s">
        <v>13328</v>
      </c>
      <c r="R2530" s="8" t="s">
        <v>29</v>
      </c>
      <c r="S2530" s="7" t="s">
        <v>28</v>
      </c>
      <c r="T2530" s="6"/>
      <c r="U2530" s="8"/>
    </row>
    <row r="2531" spans="1:34" ht="13" customHeight="1">
      <c r="A2531" s="8" t="s">
        <v>13310</v>
      </c>
      <c r="C2531" s="8" t="s">
        <v>20</v>
      </c>
      <c r="D2531" s="8" t="s">
        <v>30</v>
      </c>
      <c r="F2531" s="17">
        <v>41578</v>
      </c>
      <c r="G2531" s="8" t="s">
        <v>13311</v>
      </c>
      <c r="H2531" s="8" t="s">
        <v>13312</v>
      </c>
      <c r="I2531" s="8" t="s">
        <v>366</v>
      </c>
      <c r="J2531" s="16" t="s">
        <v>13313</v>
      </c>
      <c r="K2531" s="2" t="s">
        <v>13314</v>
      </c>
      <c r="L2531" s="8" t="s">
        <v>13315</v>
      </c>
      <c r="M2531" s="8" t="s">
        <v>27</v>
      </c>
      <c r="N2531" s="2" t="s">
        <v>13316</v>
      </c>
      <c r="O2531" s="8" t="s">
        <v>550</v>
      </c>
      <c r="P2531" s="8" t="s">
        <v>401</v>
      </c>
      <c r="Q2531" s="12" t="s">
        <v>13317</v>
      </c>
      <c r="R2531" s="8" t="s">
        <v>555</v>
      </c>
      <c r="S2531" s="7" t="s">
        <v>28</v>
      </c>
      <c r="T2531" s="6"/>
      <c r="U2531" s="8"/>
    </row>
    <row r="2532" spans="1:34" ht="13" customHeight="1">
      <c r="A2532" s="8" t="s">
        <v>13329</v>
      </c>
      <c r="B2532" s="16">
        <v>28</v>
      </c>
      <c r="C2532" s="8" t="s">
        <v>20</v>
      </c>
      <c r="D2532" s="8" t="s">
        <v>37</v>
      </c>
      <c r="E2532" s="8" t="s">
        <v>13330</v>
      </c>
      <c r="F2532" s="17">
        <v>41578</v>
      </c>
      <c r="G2532" s="8" t="s">
        <v>13331</v>
      </c>
      <c r="H2532" s="8" t="s">
        <v>13332</v>
      </c>
      <c r="I2532" s="8" t="s">
        <v>431</v>
      </c>
      <c r="J2532" s="16" t="s">
        <v>13333</v>
      </c>
      <c r="K2532" s="2" t="s">
        <v>11208</v>
      </c>
      <c r="L2532" s="8" t="s">
        <v>13334</v>
      </c>
      <c r="M2532" s="8" t="s">
        <v>27</v>
      </c>
      <c r="N2532" s="2" t="s">
        <v>13335</v>
      </c>
      <c r="O2532" s="8" t="s">
        <v>550</v>
      </c>
      <c r="P2532" s="8" t="s">
        <v>401</v>
      </c>
      <c r="Q2532" s="12" t="s">
        <v>13336</v>
      </c>
      <c r="R2532" s="8" t="s">
        <v>967</v>
      </c>
      <c r="S2532" s="7" t="s">
        <v>379</v>
      </c>
      <c r="T2532" s="6"/>
      <c r="U2532" s="8"/>
    </row>
    <row r="2533" spans="1:34" ht="13" customHeight="1">
      <c r="A2533" s="8" t="s">
        <v>13344</v>
      </c>
      <c r="B2533" s="16">
        <v>28</v>
      </c>
      <c r="C2533" s="8" t="s">
        <v>20</v>
      </c>
      <c r="D2533" s="8" t="s">
        <v>85</v>
      </c>
      <c r="E2533" s="8" t="s">
        <v>13345</v>
      </c>
      <c r="F2533" s="17">
        <v>41577</v>
      </c>
      <c r="G2533" s="8" t="s">
        <v>13346</v>
      </c>
      <c r="H2533" s="8" t="s">
        <v>216</v>
      </c>
      <c r="I2533" s="8" t="s">
        <v>217</v>
      </c>
      <c r="J2533" s="16" t="s">
        <v>13347</v>
      </c>
      <c r="K2533" s="2" t="s">
        <v>420</v>
      </c>
      <c r="L2533" s="8" t="s">
        <v>218</v>
      </c>
      <c r="M2533" s="8" t="s">
        <v>27</v>
      </c>
      <c r="N2533" s="2" t="s">
        <v>13348</v>
      </c>
      <c r="O2533" s="8" t="s">
        <v>1013</v>
      </c>
      <c r="P2533" s="8" t="s">
        <v>401</v>
      </c>
      <c r="Q2533" s="12" t="s">
        <v>13349</v>
      </c>
      <c r="R2533" s="8" t="s">
        <v>100</v>
      </c>
      <c r="S2533" s="7" t="s">
        <v>28</v>
      </c>
      <c r="T2533" s="6"/>
      <c r="U2533" s="8"/>
    </row>
    <row r="2534" spans="1:34" ht="13" customHeight="1">
      <c r="A2534" s="8" t="s">
        <v>13337</v>
      </c>
      <c r="B2534" s="16">
        <v>30</v>
      </c>
      <c r="C2534" s="8" t="s">
        <v>20</v>
      </c>
      <c r="D2534" s="8" t="s">
        <v>85</v>
      </c>
      <c r="E2534" s="8" t="s">
        <v>13338</v>
      </c>
      <c r="F2534" s="17">
        <v>41577</v>
      </c>
      <c r="G2534" s="8" t="s">
        <v>13339</v>
      </c>
      <c r="H2534" s="8" t="s">
        <v>8812</v>
      </c>
      <c r="I2534" s="8" t="s">
        <v>404</v>
      </c>
      <c r="J2534" s="16" t="s">
        <v>13340</v>
      </c>
      <c r="K2534" s="2" t="s">
        <v>8812</v>
      </c>
      <c r="L2534" s="8" t="s">
        <v>13341</v>
      </c>
      <c r="M2534" s="8" t="s">
        <v>27</v>
      </c>
      <c r="N2534" s="2" t="s">
        <v>13342</v>
      </c>
      <c r="O2534" s="8" t="s">
        <v>550</v>
      </c>
      <c r="P2534" s="8" t="s">
        <v>401</v>
      </c>
      <c r="Q2534" s="12" t="s">
        <v>13343</v>
      </c>
      <c r="R2534" s="8" t="s">
        <v>100</v>
      </c>
      <c r="S2534" s="7" t="s">
        <v>28</v>
      </c>
      <c r="T2534" s="6"/>
      <c r="U2534" s="8"/>
    </row>
    <row r="2535" spans="1:34" ht="13" customHeight="1">
      <c r="A2535" s="8" t="s">
        <v>13350</v>
      </c>
      <c r="B2535" s="16">
        <v>24</v>
      </c>
      <c r="C2535" s="8" t="s">
        <v>20</v>
      </c>
      <c r="D2535" s="8" t="s">
        <v>139</v>
      </c>
      <c r="E2535" s="8" t="s">
        <v>13351</v>
      </c>
      <c r="F2535" s="17">
        <v>41577</v>
      </c>
      <c r="G2535" s="8" t="s">
        <v>13352</v>
      </c>
      <c r="H2535" s="8" t="s">
        <v>13353</v>
      </c>
      <c r="I2535" s="8" t="s">
        <v>143</v>
      </c>
      <c r="J2535" s="16" t="s">
        <v>13354</v>
      </c>
      <c r="K2535" s="2" t="s">
        <v>13355</v>
      </c>
      <c r="L2535" s="8" t="s">
        <v>13356</v>
      </c>
      <c r="M2535" s="8" t="s">
        <v>27</v>
      </c>
      <c r="N2535" s="2" t="s">
        <v>13357</v>
      </c>
      <c r="O2535" s="8" t="s">
        <v>1013</v>
      </c>
      <c r="P2535" s="8" t="s">
        <v>401</v>
      </c>
      <c r="Q2535" s="12" t="s">
        <v>13358</v>
      </c>
      <c r="R2535" s="8" t="s">
        <v>100</v>
      </c>
      <c r="S2535" s="7" t="s">
        <v>28</v>
      </c>
      <c r="T2535" s="6"/>
      <c r="U2535" s="8"/>
    </row>
    <row r="2536" spans="1:34" ht="13" customHeight="1">
      <c r="A2536" s="8" t="s">
        <v>13359</v>
      </c>
      <c r="B2536" s="16">
        <v>28</v>
      </c>
      <c r="C2536" s="8" t="s">
        <v>20</v>
      </c>
      <c r="D2536" s="8" t="s">
        <v>30</v>
      </c>
      <c r="F2536" s="17">
        <v>41577</v>
      </c>
      <c r="G2536" s="8" t="s">
        <v>13360</v>
      </c>
      <c r="H2536" s="8" t="s">
        <v>13361</v>
      </c>
      <c r="I2536" s="8" t="s">
        <v>244</v>
      </c>
      <c r="J2536" s="16" t="s">
        <v>13362</v>
      </c>
      <c r="K2536" s="2" t="s">
        <v>4440</v>
      </c>
      <c r="L2536" s="8" t="s">
        <v>13363</v>
      </c>
      <c r="M2536" s="8" t="s">
        <v>27</v>
      </c>
      <c r="N2536" s="2" t="s">
        <v>13364</v>
      </c>
      <c r="O2536" s="8" t="s">
        <v>1013</v>
      </c>
      <c r="P2536" s="8" t="s">
        <v>401</v>
      </c>
      <c r="Q2536" s="12" t="s">
        <v>13365</v>
      </c>
      <c r="R2536" s="8" t="s">
        <v>100</v>
      </c>
      <c r="S2536" s="7" t="s">
        <v>28</v>
      </c>
      <c r="T2536" s="6"/>
      <c r="U2536" s="8"/>
    </row>
    <row r="2537" spans="1:34" ht="13" customHeight="1">
      <c r="A2537" s="8" t="s">
        <v>13366</v>
      </c>
      <c r="B2537" s="16">
        <v>30</v>
      </c>
      <c r="C2537" s="8" t="s">
        <v>20</v>
      </c>
      <c r="D2537" s="8" t="s">
        <v>30</v>
      </c>
      <c r="F2537" s="17">
        <v>41577</v>
      </c>
      <c r="G2537" s="8" t="s">
        <v>13367</v>
      </c>
      <c r="H2537" s="8" t="s">
        <v>477</v>
      </c>
      <c r="I2537" s="8" t="s">
        <v>244</v>
      </c>
      <c r="J2537" s="16" t="s">
        <v>13368</v>
      </c>
      <c r="K2537" s="2" t="s">
        <v>13369</v>
      </c>
      <c r="L2537" s="8" t="s">
        <v>479</v>
      </c>
      <c r="M2537" s="8" t="s">
        <v>27</v>
      </c>
      <c r="N2537" s="2" t="s">
        <v>13370</v>
      </c>
      <c r="O2537" s="8" t="s">
        <v>1013</v>
      </c>
      <c r="P2537" s="8" t="s">
        <v>401</v>
      </c>
      <c r="Q2537" s="12" t="s">
        <v>13371</v>
      </c>
      <c r="R2537" s="8" t="s">
        <v>555</v>
      </c>
      <c r="S2537" s="7" t="s">
        <v>28</v>
      </c>
      <c r="T2537" s="6"/>
      <c r="U2537" s="8"/>
    </row>
    <row r="2538" spans="1:34" ht="13" customHeight="1">
      <c r="A2538" s="8" t="s">
        <v>13372</v>
      </c>
      <c r="B2538" s="16">
        <v>25</v>
      </c>
      <c r="C2538" s="8" t="s">
        <v>20</v>
      </c>
      <c r="D2538" s="8" t="s">
        <v>85</v>
      </c>
      <c r="F2538" s="17">
        <v>41576</v>
      </c>
      <c r="G2538" s="8" t="s">
        <v>13373</v>
      </c>
      <c r="H2538" s="8" t="s">
        <v>726</v>
      </c>
      <c r="I2538" s="8" t="s">
        <v>73</v>
      </c>
      <c r="J2538" s="16" t="s">
        <v>13374</v>
      </c>
      <c r="K2538" s="2" t="s">
        <v>558</v>
      </c>
      <c r="L2538" s="8" t="s">
        <v>13375</v>
      </c>
      <c r="M2538" s="8" t="s">
        <v>27</v>
      </c>
      <c r="N2538" s="2" t="s">
        <v>13376</v>
      </c>
      <c r="O2538" s="8" t="s">
        <v>550</v>
      </c>
      <c r="P2538" s="8" t="s">
        <v>401</v>
      </c>
      <c r="Q2538" s="12" t="s">
        <v>13377</v>
      </c>
      <c r="R2538" s="8" t="s">
        <v>100</v>
      </c>
      <c r="S2538" s="7" t="s">
        <v>28</v>
      </c>
      <c r="T2538" s="6"/>
      <c r="U2538" s="8"/>
    </row>
    <row r="2539" spans="1:34" ht="13" customHeight="1">
      <c r="A2539" s="8" t="s">
        <v>13385</v>
      </c>
      <c r="B2539" s="16">
        <v>49</v>
      </c>
      <c r="C2539" s="8" t="s">
        <v>20</v>
      </c>
      <c r="D2539" s="8" t="s">
        <v>85</v>
      </c>
      <c r="F2539" s="17">
        <v>41576</v>
      </c>
      <c r="G2539" s="8" t="s">
        <v>13386</v>
      </c>
      <c r="H2539" s="8" t="s">
        <v>8939</v>
      </c>
      <c r="I2539" s="8" t="s">
        <v>45</v>
      </c>
      <c r="J2539" s="16" t="s">
        <v>8940</v>
      </c>
      <c r="K2539" s="2" t="s">
        <v>98</v>
      </c>
      <c r="L2539" s="8" t="s">
        <v>99</v>
      </c>
      <c r="M2539" s="8" t="s">
        <v>27</v>
      </c>
      <c r="N2539" s="2" t="s">
        <v>13387</v>
      </c>
      <c r="O2539" s="8" t="s">
        <v>550</v>
      </c>
      <c r="P2539" s="8" t="s">
        <v>401</v>
      </c>
      <c r="Q2539" s="12" t="s">
        <v>13388</v>
      </c>
      <c r="R2539" s="8" t="s">
        <v>100</v>
      </c>
      <c r="S2539" s="7" t="s">
        <v>28</v>
      </c>
      <c r="T2539" s="6"/>
      <c r="U2539" s="8"/>
    </row>
    <row r="2540" spans="1:34" ht="13" customHeight="1">
      <c r="A2540" s="8" t="s">
        <v>13389</v>
      </c>
      <c r="B2540" s="16">
        <v>51</v>
      </c>
      <c r="C2540" s="8" t="s">
        <v>20</v>
      </c>
      <c r="D2540" s="8" t="s">
        <v>85</v>
      </c>
      <c r="E2540" s="8" t="s">
        <v>13390</v>
      </c>
      <c r="F2540" s="17">
        <v>41576</v>
      </c>
      <c r="G2540" s="8" t="s">
        <v>13391</v>
      </c>
      <c r="H2540" s="8" t="s">
        <v>213</v>
      </c>
      <c r="I2540" s="8" t="s">
        <v>62</v>
      </c>
      <c r="J2540" s="16" t="s">
        <v>13392</v>
      </c>
      <c r="K2540" s="2" t="s">
        <v>161</v>
      </c>
      <c r="L2540" s="8" t="s">
        <v>162</v>
      </c>
      <c r="M2540" s="8" t="s">
        <v>27</v>
      </c>
      <c r="N2540" s="2" t="s">
        <v>13393</v>
      </c>
      <c r="O2540" s="8" t="s">
        <v>550</v>
      </c>
      <c r="P2540" s="8" t="s">
        <v>401</v>
      </c>
      <c r="Q2540" s="12" t="s">
        <v>13394</v>
      </c>
      <c r="R2540" s="8" t="s">
        <v>100</v>
      </c>
      <c r="S2540" s="7" t="s">
        <v>28</v>
      </c>
      <c r="T2540" s="6"/>
      <c r="U2540" s="8"/>
    </row>
    <row r="2541" spans="1:34" ht="13" customHeight="1">
      <c r="A2541" s="8" t="s">
        <v>13378</v>
      </c>
      <c r="B2541" s="16">
        <v>54</v>
      </c>
      <c r="C2541" s="8" t="s">
        <v>20</v>
      </c>
      <c r="D2541" s="8" t="s">
        <v>85</v>
      </c>
      <c r="E2541" s="8" t="s">
        <v>13379</v>
      </c>
      <c r="F2541" s="17">
        <v>41576</v>
      </c>
      <c r="G2541" s="8" t="s">
        <v>13380</v>
      </c>
      <c r="H2541" s="8" t="s">
        <v>2486</v>
      </c>
      <c r="I2541" s="8" t="s">
        <v>423</v>
      </c>
      <c r="J2541" s="16" t="s">
        <v>13381</v>
      </c>
      <c r="K2541" s="2" t="s">
        <v>51</v>
      </c>
      <c r="L2541" s="8" t="s">
        <v>13382</v>
      </c>
      <c r="M2541" s="8" t="s">
        <v>3386</v>
      </c>
      <c r="N2541" s="2" t="s">
        <v>13383</v>
      </c>
      <c r="O2541" s="8" t="s">
        <v>1013</v>
      </c>
      <c r="P2541" s="8" t="s">
        <v>401</v>
      </c>
      <c r="Q2541" s="12" t="s">
        <v>13384</v>
      </c>
      <c r="R2541" s="8" t="s">
        <v>967</v>
      </c>
      <c r="S2541" s="7" t="s">
        <v>18</v>
      </c>
      <c r="T2541" s="6"/>
      <c r="U2541" s="8"/>
      <c r="Y2541" s="8"/>
      <c r="Z2541" s="8"/>
      <c r="AA2541" s="8"/>
      <c r="AB2541" s="8"/>
      <c r="AC2541" s="8"/>
      <c r="AD2541" s="8"/>
      <c r="AE2541" s="8"/>
      <c r="AF2541" s="8"/>
      <c r="AG2541" s="8"/>
      <c r="AH2541" s="8"/>
    </row>
    <row r="2542" spans="1:34" ht="13" customHeight="1">
      <c r="A2542" s="8" t="s">
        <v>13395</v>
      </c>
      <c r="B2542" s="16">
        <v>57</v>
      </c>
      <c r="C2542" s="8" t="s">
        <v>20</v>
      </c>
      <c r="D2542" s="8" t="s">
        <v>37</v>
      </c>
      <c r="E2542" s="8" t="s">
        <v>13396</v>
      </c>
      <c r="F2542" s="17">
        <v>41576</v>
      </c>
      <c r="G2542" s="8" t="s">
        <v>13397</v>
      </c>
      <c r="H2542" s="8" t="s">
        <v>5035</v>
      </c>
      <c r="I2542" s="8" t="s">
        <v>423</v>
      </c>
      <c r="J2542" s="16" t="s">
        <v>13398</v>
      </c>
      <c r="K2542" s="2" t="s">
        <v>13399</v>
      </c>
      <c r="L2542" s="8" t="s">
        <v>13400</v>
      </c>
      <c r="M2542" s="8" t="s">
        <v>27</v>
      </c>
      <c r="N2542" s="2" t="s">
        <v>13401</v>
      </c>
      <c r="O2542" s="8" t="s">
        <v>550</v>
      </c>
      <c r="P2542" s="8" t="s">
        <v>401</v>
      </c>
      <c r="Q2542" s="12" t="s">
        <v>13402</v>
      </c>
      <c r="R2542" s="8" t="s">
        <v>555</v>
      </c>
      <c r="S2542" s="7" t="s">
        <v>28</v>
      </c>
      <c r="T2542" s="6"/>
      <c r="U2542" s="8"/>
    </row>
    <row r="2543" spans="1:34" ht="13" customHeight="1">
      <c r="A2543" s="8" t="s">
        <v>13403</v>
      </c>
      <c r="B2543" s="16">
        <v>61</v>
      </c>
      <c r="C2543" s="8" t="s">
        <v>20</v>
      </c>
      <c r="D2543" s="8" t="s">
        <v>85</v>
      </c>
      <c r="E2543" s="8" t="s">
        <v>13404</v>
      </c>
      <c r="F2543" s="17">
        <v>41575</v>
      </c>
      <c r="G2543" s="8" t="s">
        <v>13405</v>
      </c>
      <c r="H2543" s="8" t="s">
        <v>13406</v>
      </c>
      <c r="I2543" s="8" t="s">
        <v>173</v>
      </c>
      <c r="J2543" s="16" t="s">
        <v>13407</v>
      </c>
      <c r="K2543" s="2" t="s">
        <v>13408</v>
      </c>
      <c r="L2543" s="8" t="s">
        <v>13409</v>
      </c>
      <c r="M2543" s="8" t="s">
        <v>27</v>
      </c>
      <c r="N2543" s="2" t="s">
        <v>13410</v>
      </c>
      <c r="O2543" s="8" t="s">
        <v>1013</v>
      </c>
      <c r="P2543" s="8" t="s">
        <v>401</v>
      </c>
      <c r="Q2543" s="12" t="s">
        <v>13411</v>
      </c>
      <c r="R2543" s="8" t="s">
        <v>100</v>
      </c>
      <c r="S2543" s="7" t="s">
        <v>28</v>
      </c>
      <c r="T2543" s="6"/>
      <c r="U2543" s="8"/>
    </row>
    <row r="2544" spans="1:34" ht="13" customHeight="1">
      <c r="A2544" s="8" t="s">
        <v>13417</v>
      </c>
      <c r="B2544" s="16">
        <v>71</v>
      </c>
      <c r="C2544" s="8" t="s">
        <v>20</v>
      </c>
      <c r="D2544" s="8" t="s">
        <v>37</v>
      </c>
      <c r="E2544" s="8" t="s">
        <v>13418</v>
      </c>
      <c r="F2544" s="17">
        <v>41575</v>
      </c>
      <c r="G2544" s="8" t="s">
        <v>13419</v>
      </c>
      <c r="H2544" s="8" t="s">
        <v>1010</v>
      </c>
      <c r="I2544" s="8" t="s">
        <v>32</v>
      </c>
      <c r="J2544" s="16" t="s">
        <v>13420</v>
      </c>
      <c r="K2544" s="2" t="s">
        <v>1010</v>
      </c>
      <c r="L2544" s="8" t="s">
        <v>2736</v>
      </c>
      <c r="M2544" s="8" t="s">
        <v>27</v>
      </c>
      <c r="N2544" s="2" t="s">
        <v>13421</v>
      </c>
      <c r="O2544" s="8" t="s">
        <v>1013</v>
      </c>
      <c r="P2544" s="8" t="s">
        <v>401</v>
      </c>
      <c r="Q2544" s="12" t="s">
        <v>13422</v>
      </c>
      <c r="R2544" s="8" t="s">
        <v>100</v>
      </c>
      <c r="S2544" s="7" t="s">
        <v>28</v>
      </c>
      <c r="T2544" s="6"/>
      <c r="U2544" s="8"/>
    </row>
    <row r="2545" spans="1:34" ht="13" customHeight="1">
      <c r="A2545" s="8" t="s">
        <v>13412</v>
      </c>
      <c r="B2545" s="16">
        <v>27</v>
      </c>
      <c r="C2545" s="8" t="s">
        <v>20</v>
      </c>
      <c r="D2545" s="8" t="s">
        <v>37</v>
      </c>
      <c r="E2545" s="8" t="s">
        <v>13413</v>
      </c>
      <c r="F2545" s="17">
        <v>41575</v>
      </c>
      <c r="G2545" s="8" t="s">
        <v>13414</v>
      </c>
      <c r="H2545" s="8" t="s">
        <v>9040</v>
      </c>
      <c r="I2545" s="8" t="s">
        <v>73</v>
      </c>
      <c r="J2545" s="16" t="s">
        <v>9041</v>
      </c>
      <c r="K2545" s="2" t="s">
        <v>285</v>
      </c>
      <c r="L2545" s="8" t="s">
        <v>13415</v>
      </c>
      <c r="M2545" s="8" t="s">
        <v>27</v>
      </c>
      <c r="N2545" s="2" t="s">
        <v>13416</v>
      </c>
      <c r="O2545" s="8" t="s">
        <v>550</v>
      </c>
      <c r="P2545" s="8" t="s">
        <v>401</v>
      </c>
      <c r="Q2545" s="12" t="str">
        <f>HYPERLINK("http://crimeblog.dallasnews.com/2013/10/duncanville-police-fatally-shoot-suspect-monday-morning.html/","http://crimeblog.dallasnews.com/2013/10/duncanville-police-fatally-shoot-suspect-monday-morning.html/")</f>
        <v>http://crimeblog.dallasnews.com/2013/10/duncanville-police-fatally-shoot-suspect-monday-morning.html/</v>
      </c>
      <c r="R2545" s="8" t="s">
        <v>100</v>
      </c>
      <c r="S2545" s="7" t="s">
        <v>35</v>
      </c>
      <c r="T2545" s="6"/>
      <c r="U2545" s="8"/>
    </row>
    <row r="2546" spans="1:34" ht="13" customHeight="1">
      <c r="A2546" s="8" t="s">
        <v>13423</v>
      </c>
      <c r="B2546" s="16">
        <v>28</v>
      </c>
      <c r="C2546" s="8" t="s">
        <v>20</v>
      </c>
      <c r="D2546" s="8" t="s">
        <v>85</v>
      </c>
      <c r="E2546" s="8" t="s">
        <v>13424</v>
      </c>
      <c r="F2546" s="17">
        <v>41574</v>
      </c>
      <c r="G2546" s="8" t="s">
        <v>13425</v>
      </c>
      <c r="H2546" s="8" t="s">
        <v>653</v>
      </c>
      <c r="I2546" s="8" t="s">
        <v>62</v>
      </c>
      <c r="J2546" s="16" t="s">
        <v>13426</v>
      </c>
      <c r="K2546" s="2" t="s">
        <v>654</v>
      </c>
      <c r="L2546" s="8" t="s">
        <v>655</v>
      </c>
      <c r="M2546" s="8" t="s">
        <v>27</v>
      </c>
      <c r="N2546" s="2" t="s">
        <v>13427</v>
      </c>
      <c r="O2546" s="8" t="s">
        <v>1013</v>
      </c>
      <c r="P2546" s="8" t="s">
        <v>401</v>
      </c>
      <c r="Q2546" s="12" t="s">
        <v>13428</v>
      </c>
      <c r="R2546" s="8" t="s">
        <v>100</v>
      </c>
      <c r="S2546" s="7" t="s">
        <v>28</v>
      </c>
      <c r="T2546" s="6"/>
      <c r="U2546" s="8"/>
    </row>
    <row r="2547" spans="1:34" ht="13" customHeight="1">
      <c r="A2547" s="8" t="s">
        <v>13429</v>
      </c>
      <c r="B2547" s="16">
        <v>57</v>
      </c>
      <c r="C2547" s="8" t="s">
        <v>20</v>
      </c>
      <c r="D2547" s="8" t="s">
        <v>85</v>
      </c>
      <c r="F2547" s="17">
        <v>41574</v>
      </c>
      <c r="G2547" s="8" t="s">
        <v>13430</v>
      </c>
      <c r="H2547" s="8" t="s">
        <v>13431</v>
      </c>
      <c r="I2547" s="8" t="s">
        <v>45</v>
      </c>
      <c r="J2547" s="16" t="s">
        <v>7834</v>
      </c>
      <c r="K2547" s="2" t="s">
        <v>98</v>
      </c>
      <c r="L2547" s="8" t="s">
        <v>5014</v>
      </c>
      <c r="M2547" s="8" t="s">
        <v>27</v>
      </c>
      <c r="N2547" s="2" t="s">
        <v>13432</v>
      </c>
      <c r="O2547" s="8" t="s">
        <v>1013</v>
      </c>
      <c r="P2547" s="8" t="s">
        <v>401</v>
      </c>
      <c r="Q2547" s="12" t="s">
        <v>13433</v>
      </c>
      <c r="R2547" s="8" t="s">
        <v>555</v>
      </c>
      <c r="S2547" s="7" t="s">
        <v>18</v>
      </c>
      <c r="T2547" s="6"/>
      <c r="U2547" s="8"/>
    </row>
    <row r="2548" spans="1:34" ht="13" customHeight="1">
      <c r="A2548" s="8" t="s">
        <v>13434</v>
      </c>
      <c r="B2548" s="16">
        <v>51</v>
      </c>
      <c r="C2548" s="8" t="s">
        <v>20</v>
      </c>
      <c r="D2548" s="8" t="s">
        <v>48</v>
      </c>
      <c r="E2548" s="8" t="s">
        <v>13435</v>
      </c>
      <c r="F2548" s="17">
        <v>41574</v>
      </c>
      <c r="G2548" s="8" t="s">
        <v>13436</v>
      </c>
      <c r="H2548" s="8" t="s">
        <v>6483</v>
      </c>
      <c r="I2548" s="8" t="s">
        <v>62</v>
      </c>
      <c r="J2548" s="16" t="s">
        <v>11467</v>
      </c>
      <c r="K2548" s="2" t="s">
        <v>161</v>
      </c>
      <c r="L2548" s="8" t="s">
        <v>6484</v>
      </c>
      <c r="M2548" s="8" t="s">
        <v>27</v>
      </c>
      <c r="N2548" s="2" t="s">
        <v>13437</v>
      </c>
      <c r="O2548" s="8" t="s">
        <v>1013</v>
      </c>
      <c r="P2548" s="8" t="s">
        <v>401</v>
      </c>
      <c r="Q2548" s="12" t="s">
        <v>13438</v>
      </c>
      <c r="R2548" s="8" t="s">
        <v>100</v>
      </c>
      <c r="S2548" s="7" t="s">
        <v>28</v>
      </c>
      <c r="T2548" s="6"/>
      <c r="U2548" s="8"/>
    </row>
    <row r="2549" spans="1:34" ht="13" customHeight="1">
      <c r="A2549" s="8" t="s">
        <v>13453</v>
      </c>
      <c r="B2549" s="16">
        <v>26</v>
      </c>
      <c r="C2549" s="8" t="s">
        <v>20</v>
      </c>
      <c r="D2549" s="8" t="s">
        <v>37</v>
      </c>
      <c r="E2549" s="8" t="s">
        <v>13454</v>
      </c>
      <c r="F2549" s="17">
        <v>41574</v>
      </c>
      <c r="G2549" s="8" t="s">
        <v>13455</v>
      </c>
      <c r="H2549" s="8" t="s">
        <v>13456</v>
      </c>
      <c r="I2549" s="8" t="s">
        <v>319</v>
      </c>
      <c r="J2549" s="16" t="s">
        <v>13457</v>
      </c>
      <c r="K2549" s="2" t="s">
        <v>13291</v>
      </c>
      <c r="L2549" s="8" t="s">
        <v>13458</v>
      </c>
      <c r="M2549" s="8" t="s">
        <v>27</v>
      </c>
      <c r="N2549" s="2" t="s">
        <v>13459</v>
      </c>
      <c r="O2549" s="8" t="s">
        <v>550</v>
      </c>
      <c r="P2549" s="8" t="s">
        <v>401</v>
      </c>
      <c r="Q2549" s="12" t="s">
        <v>13460</v>
      </c>
      <c r="R2549" s="8" t="s">
        <v>100</v>
      </c>
      <c r="S2549" s="7" t="s">
        <v>28</v>
      </c>
      <c r="T2549" s="6"/>
      <c r="U2549" s="8"/>
    </row>
    <row r="2550" spans="1:34" ht="13" customHeight="1">
      <c r="A2550" s="8" t="s">
        <v>13439</v>
      </c>
      <c r="B2550" s="16">
        <v>26</v>
      </c>
      <c r="C2550" s="8" t="s">
        <v>114</v>
      </c>
      <c r="D2550" s="8" t="s">
        <v>37</v>
      </c>
      <c r="E2550" s="8" t="s">
        <v>13440</v>
      </c>
      <c r="F2550" s="17">
        <v>41574</v>
      </c>
      <c r="G2550" s="8" t="s">
        <v>13441</v>
      </c>
      <c r="H2550" s="8" t="s">
        <v>1596</v>
      </c>
      <c r="I2550" s="8" t="s">
        <v>52</v>
      </c>
      <c r="J2550" s="16" t="s">
        <v>13442</v>
      </c>
      <c r="K2550" s="2" t="s">
        <v>4727</v>
      </c>
      <c r="L2550" s="8" t="s">
        <v>2782</v>
      </c>
      <c r="M2550" s="8" t="s">
        <v>27</v>
      </c>
      <c r="N2550" s="2" t="s">
        <v>13443</v>
      </c>
      <c r="O2550" s="8" t="s">
        <v>1013</v>
      </c>
      <c r="P2550" s="8" t="s">
        <v>401</v>
      </c>
      <c r="Q2550" s="12" t="s">
        <v>13444</v>
      </c>
      <c r="R2550" s="8" t="s">
        <v>100</v>
      </c>
      <c r="S2550" s="7" t="s">
        <v>18</v>
      </c>
      <c r="T2550" s="6"/>
      <c r="U2550" s="8"/>
    </row>
    <row r="2551" spans="1:34" ht="13" customHeight="1">
      <c r="A2551" s="8" t="s">
        <v>13445</v>
      </c>
      <c r="B2551" s="16">
        <v>27</v>
      </c>
      <c r="C2551" s="8" t="s">
        <v>20</v>
      </c>
      <c r="D2551" s="8" t="s">
        <v>37</v>
      </c>
      <c r="E2551" s="8" t="s">
        <v>13440</v>
      </c>
      <c r="F2551" s="17">
        <v>41574</v>
      </c>
      <c r="G2551" s="8" t="s">
        <v>13441</v>
      </c>
      <c r="H2551" s="8" t="s">
        <v>1596</v>
      </c>
      <c r="I2551" s="8" t="s">
        <v>52</v>
      </c>
      <c r="J2551" s="16" t="s">
        <v>13442</v>
      </c>
      <c r="K2551" s="2" t="s">
        <v>4727</v>
      </c>
      <c r="L2551" s="8" t="s">
        <v>2782</v>
      </c>
      <c r="M2551" s="8" t="s">
        <v>27</v>
      </c>
      <c r="N2551" s="2" t="s">
        <v>13443</v>
      </c>
      <c r="O2551" s="8" t="s">
        <v>1013</v>
      </c>
      <c r="P2551" s="8" t="s">
        <v>401</v>
      </c>
      <c r="Q2551" s="12" t="s">
        <v>13444</v>
      </c>
      <c r="R2551" s="8" t="s">
        <v>100</v>
      </c>
      <c r="S2551" s="7" t="s">
        <v>18</v>
      </c>
      <c r="T2551" s="6"/>
      <c r="U2551" s="8"/>
    </row>
    <row r="2552" spans="1:34" ht="13" customHeight="1">
      <c r="A2552" s="8" t="s">
        <v>13446</v>
      </c>
      <c r="B2552" s="16">
        <v>35</v>
      </c>
      <c r="C2552" s="8" t="s">
        <v>114</v>
      </c>
      <c r="D2552" s="8" t="s">
        <v>37</v>
      </c>
      <c r="E2552" s="8" t="s">
        <v>13447</v>
      </c>
      <c r="F2552" s="17">
        <v>41574</v>
      </c>
      <c r="G2552" s="8" t="s">
        <v>13448</v>
      </c>
      <c r="H2552" s="8" t="s">
        <v>449</v>
      </c>
      <c r="I2552" s="8" t="s">
        <v>195</v>
      </c>
      <c r="J2552" s="16" t="s">
        <v>13449</v>
      </c>
      <c r="K2552" s="2" t="s">
        <v>789</v>
      </c>
      <c r="L2552" s="8" t="s">
        <v>13450</v>
      </c>
      <c r="M2552" s="8" t="s">
        <v>27</v>
      </c>
      <c r="N2552" s="2" t="s">
        <v>13451</v>
      </c>
      <c r="O2552" s="8" t="s">
        <v>550</v>
      </c>
      <c r="P2552" s="8" t="s">
        <v>401</v>
      </c>
      <c r="Q2552" s="12" t="s">
        <v>13452</v>
      </c>
      <c r="R2552" s="8" t="s">
        <v>967</v>
      </c>
      <c r="S2552" s="7" t="s">
        <v>18</v>
      </c>
      <c r="T2552" s="6"/>
      <c r="U2552" s="8"/>
    </row>
    <row r="2553" spans="1:34" ht="13" customHeight="1">
      <c r="A2553" s="8" t="s">
        <v>13461</v>
      </c>
      <c r="B2553" s="16">
        <v>24</v>
      </c>
      <c r="C2553" s="8" t="s">
        <v>20</v>
      </c>
      <c r="D2553" s="8" t="s">
        <v>85</v>
      </c>
      <c r="E2553" s="8" t="s">
        <v>13462</v>
      </c>
      <c r="F2553" s="17">
        <v>41573</v>
      </c>
      <c r="G2553" s="8" t="s">
        <v>13463</v>
      </c>
      <c r="H2553" s="8" t="s">
        <v>61</v>
      </c>
      <c r="I2553" s="8" t="s">
        <v>62</v>
      </c>
      <c r="J2553" s="16" t="s">
        <v>13464</v>
      </c>
      <c r="K2553" s="2" t="s">
        <v>5354</v>
      </c>
      <c r="L2553" s="8" t="s">
        <v>7715</v>
      </c>
      <c r="M2553" s="8" t="s">
        <v>27</v>
      </c>
      <c r="N2553" s="2" t="s">
        <v>13465</v>
      </c>
      <c r="O2553" s="8" t="s">
        <v>1013</v>
      </c>
      <c r="P2553" s="8" t="s">
        <v>401</v>
      </c>
      <c r="Q2553" s="12" t="s">
        <v>13466</v>
      </c>
      <c r="R2553" s="8" t="s">
        <v>100</v>
      </c>
      <c r="S2553" s="7" t="s">
        <v>28</v>
      </c>
      <c r="T2553" s="6"/>
      <c r="U2553" s="8"/>
    </row>
    <row r="2554" spans="1:34" ht="13" customHeight="1">
      <c r="A2554" s="8" t="s">
        <v>13467</v>
      </c>
      <c r="B2554" s="16">
        <v>32</v>
      </c>
      <c r="C2554" s="8" t="s">
        <v>20</v>
      </c>
      <c r="D2554" s="8" t="s">
        <v>48</v>
      </c>
      <c r="F2554" s="17">
        <v>41573</v>
      </c>
      <c r="G2554" s="8" t="s">
        <v>13468</v>
      </c>
      <c r="H2554" s="8" t="s">
        <v>13469</v>
      </c>
      <c r="I2554" s="8" t="s">
        <v>45</v>
      </c>
      <c r="J2554" s="16" t="s">
        <v>13470</v>
      </c>
      <c r="K2554" s="2" t="s">
        <v>786</v>
      </c>
      <c r="L2554" s="8" t="s">
        <v>13471</v>
      </c>
      <c r="M2554" s="8" t="s">
        <v>27</v>
      </c>
      <c r="N2554" s="2" t="s">
        <v>13472</v>
      </c>
      <c r="O2554" s="8" t="s">
        <v>1013</v>
      </c>
      <c r="P2554" s="8" t="s">
        <v>401</v>
      </c>
      <c r="Q2554" s="12" t="s">
        <v>13473</v>
      </c>
      <c r="R2554" s="8" t="s">
        <v>100</v>
      </c>
      <c r="S2554" s="7" t="s">
        <v>28</v>
      </c>
      <c r="T2554" s="6"/>
      <c r="U2554" s="8"/>
    </row>
    <row r="2555" spans="1:34" ht="13" customHeight="1">
      <c r="A2555" s="8" t="s">
        <v>13474</v>
      </c>
      <c r="B2555" s="16">
        <v>32</v>
      </c>
      <c r="C2555" s="8" t="s">
        <v>20</v>
      </c>
      <c r="D2555" s="8" t="s">
        <v>30</v>
      </c>
      <c r="F2555" s="17">
        <v>41573</v>
      </c>
      <c r="G2555" s="8" t="s">
        <v>13475</v>
      </c>
      <c r="H2555" s="8" t="s">
        <v>9826</v>
      </c>
      <c r="I2555" s="8" t="s">
        <v>244</v>
      </c>
      <c r="J2555" s="16" t="s">
        <v>9827</v>
      </c>
      <c r="K2555" s="2" t="s">
        <v>9828</v>
      </c>
      <c r="L2555" s="8" t="s">
        <v>13476</v>
      </c>
      <c r="M2555" s="8" t="s">
        <v>27</v>
      </c>
      <c r="N2555" s="2" t="s">
        <v>13477</v>
      </c>
      <c r="O2555" s="8" t="s">
        <v>550</v>
      </c>
      <c r="P2555" s="8" t="s">
        <v>401</v>
      </c>
      <c r="Q2555" s="12" t="s">
        <v>13478</v>
      </c>
      <c r="R2555" s="8" t="s">
        <v>100</v>
      </c>
      <c r="S2555" s="7" t="s">
        <v>28</v>
      </c>
      <c r="T2555" s="6"/>
      <c r="U2555" s="8"/>
    </row>
    <row r="2556" spans="1:34" ht="13" customHeight="1">
      <c r="A2556" s="8" t="s">
        <v>13492</v>
      </c>
      <c r="B2556" s="16" t="s">
        <v>13493</v>
      </c>
      <c r="C2556" s="8" t="s">
        <v>20</v>
      </c>
      <c r="D2556" s="8" t="s">
        <v>37</v>
      </c>
      <c r="E2556" s="8" t="s">
        <v>13494</v>
      </c>
      <c r="F2556" s="17">
        <v>41573</v>
      </c>
      <c r="G2556" s="8" t="s">
        <v>13495</v>
      </c>
      <c r="H2556" s="8" t="s">
        <v>13496</v>
      </c>
      <c r="I2556" s="8" t="s">
        <v>123</v>
      </c>
      <c r="J2556" s="16" t="s">
        <v>13497</v>
      </c>
      <c r="K2556" s="2" t="s">
        <v>13496</v>
      </c>
      <c r="L2556" s="8" t="s">
        <v>13498</v>
      </c>
      <c r="M2556" s="8" t="s">
        <v>27</v>
      </c>
      <c r="N2556" s="2" t="s">
        <v>13499</v>
      </c>
      <c r="O2556" s="8" t="s">
        <v>29</v>
      </c>
      <c r="P2556" s="8" t="s">
        <v>401</v>
      </c>
      <c r="Q2556" s="12" t="s">
        <v>13500</v>
      </c>
      <c r="R2556" s="8" t="s">
        <v>100</v>
      </c>
      <c r="S2556" s="7" t="s">
        <v>28</v>
      </c>
      <c r="T2556" s="6"/>
      <c r="U2556" s="8"/>
      <c r="V2556" s="8"/>
      <c r="W2556" s="8"/>
      <c r="X2556" s="8"/>
    </row>
    <row r="2557" spans="1:34" ht="13" customHeight="1">
      <c r="A2557" s="8" t="s">
        <v>13479</v>
      </c>
      <c r="B2557" s="16" t="s">
        <v>13480</v>
      </c>
      <c r="C2557" s="8" t="s">
        <v>20</v>
      </c>
      <c r="D2557" s="8" t="s">
        <v>37</v>
      </c>
      <c r="E2557" s="8" t="s">
        <v>13481</v>
      </c>
      <c r="F2557" s="17">
        <v>41573</v>
      </c>
      <c r="G2557" s="8" t="s">
        <v>13482</v>
      </c>
      <c r="H2557" s="8" t="s">
        <v>925</v>
      </c>
      <c r="I2557" s="8" t="s">
        <v>195</v>
      </c>
      <c r="J2557" s="16" t="s">
        <v>13483</v>
      </c>
      <c r="K2557" s="2" t="s">
        <v>467</v>
      </c>
      <c r="L2557" s="8" t="s">
        <v>4995</v>
      </c>
      <c r="M2557" s="8" t="s">
        <v>27</v>
      </c>
      <c r="N2557" s="2" t="s">
        <v>13484</v>
      </c>
      <c r="O2557" s="8" t="s">
        <v>29</v>
      </c>
      <c r="P2557" s="8" t="s">
        <v>401</v>
      </c>
      <c r="Q2557" s="12" t="s">
        <v>10165</v>
      </c>
      <c r="R2557" s="8" t="s">
        <v>100</v>
      </c>
      <c r="S2557" s="7" t="s">
        <v>28</v>
      </c>
      <c r="T2557" s="6"/>
      <c r="U2557" s="8"/>
      <c r="Y2557" s="8"/>
      <c r="Z2557" s="8"/>
      <c r="AA2557" s="8"/>
      <c r="AB2557" s="8"/>
      <c r="AC2557" s="8"/>
      <c r="AD2557" s="8"/>
      <c r="AE2557" s="8"/>
      <c r="AF2557" s="8"/>
      <c r="AG2557" s="8"/>
      <c r="AH2557" s="8"/>
    </row>
    <row r="2558" spans="1:34" ht="13" customHeight="1">
      <c r="A2558" s="8" t="s">
        <v>13485</v>
      </c>
      <c r="B2558" s="16">
        <v>69</v>
      </c>
      <c r="C2558" s="8" t="s">
        <v>20</v>
      </c>
      <c r="D2558" s="8" t="s">
        <v>37</v>
      </c>
      <c r="E2558" s="8" t="s">
        <v>13486</v>
      </c>
      <c r="F2558" s="17">
        <v>41573</v>
      </c>
      <c r="G2558" s="8" t="s">
        <v>13487</v>
      </c>
      <c r="H2558" s="8" t="s">
        <v>9880</v>
      </c>
      <c r="I2558" s="8" t="s">
        <v>62</v>
      </c>
      <c r="J2558" s="16" t="s">
        <v>13488</v>
      </c>
      <c r="K2558" s="2" t="s">
        <v>2316</v>
      </c>
      <c r="L2558" s="8" t="s">
        <v>13489</v>
      </c>
      <c r="M2558" s="8" t="s">
        <v>27</v>
      </c>
      <c r="N2558" s="2" t="s">
        <v>13490</v>
      </c>
      <c r="O2558" s="8" t="s">
        <v>550</v>
      </c>
      <c r="P2558" s="8" t="s">
        <v>401</v>
      </c>
      <c r="Q2558" s="12" t="s">
        <v>13491</v>
      </c>
      <c r="R2558" s="8" t="s">
        <v>555</v>
      </c>
      <c r="S2558" s="7" t="s">
        <v>28</v>
      </c>
      <c r="T2558" s="6"/>
      <c r="U2558" s="8"/>
    </row>
    <row r="2559" spans="1:34" ht="13" customHeight="1">
      <c r="A2559" s="8" t="s">
        <v>13506</v>
      </c>
      <c r="B2559" s="16">
        <v>18</v>
      </c>
      <c r="C2559" s="8" t="s">
        <v>20</v>
      </c>
      <c r="D2559" s="8" t="s">
        <v>85</v>
      </c>
      <c r="F2559" s="17">
        <v>41572</v>
      </c>
      <c r="G2559" s="8" t="s">
        <v>13507</v>
      </c>
      <c r="H2559" s="8" t="s">
        <v>224</v>
      </c>
      <c r="I2559" s="8" t="s">
        <v>366</v>
      </c>
      <c r="J2559" s="16" t="s">
        <v>13508</v>
      </c>
      <c r="K2559" s="2" t="s">
        <v>8631</v>
      </c>
      <c r="L2559" s="8" t="s">
        <v>226</v>
      </c>
      <c r="M2559" s="8" t="s">
        <v>27</v>
      </c>
      <c r="N2559" s="2" t="s">
        <v>13509</v>
      </c>
      <c r="O2559" s="8" t="s">
        <v>550</v>
      </c>
      <c r="P2559" s="8" t="s">
        <v>401</v>
      </c>
      <c r="Q2559" s="12" t="s">
        <v>13510</v>
      </c>
      <c r="R2559" s="8" t="s">
        <v>100</v>
      </c>
      <c r="S2559" s="7" t="s">
        <v>28</v>
      </c>
      <c r="T2559" s="6"/>
      <c r="U2559" s="8"/>
      <c r="V2559" s="8"/>
      <c r="W2559" s="8"/>
      <c r="X2559" s="8"/>
    </row>
    <row r="2560" spans="1:34" ht="13" customHeight="1">
      <c r="A2560" s="8" t="s">
        <v>13511</v>
      </c>
      <c r="B2560" s="16">
        <v>20</v>
      </c>
      <c r="C2560" s="8" t="s">
        <v>20</v>
      </c>
      <c r="D2560" s="8" t="s">
        <v>85</v>
      </c>
      <c r="F2560" s="17">
        <v>41572</v>
      </c>
      <c r="G2560" s="8" t="s">
        <v>13512</v>
      </c>
      <c r="H2560" s="8" t="s">
        <v>224</v>
      </c>
      <c r="I2560" s="8" t="s">
        <v>366</v>
      </c>
      <c r="J2560" s="16" t="s">
        <v>13508</v>
      </c>
      <c r="K2560" s="2" t="s">
        <v>8631</v>
      </c>
      <c r="L2560" s="8" t="s">
        <v>226</v>
      </c>
      <c r="M2560" s="8" t="s">
        <v>27</v>
      </c>
      <c r="N2560" s="2" t="s">
        <v>13513</v>
      </c>
      <c r="O2560" s="8" t="s">
        <v>550</v>
      </c>
      <c r="P2560" s="8" t="s">
        <v>401</v>
      </c>
      <c r="Q2560" s="12" t="s">
        <v>13514</v>
      </c>
      <c r="R2560" s="8" t="s">
        <v>100</v>
      </c>
      <c r="S2560" s="7" t="s">
        <v>28</v>
      </c>
      <c r="T2560" s="6"/>
      <c r="U2560" s="8"/>
      <c r="V2560" s="8"/>
      <c r="W2560" s="8"/>
      <c r="X2560" s="8"/>
    </row>
    <row r="2561" spans="1:24" ht="13" customHeight="1">
      <c r="A2561" s="8" t="s">
        <v>13501</v>
      </c>
      <c r="B2561" s="16">
        <v>34</v>
      </c>
      <c r="C2561" s="8" t="s">
        <v>20</v>
      </c>
      <c r="D2561" s="8" t="s">
        <v>85</v>
      </c>
      <c r="F2561" s="17">
        <v>41572</v>
      </c>
      <c r="G2561" s="8" t="s">
        <v>13502</v>
      </c>
      <c r="H2561" s="8" t="s">
        <v>712</v>
      </c>
      <c r="I2561" s="8" t="s">
        <v>431</v>
      </c>
      <c r="J2561" s="16" t="s">
        <v>13503</v>
      </c>
      <c r="K2561" s="2" t="s">
        <v>712</v>
      </c>
      <c r="L2561" s="8" t="s">
        <v>4545</v>
      </c>
      <c r="M2561" s="8" t="s">
        <v>27</v>
      </c>
      <c r="N2561" s="2" t="s">
        <v>13504</v>
      </c>
      <c r="O2561" s="8" t="s">
        <v>1013</v>
      </c>
      <c r="P2561" s="8" t="s">
        <v>401</v>
      </c>
      <c r="Q2561" s="12" t="s">
        <v>13505</v>
      </c>
      <c r="R2561" s="8" t="s">
        <v>29</v>
      </c>
      <c r="S2561" s="7" t="s">
        <v>28</v>
      </c>
      <c r="T2561" s="6"/>
      <c r="U2561" s="8"/>
    </row>
    <row r="2562" spans="1:24" ht="13" customHeight="1">
      <c r="A2562" s="8" t="s">
        <v>13515</v>
      </c>
      <c r="B2562" s="16">
        <v>30</v>
      </c>
      <c r="C2562" s="8" t="s">
        <v>20</v>
      </c>
      <c r="D2562" s="8" t="s">
        <v>48</v>
      </c>
      <c r="F2562" s="17">
        <v>41572</v>
      </c>
      <c r="G2562" s="8" t="s">
        <v>13516</v>
      </c>
      <c r="H2562" s="8" t="s">
        <v>13517</v>
      </c>
      <c r="I2562" s="8" t="s">
        <v>117</v>
      </c>
      <c r="J2562" s="16" t="s">
        <v>13518</v>
      </c>
      <c r="K2562" s="2" t="s">
        <v>118</v>
      </c>
      <c r="L2562" s="8" t="s">
        <v>13519</v>
      </c>
      <c r="M2562" s="8" t="s">
        <v>27</v>
      </c>
      <c r="N2562" s="2" t="s">
        <v>13520</v>
      </c>
      <c r="O2562" s="8" t="s">
        <v>1013</v>
      </c>
      <c r="P2562" s="8" t="s">
        <v>401</v>
      </c>
      <c r="Q2562" s="12" t="s">
        <v>13521</v>
      </c>
      <c r="R2562" s="8" t="s">
        <v>100</v>
      </c>
      <c r="S2562" s="7" t="s">
        <v>28</v>
      </c>
      <c r="T2562" s="6"/>
      <c r="U2562" s="8"/>
    </row>
    <row r="2563" spans="1:24" ht="13" customHeight="1">
      <c r="A2563" s="8" t="s">
        <v>13522</v>
      </c>
      <c r="B2563" s="16">
        <v>39</v>
      </c>
      <c r="C2563" s="8" t="s">
        <v>20</v>
      </c>
      <c r="D2563" s="8" t="s">
        <v>48</v>
      </c>
      <c r="E2563" s="8" t="s">
        <v>13523</v>
      </c>
      <c r="F2563" s="17">
        <v>41572</v>
      </c>
      <c r="G2563" s="8" t="s">
        <v>13524</v>
      </c>
      <c r="H2563" s="8" t="s">
        <v>13525</v>
      </c>
      <c r="I2563" s="8" t="s">
        <v>45</v>
      </c>
      <c r="J2563" s="16" t="s">
        <v>13526</v>
      </c>
      <c r="K2563" s="2" t="s">
        <v>682</v>
      </c>
      <c r="L2563" s="8" t="s">
        <v>750</v>
      </c>
      <c r="M2563" s="8" t="s">
        <v>27</v>
      </c>
      <c r="N2563" s="2" t="s">
        <v>13527</v>
      </c>
      <c r="O2563" s="8" t="s">
        <v>29</v>
      </c>
      <c r="P2563" s="8" t="s">
        <v>401</v>
      </c>
      <c r="Q2563" s="12" t="s">
        <v>13528</v>
      </c>
      <c r="R2563" s="8" t="s">
        <v>100</v>
      </c>
      <c r="S2563" s="7" t="s">
        <v>28</v>
      </c>
      <c r="T2563" s="6"/>
      <c r="U2563" s="8"/>
    </row>
    <row r="2564" spans="1:24" ht="13" customHeight="1">
      <c r="A2564" s="8" t="s">
        <v>13536</v>
      </c>
      <c r="B2564" s="16">
        <v>43</v>
      </c>
      <c r="C2564" s="8" t="s">
        <v>114</v>
      </c>
      <c r="D2564" s="8" t="s">
        <v>30</v>
      </c>
      <c r="F2564" s="17">
        <v>41572</v>
      </c>
      <c r="G2564" s="8" t="s">
        <v>13537</v>
      </c>
      <c r="H2564" s="8" t="s">
        <v>3566</v>
      </c>
      <c r="I2564" s="8" t="s">
        <v>69</v>
      </c>
      <c r="J2564" s="16" t="s">
        <v>13538</v>
      </c>
      <c r="K2564" s="2" t="s">
        <v>1291</v>
      </c>
      <c r="L2564" s="8" t="s">
        <v>12628</v>
      </c>
      <c r="M2564" s="8" t="s">
        <v>27</v>
      </c>
      <c r="N2564" s="2" t="s">
        <v>13539</v>
      </c>
      <c r="O2564" s="8" t="s">
        <v>550</v>
      </c>
      <c r="P2564" s="8" t="s">
        <v>401</v>
      </c>
      <c r="Q2564" s="12" t="s">
        <v>13540</v>
      </c>
      <c r="R2564" s="8" t="s">
        <v>555</v>
      </c>
      <c r="S2564" s="7" t="s">
        <v>28</v>
      </c>
      <c r="T2564" s="6"/>
      <c r="U2564" s="8"/>
    </row>
    <row r="2565" spans="1:24" ht="13" customHeight="1">
      <c r="A2565" s="8" t="s">
        <v>13529</v>
      </c>
      <c r="B2565" s="16">
        <v>68</v>
      </c>
      <c r="C2565" s="8" t="s">
        <v>20</v>
      </c>
      <c r="D2565" s="8" t="s">
        <v>30</v>
      </c>
      <c r="F2565" s="17">
        <v>41572</v>
      </c>
      <c r="G2565" s="8" t="s">
        <v>13530</v>
      </c>
      <c r="H2565" s="8" t="s">
        <v>13531</v>
      </c>
      <c r="I2565" s="8" t="s">
        <v>62</v>
      </c>
      <c r="J2565" s="16" t="s">
        <v>13532</v>
      </c>
      <c r="K2565" s="2" t="s">
        <v>2316</v>
      </c>
      <c r="L2565" s="8" t="s">
        <v>13533</v>
      </c>
      <c r="M2565" s="8" t="s">
        <v>27</v>
      </c>
      <c r="N2565" s="2" t="s">
        <v>13534</v>
      </c>
      <c r="O2565" s="8" t="s">
        <v>1013</v>
      </c>
      <c r="P2565" s="8" t="s">
        <v>401</v>
      </c>
      <c r="Q2565" s="12" t="s">
        <v>13535</v>
      </c>
      <c r="R2565" s="8" t="s">
        <v>29</v>
      </c>
      <c r="S2565" s="7" t="s">
        <v>28</v>
      </c>
      <c r="T2565" s="6"/>
      <c r="U2565" s="8"/>
    </row>
    <row r="2566" spans="1:24" ht="13" customHeight="1">
      <c r="A2566" s="8" t="s">
        <v>13541</v>
      </c>
      <c r="B2566" s="16">
        <v>73</v>
      </c>
      <c r="C2566" s="8" t="s">
        <v>20</v>
      </c>
      <c r="D2566" s="8" t="s">
        <v>37</v>
      </c>
      <c r="E2566" s="8" t="s">
        <v>13542</v>
      </c>
      <c r="F2566" s="17">
        <v>41572</v>
      </c>
      <c r="G2566" s="8" t="s">
        <v>13543</v>
      </c>
      <c r="H2566" s="8" t="s">
        <v>13544</v>
      </c>
      <c r="I2566" s="8" t="s">
        <v>62</v>
      </c>
      <c r="J2566" s="16">
        <v>33036</v>
      </c>
      <c r="K2566" s="2" t="s">
        <v>1108</v>
      </c>
      <c r="L2566" s="8" t="s">
        <v>13545</v>
      </c>
      <c r="M2566" s="8" t="s">
        <v>27</v>
      </c>
      <c r="N2566" s="2" t="s">
        <v>13546</v>
      </c>
      <c r="O2566" s="8" t="s">
        <v>550</v>
      </c>
      <c r="P2566" s="8" t="s">
        <v>401</v>
      </c>
      <c r="Q2566" s="12" t="s">
        <v>13547</v>
      </c>
      <c r="R2566" s="8" t="s">
        <v>100</v>
      </c>
      <c r="S2566" s="7" t="s">
        <v>28</v>
      </c>
      <c r="T2566" s="6"/>
      <c r="U2566" s="8"/>
    </row>
    <row r="2567" spans="1:24" ht="13" customHeight="1">
      <c r="A2567" s="8" t="s">
        <v>13553</v>
      </c>
      <c r="B2567" s="16">
        <v>22</v>
      </c>
      <c r="C2567" s="8" t="s">
        <v>20</v>
      </c>
      <c r="D2567" s="8" t="s">
        <v>85</v>
      </c>
      <c r="E2567" s="8" t="s">
        <v>13554</v>
      </c>
      <c r="F2567" s="17">
        <v>41571</v>
      </c>
      <c r="G2567" s="8" t="s">
        <v>13555</v>
      </c>
      <c r="H2567" s="8" t="s">
        <v>726</v>
      </c>
      <c r="I2567" s="8" t="s">
        <v>73</v>
      </c>
      <c r="J2567" s="16">
        <v>77051</v>
      </c>
      <c r="K2567" s="2" t="s">
        <v>558</v>
      </c>
      <c r="L2567" s="8" t="s">
        <v>727</v>
      </c>
      <c r="M2567" s="8" t="s">
        <v>27</v>
      </c>
      <c r="N2567" s="2" t="s">
        <v>13556</v>
      </c>
      <c r="O2567" s="8" t="s">
        <v>29</v>
      </c>
      <c r="P2567" s="8" t="s">
        <v>401</v>
      </c>
      <c r="Q2567" s="12" t="s">
        <v>13557</v>
      </c>
      <c r="R2567" s="8" t="s">
        <v>100</v>
      </c>
      <c r="S2567" s="7" t="s">
        <v>28</v>
      </c>
      <c r="T2567" s="6"/>
      <c r="U2567" s="8"/>
    </row>
    <row r="2568" spans="1:24" ht="13" customHeight="1">
      <c r="A2568" s="8" t="s">
        <v>13548</v>
      </c>
      <c r="B2568" s="16">
        <v>60</v>
      </c>
      <c r="C2568" s="8" t="s">
        <v>114</v>
      </c>
      <c r="D2568" s="8" t="s">
        <v>85</v>
      </c>
      <c r="E2568" s="8" t="s">
        <v>13549</v>
      </c>
      <c r="F2568" s="17">
        <v>41571</v>
      </c>
      <c r="G2568" s="8" t="s">
        <v>13550</v>
      </c>
      <c r="H2568" s="8" t="s">
        <v>87</v>
      </c>
      <c r="I2568" s="8" t="s">
        <v>44</v>
      </c>
      <c r="J2568" s="16">
        <v>60628</v>
      </c>
      <c r="K2568" s="2" t="s">
        <v>88</v>
      </c>
      <c r="L2568" s="8" t="s">
        <v>89</v>
      </c>
      <c r="M2568" s="8" t="s">
        <v>27</v>
      </c>
      <c r="N2568" s="2" t="s">
        <v>13551</v>
      </c>
      <c r="O2568" s="8" t="s">
        <v>29</v>
      </c>
      <c r="P2568" s="8" t="s">
        <v>401</v>
      </c>
      <c r="Q2568" s="12" t="s">
        <v>13552</v>
      </c>
      <c r="R2568" s="8" t="s">
        <v>29</v>
      </c>
      <c r="S2568" s="7" t="s">
        <v>28</v>
      </c>
      <c r="T2568" s="6"/>
      <c r="U2568" s="8"/>
    </row>
    <row r="2569" spans="1:24" ht="13" customHeight="1">
      <c r="A2569" s="8" t="s">
        <v>13558</v>
      </c>
      <c r="B2569" s="16">
        <v>47</v>
      </c>
      <c r="C2569" s="8" t="s">
        <v>20</v>
      </c>
      <c r="D2569" s="8" t="s">
        <v>37</v>
      </c>
      <c r="E2569" s="8" t="s">
        <v>13559</v>
      </c>
      <c r="F2569" s="17">
        <v>41571</v>
      </c>
      <c r="G2569" s="8" t="s">
        <v>13560</v>
      </c>
      <c r="H2569" s="8" t="s">
        <v>1919</v>
      </c>
      <c r="I2569" s="8" t="s">
        <v>173</v>
      </c>
      <c r="J2569" s="16" t="s">
        <v>13561</v>
      </c>
      <c r="K2569" s="2" t="s">
        <v>1793</v>
      </c>
      <c r="L2569" s="8" t="s">
        <v>13562</v>
      </c>
      <c r="M2569" s="8" t="s">
        <v>27</v>
      </c>
      <c r="N2569" s="2" t="s">
        <v>13563</v>
      </c>
      <c r="O2569" s="8" t="s">
        <v>4714</v>
      </c>
      <c r="P2569" s="8" t="s">
        <v>401</v>
      </c>
      <c r="Q2569" s="12" t="s">
        <v>13564</v>
      </c>
      <c r="R2569" s="8" t="s">
        <v>100</v>
      </c>
      <c r="S2569" s="7" t="s">
        <v>18</v>
      </c>
      <c r="T2569" s="6"/>
      <c r="U2569" s="8"/>
    </row>
    <row r="2570" spans="1:24" ht="13" customHeight="1">
      <c r="A2570" s="8" t="s">
        <v>13565</v>
      </c>
      <c r="B2570" s="16">
        <v>32</v>
      </c>
      <c r="C2570" s="8" t="s">
        <v>20</v>
      </c>
      <c r="D2570" s="8" t="s">
        <v>37</v>
      </c>
      <c r="E2570" s="8" t="s">
        <v>13566</v>
      </c>
      <c r="F2570" s="17">
        <v>41571</v>
      </c>
      <c r="G2570" s="8" t="s">
        <v>13567</v>
      </c>
      <c r="H2570" s="8" t="s">
        <v>13568</v>
      </c>
      <c r="I2570" s="8" t="s">
        <v>45</v>
      </c>
      <c r="J2570" s="16" t="s">
        <v>13569</v>
      </c>
      <c r="K2570" s="2" t="s">
        <v>959</v>
      </c>
      <c r="L2570" s="8" t="s">
        <v>13570</v>
      </c>
      <c r="M2570" s="8" t="s">
        <v>27</v>
      </c>
      <c r="N2570" s="2" t="s">
        <v>21630</v>
      </c>
      <c r="O2570" s="8" t="s">
        <v>29</v>
      </c>
      <c r="P2570" s="8" t="s">
        <v>401</v>
      </c>
      <c r="Q2570" s="12" t="s">
        <v>13571</v>
      </c>
      <c r="R2570" s="8" t="s">
        <v>29</v>
      </c>
      <c r="S2570" s="7" t="s">
        <v>35</v>
      </c>
      <c r="T2570" s="6"/>
      <c r="U2570" s="8"/>
    </row>
    <row r="2571" spans="1:24" ht="13" customHeight="1">
      <c r="A2571" s="8" t="s">
        <v>13572</v>
      </c>
      <c r="B2571" s="16" t="s">
        <v>13573</v>
      </c>
      <c r="C2571" s="8" t="s">
        <v>20</v>
      </c>
      <c r="D2571" s="8" t="s">
        <v>30</v>
      </c>
      <c r="F2571" s="17">
        <v>41570</v>
      </c>
      <c r="G2571" s="8" t="s">
        <v>13574</v>
      </c>
      <c r="H2571" s="8" t="s">
        <v>13575</v>
      </c>
      <c r="I2571" s="8" t="s">
        <v>269</v>
      </c>
      <c r="J2571" s="16" t="s">
        <v>13576</v>
      </c>
      <c r="K2571" s="2" t="s">
        <v>5446</v>
      </c>
      <c r="L2571" s="8" t="s">
        <v>13577</v>
      </c>
      <c r="M2571" s="8" t="s">
        <v>27</v>
      </c>
      <c r="N2571" s="2" t="s">
        <v>13578</v>
      </c>
      <c r="O2571" s="8" t="s">
        <v>29</v>
      </c>
      <c r="P2571" s="8" t="s">
        <v>401</v>
      </c>
      <c r="Q2571" s="12" t="s">
        <v>13579</v>
      </c>
      <c r="R2571" s="8" t="s">
        <v>29</v>
      </c>
      <c r="S2571" s="7" t="s">
        <v>28</v>
      </c>
      <c r="T2571" s="6"/>
      <c r="U2571" s="8"/>
      <c r="V2571" s="13"/>
      <c r="W2571" s="13"/>
      <c r="X2571" s="13"/>
    </row>
    <row r="2572" spans="1:24" ht="13" customHeight="1">
      <c r="A2572" s="8" t="s">
        <v>13586</v>
      </c>
      <c r="B2572" s="16" t="s">
        <v>13587</v>
      </c>
      <c r="C2572" s="8" t="s">
        <v>20</v>
      </c>
      <c r="D2572" s="8" t="s">
        <v>37</v>
      </c>
      <c r="E2572" s="8" t="s">
        <v>13588</v>
      </c>
      <c r="F2572" s="17">
        <v>41570</v>
      </c>
      <c r="G2572" s="8" t="s">
        <v>13589</v>
      </c>
      <c r="H2572" s="8" t="s">
        <v>13590</v>
      </c>
      <c r="I2572" s="8" t="s">
        <v>133</v>
      </c>
      <c r="J2572" s="16" t="s">
        <v>13591</v>
      </c>
      <c r="K2572" s="2" t="s">
        <v>1075</v>
      </c>
      <c r="L2572" s="8" t="s">
        <v>13592</v>
      </c>
      <c r="M2572" s="8" t="s">
        <v>27</v>
      </c>
      <c r="N2572" s="2" t="s">
        <v>13593</v>
      </c>
      <c r="O2572" s="8" t="s">
        <v>550</v>
      </c>
      <c r="P2572" s="8" t="s">
        <v>401</v>
      </c>
      <c r="Q2572" s="12" t="s">
        <v>13594</v>
      </c>
      <c r="R2572" s="8" t="s">
        <v>100</v>
      </c>
      <c r="S2572" s="7" t="s">
        <v>28</v>
      </c>
      <c r="T2572" s="6"/>
      <c r="U2572" s="8"/>
    </row>
    <row r="2573" spans="1:24" ht="13" customHeight="1">
      <c r="A2573" s="8" t="s">
        <v>13580</v>
      </c>
      <c r="B2573" s="16">
        <v>28</v>
      </c>
      <c r="C2573" s="8" t="s">
        <v>20</v>
      </c>
      <c r="D2573" s="8" t="s">
        <v>37</v>
      </c>
      <c r="E2573" s="8" t="s">
        <v>13581</v>
      </c>
      <c r="F2573" s="17">
        <v>41570</v>
      </c>
      <c r="G2573" s="8" t="s">
        <v>13582</v>
      </c>
      <c r="H2573" s="8" t="s">
        <v>12588</v>
      </c>
      <c r="I2573" s="8" t="s">
        <v>41</v>
      </c>
      <c r="J2573" s="16" t="s">
        <v>13583</v>
      </c>
      <c r="K2573" s="2" t="s">
        <v>3622</v>
      </c>
      <c r="L2573" s="8" t="s">
        <v>43</v>
      </c>
      <c r="M2573" s="8" t="s">
        <v>27</v>
      </c>
      <c r="N2573" s="2" t="s">
        <v>13584</v>
      </c>
      <c r="O2573" s="8" t="s">
        <v>550</v>
      </c>
      <c r="P2573" s="8" t="s">
        <v>401</v>
      </c>
      <c r="Q2573" s="12" t="s">
        <v>13585</v>
      </c>
      <c r="R2573" s="8" t="s">
        <v>100</v>
      </c>
      <c r="S2573" s="7" t="s">
        <v>28</v>
      </c>
      <c r="T2573" s="6"/>
      <c r="U2573" s="8"/>
    </row>
    <row r="2574" spans="1:24" ht="13" customHeight="1">
      <c r="A2574" s="8" t="s">
        <v>13595</v>
      </c>
      <c r="B2574" s="16">
        <v>40</v>
      </c>
      <c r="C2574" s="8" t="s">
        <v>20</v>
      </c>
      <c r="D2574" s="8" t="s">
        <v>85</v>
      </c>
      <c r="F2574" s="17">
        <v>41569</v>
      </c>
      <c r="G2574" s="8" t="s">
        <v>13596</v>
      </c>
      <c r="H2574" s="8" t="s">
        <v>87</v>
      </c>
      <c r="I2574" s="8" t="s">
        <v>44</v>
      </c>
      <c r="J2574" s="16" t="s">
        <v>11713</v>
      </c>
      <c r="K2574" s="2" t="s">
        <v>88</v>
      </c>
      <c r="L2574" s="8" t="s">
        <v>89</v>
      </c>
      <c r="M2574" s="8" t="s">
        <v>27</v>
      </c>
      <c r="N2574" s="2" t="s">
        <v>13597</v>
      </c>
      <c r="O2574" s="8" t="s">
        <v>1013</v>
      </c>
      <c r="P2574" s="8" t="s">
        <v>401</v>
      </c>
      <c r="Q2574" s="12" t="s">
        <v>13598</v>
      </c>
      <c r="R2574" s="8" t="s">
        <v>100</v>
      </c>
      <c r="S2574" s="7" t="s">
        <v>28</v>
      </c>
      <c r="T2574" s="6"/>
      <c r="U2574" s="8"/>
    </row>
    <row r="2575" spans="1:24" ht="13" customHeight="1">
      <c r="A2575" s="8" t="s">
        <v>13605</v>
      </c>
      <c r="B2575" s="16">
        <v>13</v>
      </c>
      <c r="C2575" s="8" t="s">
        <v>20</v>
      </c>
      <c r="D2575" s="8" t="s">
        <v>48</v>
      </c>
      <c r="E2575" s="8" t="s">
        <v>13606</v>
      </c>
      <c r="F2575" s="17">
        <v>41569</v>
      </c>
      <c r="G2575" s="8" t="s">
        <v>13607</v>
      </c>
      <c r="H2575" s="8" t="s">
        <v>2990</v>
      </c>
      <c r="I2575" s="8" t="s">
        <v>45</v>
      </c>
      <c r="J2575" s="16" t="s">
        <v>13608</v>
      </c>
      <c r="K2575" s="2" t="s">
        <v>2680</v>
      </c>
      <c r="L2575" s="8" t="s">
        <v>13609</v>
      </c>
      <c r="M2575" s="8" t="s">
        <v>27</v>
      </c>
      <c r="N2575" s="2" t="s">
        <v>13610</v>
      </c>
      <c r="O2575" s="8" t="s">
        <v>29</v>
      </c>
      <c r="P2575" s="8" t="s">
        <v>401</v>
      </c>
      <c r="Q2575" s="12" t="s">
        <v>13611</v>
      </c>
      <c r="R2575" s="8" t="s">
        <v>100</v>
      </c>
      <c r="S2575" s="7" t="s">
        <v>18</v>
      </c>
      <c r="T2575" s="6"/>
      <c r="U2575" s="8"/>
    </row>
    <row r="2576" spans="1:24" ht="13" customHeight="1">
      <c r="A2576" s="8" t="s">
        <v>13599</v>
      </c>
      <c r="B2576" s="16">
        <v>25</v>
      </c>
      <c r="C2576" s="8" t="s">
        <v>20</v>
      </c>
      <c r="D2576" s="8" t="s">
        <v>48</v>
      </c>
      <c r="E2576" s="8" t="s">
        <v>13600</v>
      </c>
      <c r="F2576" s="17">
        <v>41569</v>
      </c>
      <c r="G2576" s="8" t="s">
        <v>13601</v>
      </c>
      <c r="H2576" s="8" t="s">
        <v>4660</v>
      </c>
      <c r="I2576" s="8" t="s">
        <v>45</v>
      </c>
      <c r="J2576" s="16" t="s">
        <v>13602</v>
      </c>
      <c r="K2576" s="2" t="s">
        <v>4661</v>
      </c>
      <c r="L2576" s="8" t="s">
        <v>13603</v>
      </c>
      <c r="M2576" s="8" t="s">
        <v>27</v>
      </c>
      <c r="N2576" s="2" t="s">
        <v>13604</v>
      </c>
      <c r="O2576" s="8" t="s">
        <v>550</v>
      </c>
      <c r="P2576" s="8" t="s">
        <v>401</v>
      </c>
      <c r="Q2576" s="59" t="str">
        <f>HYPERLINK("http://sfappeal.com/2013/10/sf-man-shot-to-death-by-san-mateo-police/","http://sfappeal.com/2013/10/sf-man-shot-to-death-by-san-mateo-police/")</f>
        <v>http://sfappeal.com/2013/10/sf-man-shot-to-death-by-san-mateo-police/</v>
      </c>
      <c r="R2576" s="8" t="s">
        <v>100</v>
      </c>
      <c r="S2576" s="7" t="s">
        <v>18</v>
      </c>
      <c r="T2576" s="6"/>
      <c r="U2576" s="8"/>
    </row>
    <row r="2577" spans="1:21" ht="13" customHeight="1">
      <c r="A2577" s="8" t="s">
        <v>13617</v>
      </c>
      <c r="B2577" s="16">
        <v>57</v>
      </c>
      <c r="C2577" s="8" t="s">
        <v>20</v>
      </c>
      <c r="D2577" s="8" t="s">
        <v>37</v>
      </c>
      <c r="E2577" s="8" t="s">
        <v>13618</v>
      </c>
      <c r="F2577" s="17">
        <v>41569</v>
      </c>
      <c r="G2577" s="8" t="s">
        <v>13619</v>
      </c>
      <c r="H2577" s="8" t="s">
        <v>1903</v>
      </c>
      <c r="I2577" s="8" t="s">
        <v>62</v>
      </c>
      <c r="J2577" s="16" t="s">
        <v>13620</v>
      </c>
      <c r="K2577" s="2" t="s">
        <v>1905</v>
      </c>
      <c r="L2577" s="8" t="s">
        <v>1906</v>
      </c>
      <c r="M2577" s="8" t="s">
        <v>27</v>
      </c>
      <c r="N2577" s="2" t="s">
        <v>13621</v>
      </c>
      <c r="O2577" s="8" t="s">
        <v>1013</v>
      </c>
      <c r="P2577" s="8" t="s">
        <v>401</v>
      </c>
      <c r="Q2577" s="12" t="s">
        <v>13622</v>
      </c>
      <c r="R2577" s="8" t="s">
        <v>100</v>
      </c>
      <c r="S2577" s="7" t="s">
        <v>28</v>
      </c>
      <c r="T2577" s="6"/>
      <c r="U2577" s="8"/>
    </row>
    <row r="2578" spans="1:21" ht="13" customHeight="1">
      <c r="A2578" s="8" t="s">
        <v>13612</v>
      </c>
      <c r="B2578" s="16">
        <v>32</v>
      </c>
      <c r="C2578" s="8" t="s">
        <v>20</v>
      </c>
      <c r="D2578" s="8" t="s">
        <v>37</v>
      </c>
      <c r="E2578" s="8" t="s">
        <v>13613</v>
      </c>
      <c r="F2578" s="17">
        <v>41569</v>
      </c>
      <c r="G2578" s="8" t="s">
        <v>13614</v>
      </c>
      <c r="H2578" s="8" t="s">
        <v>285</v>
      </c>
      <c r="I2578" s="8" t="s">
        <v>73</v>
      </c>
      <c r="J2578" s="16" t="s">
        <v>7606</v>
      </c>
      <c r="K2578" s="2" t="s">
        <v>285</v>
      </c>
      <c r="L2578" s="8" t="s">
        <v>286</v>
      </c>
      <c r="M2578" s="8" t="s">
        <v>14474</v>
      </c>
      <c r="N2578" s="2" t="s">
        <v>13615</v>
      </c>
      <c r="O2578" s="8" t="s">
        <v>1013</v>
      </c>
      <c r="P2578" s="8" t="s">
        <v>401</v>
      </c>
      <c r="Q2578" s="12" t="s">
        <v>13616</v>
      </c>
      <c r="S2578" s="7" t="s">
        <v>18</v>
      </c>
      <c r="T2578" s="6"/>
      <c r="U2578" s="8"/>
    </row>
    <row r="2579" spans="1:21" ht="13" customHeight="1">
      <c r="A2579" s="8" t="s">
        <v>13623</v>
      </c>
      <c r="B2579" s="16">
        <v>42</v>
      </c>
      <c r="C2579" s="8" t="s">
        <v>20</v>
      </c>
      <c r="D2579" s="8" t="s">
        <v>85</v>
      </c>
      <c r="E2579" s="8" t="s">
        <v>13624</v>
      </c>
      <c r="F2579" s="17">
        <v>41568</v>
      </c>
      <c r="G2579" s="8" t="s">
        <v>13625</v>
      </c>
      <c r="H2579" s="8" t="s">
        <v>12199</v>
      </c>
      <c r="I2579" s="8" t="s">
        <v>173</v>
      </c>
      <c r="J2579" s="16" t="s">
        <v>13626</v>
      </c>
      <c r="K2579" s="2" t="s">
        <v>5575</v>
      </c>
      <c r="L2579" s="8" t="s">
        <v>13627</v>
      </c>
      <c r="M2579" s="8" t="s">
        <v>27</v>
      </c>
      <c r="N2579" s="2" t="s">
        <v>13628</v>
      </c>
      <c r="O2579" s="8" t="s">
        <v>550</v>
      </c>
      <c r="P2579" s="8" t="s">
        <v>401</v>
      </c>
      <c r="Q2579" s="12" t="s">
        <v>13629</v>
      </c>
      <c r="R2579" s="8" t="s">
        <v>100</v>
      </c>
      <c r="S2579" s="7" t="s">
        <v>18</v>
      </c>
      <c r="T2579" s="6"/>
      <c r="U2579" s="8"/>
    </row>
    <row r="2580" spans="1:21" ht="13" customHeight="1">
      <c r="A2580" s="8" t="s">
        <v>13630</v>
      </c>
      <c r="B2580" s="16">
        <v>30</v>
      </c>
      <c r="C2580" s="8" t="s">
        <v>20</v>
      </c>
      <c r="D2580" s="8" t="s">
        <v>48</v>
      </c>
      <c r="E2580" s="8" t="s">
        <v>13631</v>
      </c>
      <c r="F2580" s="17">
        <v>41568</v>
      </c>
      <c r="G2580" s="8" t="s">
        <v>13632</v>
      </c>
      <c r="H2580" s="8" t="s">
        <v>934</v>
      </c>
      <c r="I2580" s="8" t="s">
        <v>195</v>
      </c>
      <c r="J2580" s="16" t="s">
        <v>13633</v>
      </c>
      <c r="K2580" s="2" t="s">
        <v>13634</v>
      </c>
      <c r="L2580" s="8" t="s">
        <v>3098</v>
      </c>
      <c r="M2580" s="8" t="s">
        <v>27</v>
      </c>
      <c r="N2580" s="2" t="s">
        <v>13635</v>
      </c>
      <c r="O2580" s="8" t="s">
        <v>1013</v>
      </c>
      <c r="P2580" s="8" t="s">
        <v>401</v>
      </c>
      <c r="Q2580" s="12" t="str">
        <f>HYPERLINK("http://www.koat.com/news/fatal-roswell-shootout-caught-on-camera/22577824","http://www.koat.com/news/fatal-roswell-shootout-caught-on-camera/22577824")</f>
        <v>http://www.koat.com/news/fatal-roswell-shootout-caught-on-camera/22577824</v>
      </c>
      <c r="R2580" s="8" t="s">
        <v>100</v>
      </c>
      <c r="S2580" s="7" t="s">
        <v>28</v>
      </c>
      <c r="T2580" s="6"/>
      <c r="U2580" s="8"/>
    </row>
    <row r="2581" spans="1:21" ht="13" customHeight="1">
      <c r="A2581" s="8" t="s">
        <v>13636</v>
      </c>
      <c r="B2581" s="16" t="s">
        <v>13637</v>
      </c>
      <c r="C2581" s="8" t="s">
        <v>20</v>
      </c>
      <c r="D2581" s="8" t="s">
        <v>48</v>
      </c>
      <c r="E2581" s="8" t="s">
        <v>13638</v>
      </c>
      <c r="F2581" s="17">
        <v>41568</v>
      </c>
      <c r="G2581" s="8" t="s">
        <v>13639</v>
      </c>
      <c r="H2581" s="8" t="s">
        <v>13640</v>
      </c>
      <c r="I2581" s="8" t="s">
        <v>45</v>
      </c>
      <c r="J2581" s="16" t="s">
        <v>13641</v>
      </c>
      <c r="K2581" s="2" t="s">
        <v>604</v>
      </c>
      <c r="L2581" s="8" t="s">
        <v>13642</v>
      </c>
      <c r="M2581" s="8" t="s">
        <v>27</v>
      </c>
      <c r="N2581" s="2" t="s">
        <v>13643</v>
      </c>
      <c r="O2581" s="8" t="s">
        <v>29</v>
      </c>
      <c r="P2581" s="8" t="s">
        <v>401</v>
      </c>
      <c r="Q2581" s="12" t="s">
        <v>13644</v>
      </c>
      <c r="R2581" s="8" t="s">
        <v>100</v>
      </c>
      <c r="S2581" s="7" t="s">
        <v>28</v>
      </c>
      <c r="T2581" s="6"/>
      <c r="U2581" s="8"/>
    </row>
    <row r="2582" spans="1:21" ht="13" customHeight="1">
      <c r="A2582" s="8" t="s">
        <v>13645</v>
      </c>
      <c r="B2582" s="16">
        <v>55</v>
      </c>
      <c r="C2582" s="8" t="s">
        <v>20</v>
      </c>
      <c r="D2582" s="8" t="s">
        <v>37</v>
      </c>
      <c r="E2582" s="8" t="s">
        <v>13646</v>
      </c>
      <c r="F2582" s="17">
        <v>41568</v>
      </c>
      <c r="G2582" s="8" t="s">
        <v>13647</v>
      </c>
      <c r="H2582" s="8" t="s">
        <v>13648</v>
      </c>
      <c r="I2582" s="8" t="s">
        <v>303</v>
      </c>
      <c r="J2582" s="16" t="s">
        <v>13649</v>
      </c>
      <c r="K2582" s="2" t="s">
        <v>2155</v>
      </c>
      <c r="L2582" s="8" t="s">
        <v>2157</v>
      </c>
      <c r="M2582" s="8" t="s">
        <v>379</v>
      </c>
      <c r="N2582" s="2" t="s">
        <v>13650</v>
      </c>
      <c r="O2582" s="8" t="s">
        <v>550</v>
      </c>
      <c r="P2582" s="8" t="s">
        <v>401</v>
      </c>
      <c r="Q2582" s="12" t="s">
        <v>13651</v>
      </c>
      <c r="R2582" s="8" t="s">
        <v>967</v>
      </c>
      <c r="S2582" s="7" t="s">
        <v>379</v>
      </c>
      <c r="T2582" s="6"/>
      <c r="U2582" s="8"/>
    </row>
    <row r="2583" spans="1:21" ht="13" customHeight="1">
      <c r="A2583" s="8" t="s">
        <v>13652</v>
      </c>
      <c r="B2583" s="16">
        <v>42</v>
      </c>
      <c r="C2583" s="8" t="s">
        <v>20</v>
      </c>
      <c r="D2583" s="8" t="s">
        <v>85</v>
      </c>
      <c r="F2583" s="17">
        <v>41567</v>
      </c>
      <c r="G2583" s="8" t="s">
        <v>13653</v>
      </c>
      <c r="H2583" s="8" t="s">
        <v>13654</v>
      </c>
      <c r="I2583" s="8" t="s">
        <v>671</v>
      </c>
      <c r="J2583" s="16" t="s">
        <v>13655</v>
      </c>
      <c r="K2583" s="2" t="s">
        <v>13656</v>
      </c>
      <c r="L2583" s="8" t="s">
        <v>13657</v>
      </c>
      <c r="M2583" s="8" t="s">
        <v>27</v>
      </c>
      <c r="N2583" s="2" t="s">
        <v>13658</v>
      </c>
      <c r="O2583" s="8" t="s">
        <v>1013</v>
      </c>
      <c r="P2583" s="8" t="s">
        <v>401</v>
      </c>
      <c r="Q2583" s="12" t="s">
        <v>13659</v>
      </c>
      <c r="R2583" s="8" t="s">
        <v>100</v>
      </c>
      <c r="S2583" s="7" t="s">
        <v>28</v>
      </c>
      <c r="T2583" s="6"/>
      <c r="U2583" s="8"/>
    </row>
    <row r="2584" spans="1:21" ht="13" customHeight="1">
      <c r="A2584" s="8" t="s">
        <v>13660</v>
      </c>
      <c r="B2584" s="16">
        <v>44</v>
      </c>
      <c r="C2584" s="8" t="s">
        <v>20</v>
      </c>
      <c r="D2584" s="8" t="s">
        <v>85</v>
      </c>
      <c r="F2584" s="17">
        <v>41567</v>
      </c>
      <c r="G2584" s="8" t="s">
        <v>13661</v>
      </c>
      <c r="H2584" s="8" t="s">
        <v>712</v>
      </c>
      <c r="I2584" s="8" t="s">
        <v>431</v>
      </c>
      <c r="J2584" s="16" t="s">
        <v>2810</v>
      </c>
      <c r="K2584" s="2" t="s">
        <v>712</v>
      </c>
      <c r="L2584" s="8" t="s">
        <v>13662</v>
      </c>
      <c r="M2584" s="8" t="s">
        <v>27</v>
      </c>
      <c r="N2584" s="2" t="s">
        <v>13663</v>
      </c>
      <c r="O2584" s="8" t="s">
        <v>615</v>
      </c>
      <c r="P2584" s="8" t="s">
        <v>401</v>
      </c>
      <c r="Q2584" s="12" t="s">
        <v>13664</v>
      </c>
      <c r="R2584" s="8" t="s">
        <v>100</v>
      </c>
      <c r="S2584" s="7" t="s">
        <v>28</v>
      </c>
      <c r="T2584" s="6"/>
      <c r="U2584" s="8"/>
    </row>
    <row r="2585" spans="1:21" ht="13" customHeight="1">
      <c r="A2585" s="8" t="s">
        <v>13665</v>
      </c>
      <c r="B2585" s="16">
        <v>41</v>
      </c>
      <c r="C2585" s="8" t="s">
        <v>20</v>
      </c>
      <c r="D2585" s="8" t="s">
        <v>37</v>
      </c>
      <c r="E2585" s="8" t="s">
        <v>13666</v>
      </c>
      <c r="F2585" s="17">
        <v>41567</v>
      </c>
      <c r="G2585" s="8" t="s">
        <v>13667</v>
      </c>
      <c r="H2585" s="8" t="s">
        <v>10806</v>
      </c>
      <c r="I2585" s="8" t="s">
        <v>62</v>
      </c>
      <c r="J2585" s="16" t="s">
        <v>13668</v>
      </c>
      <c r="K2585" s="2" t="s">
        <v>5354</v>
      </c>
      <c r="L2585" s="8" t="s">
        <v>13669</v>
      </c>
      <c r="M2585" s="8" t="s">
        <v>27</v>
      </c>
      <c r="N2585" s="2" t="s">
        <v>13670</v>
      </c>
      <c r="O2585" s="8" t="s">
        <v>29</v>
      </c>
      <c r="P2585" s="8" t="s">
        <v>401</v>
      </c>
      <c r="Q2585" s="12" t="s">
        <v>13671</v>
      </c>
      <c r="R2585" s="8" t="s">
        <v>100</v>
      </c>
      <c r="S2585" s="7" t="s">
        <v>28</v>
      </c>
      <c r="T2585" s="6"/>
      <c r="U2585" s="8"/>
    </row>
    <row r="2586" spans="1:21" ht="13" customHeight="1">
      <c r="A2586" s="8" t="s">
        <v>13672</v>
      </c>
      <c r="B2586" s="16">
        <v>53</v>
      </c>
      <c r="C2586" s="8" t="s">
        <v>20</v>
      </c>
      <c r="D2586" s="8" t="s">
        <v>37</v>
      </c>
      <c r="E2586" s="8" t="s">
        <v>13673</v>
      </c>
      <c r="F2586" s="17">
        <v>41567</v>
      </c>
      <c r="G2586" s="8" t="s">
        <v>13674</v>
      </c>
      <c r="H2586" s="8" t="s">
        <v>13675</v>
      </c>
      <c r="I2586" s="8" t="s">
        <v>45</v>
      </c>
      <c r="J2586" s="16" t="s">
        <v>13676</v>
      </c>
      <c r="K2586" s="2" t="s">
        <v>13677</v>
      </c>
      <c r="L2586" s="8" t="s">
        <v>13678</v>
      </c>
      <c r="M2586" s="8" t="s">
        <v>27</v>
      </c>
      <c r="N2586" s="2" t="s">
        <v>13679</v>
      </c>
      <c r="O2586" s="8" t="s">
        <v>550</v>
      </c>
      <c r="P2586" s="8" t="s">
        <v>401</v>
      </c>
      <c r="Q2586" s="12" t="s">
        <v>13680</v>
      </c>
      <c r="R2586" s="8" t="s">
        <v>555</v>
      </c>
      <c r="S2586" s="7" t="s">
        <v>28</v>
      </c>
      <c r="T2586" s="6"/>
      <c r="U2586" s="8"/>
    </row>
    <row r="2587" spans="1:21" ht="13" customHeight="1">
      <c r="A2587" s="8" t="s">
        <v>13681</v>
      </c>
      <c r="B2587" s="16">
        <v>24</v>
      </c>
      <c r="C2587" s="8" t="s">
        <v>20</v>
      </c>
      <c r="D2587" s="8" t="s">
        <v>85</v>
      </c>
      <c r="E2587" s="8" t="s">
        <v>13682</v>
      </c>
      <c r="F2587" s="17">
        <v>41566</v>
      </c>
      <c r="G2587" s="8" t="s">
        <v>13683</v>
      </c>
      <c r="H2587" s="8" t="s">
        <v>6002</v>
      </c>
      <c r="I2587" s="8" t="s">
        <v>69</v>
      </c>
      <c r="J2587" s="16" t="s">
        <v>13684</v>
      </c>
      <c r="K2587" s="2" t="s">
        <v>1265</v>
      </c>
      <c r="L2587" s="8" t="s">
        <v>13685</v>
      </c>
      <c r="M2587" s="8" t="s">
        <v>27</v>
      </c>
      <c r="N2587" s="2" t="s">
        <v>13686</v>
      </c>
      <c r="O2587" s="8" t="s">
        <v>1013</v>
      </c>
      <c r="P2587" s="8" t="s">
        <v>401</v>
      </c>
      <c r="Q2587" s="12" t="s">
        <v>13687</v>
      </c>
      <c r="R2587" s="8" t="s">
        <v>100</v>
      </c>
      <c r="S2587" s="7" t="s">
        <v>28</v>
      </c>
      <c r="T2587" s="6"/>
      <c r="U2587" s="8"/>
    </row>
    <row r="2588" spans="1:21" ht="13" customHeight="1">
      <c r="A2588" s="8" t="s">
        <v>13688</v>
      </c>
      <c r="B2588" s="16">
        <v>38</v>
      </c>
      <c r="C2588" s="8" t="s">
        <v>20</v>
      </c>
      <c r="D2588" s="8" t="s">
        <v>48</v>
      </c>
      <c r="F2588" s="17">
        <v>41566</v>
      </c>
      <c r="G2588" s="8" t="s">
        <v>13689</v>
      </c>
      <c r="H2588" s="8" t="s">
        <v>13690</v>
      </c>
      <c r="I2588" s="8" t="s">
        <v>45</v>
      </c>
      <c r="J2588" s="16" t="s">
        <v>11567</v>
      </c>
      <c r="K2588" s="2" t="s">
        <v>156</v>
      </c>
      <c r="L2588" s="8" t="s">
        <v>4762</v>
      </c>
      <c r="M2588" s="8" t="s">
        <v>27</v>
      </c>
      <c r="N2588" s="2" t="s">
        <v>13691</v>
      </c>
      <c r="O2588" s="8" t="s">
        <v>1013</v>
      </c>
      <c r="P2588" s="8" t="s">
        <v>401</v>
      </c>
      <c r="Q2588" s="12" t="s">
        <v>13692</v>
      </c>
      <c r="R2588" s="8" t="s">
        <v>100</v>
      </c>
      <c r="S2588" s="7" t="s">
        <v>379</v>
      </c>
      <c r="T2588" s="6"/>
      <c r="U2588" s="8"/>
    </row>
    <row r="2589" spans="1:21" ht="13" customHeight="1">
      <c r="A2589" s="8" t="s">
        <v>3267</v>
      </c>
      <c r="B2589" s="16" t="s">
        <v>29</v>
      </c>
      <c r="C2589" s="8" t="s">
        <v>20</v>
      </c>
      <c r="D2589" s="8" t="s">
        <v>30</v>
      </c>
      <c r="F2589" s="17">
        <v>41566</v>
      </c>
      <c r="G2589" s="8" t="s">
        <v>13693</v>
      </c>
      <c r="H2589" s="8" t="s">
        <v>156</v>
      </c>
      <c r="I2589" s="8" t="s">
        <v>45</v>
      </c>
      <c r="J2589" s="16" t="s">
        <v>11567</v>
      </c>
      <c r="K2589" s="2" t="s">
        <v>156</v>
      </c>
      <c r="L2589" s="8" t="s">
        <v>4762</v>
      </c>
      <c r="M2589" s="8" t="s">
        <v>27</v>
      </c>
      <c r="N2589" s="2" t="s">
        <v>13694</v>
      </c>
      <c r="O2589" s="8" t="s">
        <v>4714</v>
      </c>
      <c r="P2589" s="8" t="s">
        <v>401</v>
      </c>
      <c r="Q2589" s="12" t="s">
        <v>13692</v>
      </c>
      <c r="R2589" s="8" t="s">
        <v>100</v>
      </c>
      <c r="S2589" s="7" t="s">
        <v>379</v>
      </c>
      <c r="T2589" s="6"/>
      <c r="U2589" s="8"/>
    </row>
    <row r="2590" spans="1:21" ht="13" customHeight="1">
      <c r="A2590" s="8" t="s">
        <v>13695</v>
      </c>
      <c r="B2590" s="16">
        <v>33</v>
      </c>
      <c r="C2590" s="8" t="s">
        <v>20</v>
      </c>
      <c r="D2590" s="8" t="s">
        <v>85</v>
      </c>
      <c r="F2590" s="17">
        <v>41565</v>
      </c>
      <c r="G2590" s="8" t="s">
        <v>13696</v>
      </c>
      <c r="H2590" s="8" t="s">
        <v>51</v>
      </c>
      <c r="I2590" s="8" t="s">
        <v>32</v>
      </c>
      <c r="J2590" s="16" t="s">
        <v>13697</v>
      </c>
      <c r="K2590" s="2" t="s">
        <v>2599</v>
      </c>
      <c r="L2590" s="8" t="s">
        <v>11131</v>
      </c>
      <c r="M2590" s="8" t="s">
        <v>27</v>
      </c>
      <c r="N2590" s="2" t="s">
        <v>13698</v>
      </c>
      <c r="O2590" s="8" t="s">
        <v>4714</v>
      </c>
      <c r="P2590" s="8" t="s">
        <v>401</v>
      </c>
      <c r="Q2590" s="12" t="s">
        <v>13699</v>
      </c>
      <c r="R2590" s="8" t="s">
        <v>100</v>
      </c>
      <c r="S2590" s="7" t="s">
        <v>379</v>
      </c>
      <c r="T2590" s="6"/>
      <c r="U2590" s="8"/>
    </row>
    <row r="2591" spans="1:21" ht="13" customHeight="1">
      <c r="A2591" s="8" t="s">
        <v>13700</v>
      </c>
      <c r="B2591" s="16">
        <v>44</v>
      </c>
      <c r="C2591" s="8" t="s">
        <v>20</v>
      </c>
      <c r="D2591" s="8" t="s">
        <v>48</v>
      </c>
      <c r="F2591" s="17">
        <v>41565</v>
      </c>
      <c r="G2591" s="8" t="s">
        <v>13701</v>
      </c>
      <c r="H2591" s="8" t="s">
        <v>87</v>
      </c>
      <c r="I2591" s="8" t="s">
        <v>44</v>
      </c>
      <c r="J2591" s="16" t="s">
        <v>13702</v>
      </c>
      <c r="K2591" s="2" t="s">
        <v>88</v>
      </c>
      <c r="L2591" s="8" t="s">
        <v>89</v>
      </c>
      <c r="M2591" s="8" t="s">
        <v>27</v>
      </c>
      <c r="N2591" s="2" t="s">
        <v>13703</v>
      </c>
      <c r="O2591" s="8" t="s">
        <v>4714</v>
      </c>
      <c r="P2591" s="8" t="s">
        <v>401</v>
      </c>
      <c r="Q2591" s="12" t="s">
        <v>13704</v>
      </c>
      <c r="R2591" s="8" t="s">
        <v>100</v>
      </c>
      <c r="S2591" s="7" t="s">
        <v>28</v>
      </c>
      <c r="T2591" s="6"/>
      <c r="U2591" s="8"/>
    </row>
    <row r="2592" spans="1:21" ht="13" customHeight="1">
      <c r="A2592" s="8" t="s">
        <v>13705</v>
      </c>
      <c r="B2592" s="16">
        <v>25</v>
      </c>
      <c r="C2592" s="8" t="s">
        <v>20</v>
      </c>
      <c r="D2592" s="8" t="s">
        <v>37</v>
      </c>
      <c r="E2592" s="8" t="s">
        <v>13706</v>
      </c>
      <c r="F2592" s="17">
        <v>41565</v>
      </c>
      <c r="G2592" s="8" t="s">
        <v>13707</v>
      </c>
      <c r="H2592" s="8" t="s">
        <v>1750</v>
      </c>
      <c r="I2592" s="8" t="s">
        <v>45</v>
      </c>
      <c r="J2592" s="16" t="s">
        <v>1751</v>
      </c>
      <c r="K2592" s="2" t="s">
        <v>1166</v>
      </c>
      <c r="L2592" s="8" t="s">
        <v>1752</v>
      </c>
      <c r="M2592" s="8" t="s">
        <v>27</v>
      </c>
      <c r="N2592" s="2" t="s">
        <v>13708</v>
      </c>
      <c r="O2592" s="8" t="s">
        <v>1013</v>
      </c>
      <c r="P2592" s="8" t="s">
        <v>401</v>
      </c>
      <c r="Q2592" s="12" t="s">
        <v>13709</v>
      </c>
      <c r="R2592" s="8" t="s">
        <v>555</v>
      </c>
      <c r="S2592" s="7" t="s">
        <v>28</v>
      </c>
      <c r="T2592" s="6"/>
      <c r="U2592" s="8"/>
    </row>
    <row r="2593" spans="1:34" ht="13" customHeight="1">
      <c r="A2593" s="8" t="s">
        <v>13710</v>
      </c>
      <c r="B2593" s="16">
        <v>40</v>
      </c>
      <c r="C2593" s="8" t="s">
        <v>20</v>
      </c>
      <c r="D2593" s="8" t="s">
        <v>85</v>
      </c>
      <c r="F2593" s="17">
        <v>41564</v>
      </c>
      <c r="G2593" s="8" t="s">
        <v>13711</v>
      </c>
      <c r="H2593" s="8" t="s">
        <v>1596</v>
      </c>
      <c r="I2593" s="8" t="s">
        <v>52</v>
      </c>
      <c r="J2593" s="16" t="s">
        <v>12146</v>
      </c>
      <c r="K2593" s="2" t="s">
        <v>4727</v>
      </c>
      <c r="L2593" s="8" t="s">
        <v>2782</v>
      </c>
      <c r="M2593" s="8" t="s">
        <v>27</v>
      </c>
      <c r="N2593" s="2" t="s">
        <v>13712</v>
      </c>
      <c r="O2593" s="8" t="s">
        <v>13713</v>
      </c>
      <c r="P2593" s="8" t="s">
        <v>401</v>
      </c>
      <c r="Q2593" s="12" t="s">
        <v>13714</v>
      </c>
      <c r="R2593" s="8" t="s">
        <v>100</v>
      </c>
      <c r="S2593" s="7" t="s">
        <v>379</v>
      </c>
      <c r="T2593" s="6"/>
      <c r="U2593" s="8"/>
    </row>
    <row r="2594" spans="1:34" ht="13" customHeight="1">
      <c r="A2594" s="8" t="s">
        <v>13715</v>
      </c>
      <c r="B2594" s="16">
        <v>36</v>
      </c>
      <c r="C2594" s="8" t="s">
        <v>20</v>
      </c>
      <c r="D2594" s="8" t="s">
        <v>48</v>
      </c>
      <c r="F2594" s="17">
        <v>41564</v>
      </c>
      <c r="G2594" s="8" t="s">
        <v>13716</v>
      </c>
      <c r="H2594" s="8" t="s">
        <v>216</v>
      </c>
      <c r="I2594" s="8" t="s">
        <v>217</v>
      </c>
      <c r="J2594" s="16" t="s">
        <v>13717</v>
      </c>
      <c r="K2594" s="2" t="s">
        <v>420</v>
      </c>
      <c r="L2594" s="8" t="s">
        <v>13718</v>
      </c>
      <c r="M2594" s="8" t="s">
        <v>27</v>
      </c>
      <c r="N2594" s="2" t="s">
        <v>13719</v>
      </c>
      <c r="O2594" s="8" t="s">
        <v>4714</v>
      </c>
      <c r="P2594" s="8" t="s">
        <v>401</v>
      </c>
      <c r="Q2594" s="12" t="s">
        <v>13720</v>
      </c>
      <c r="R2594" s="8" t="s">
        <v>100</v>
      </c>
      <c r="S2594" s="7" t="s">
        <v>28</v>
      </c>
      <c r="T2594" s="6"/>
      <c r="U2594" s="8"/>
    </row>
    <row r="2595" spans="1:34" ht="13" customHeight="1">
      <c r="A2595" s="8" t="s">
        <v>13721</v>
      </c>
      <c r="B2595" s="16">
        <v>31</v>
      </c>
      <c r="C2595" s="8" t="s">
        <v>20</v>
      </c>
      <c r="D2595" s="8" t="s">
        <v>37</v>
      </c>
      <c r="E2595" s="8" t="s">
        <v>13722</v>
      </c>
      <c r="F2595" s="17">
        <v>41564</v>
      </c>
      <c r="G2595" s="8" t="s">
        <v>13723</v>
      </c>
      <c r="H2595" s="8" t="s">
        <v>2314</v>
      </c>
      <c r="I2595" s="8" t="s">
        <v>62</v>
      </c>
      <c r="J2595" s="16" t="s">
        <v>13724</v>
      </c>
      <c r="K2595" s="2" t="s">
        <v>2316</v>
      </c>
      <c r="L2595" s="8" t="s">
        <v>2317</v>
      </c>
      <c r="M2595" s="8" t="s">
        <v>27</v>
      </c>
      <c r="N2595" s="2" t="s">
        <v>13725</v>
      </c>
      <c r="O2595" s="8" t="s">
        <v>550</v>
      </c>
      <c r="P2595" s="8" t="s">
        <v>401</v>
      </c>
      <c r="Q2595" s="12" t="s">
        <v>13726</v>
      </c>
      <c r="R2595" s="8" t="s">
        <v>100</v>
      </c>
      <c r="S2595" s="7" t="s">
        <v>28</v>
      </c>
      <c r="T2595" s="6"/>
      <c r="U2595" s="8"/>
    </row>
    <row r="2596" spans="1:34" ht="13" customHeight="1">
      <c r="A2596" s="8" t="s">
        <v>13727</v>
      </c>
      <c r="B2596" s="16">
        <v>22</v>
      </c>
      <c r="C2596" s="8" t="s">
        <v>20</v>
      </c>
      <c r="D2596" s="8" t="s">
        <v>48</v>
      </c>
      <c r="F2596" s="17">
        <v>41563</v>
      </c>
      <c r="G2596" s="8" t="s">
        <v>13728</v>
      </c>
      <c r="H2596" s="8" t="s">
        <v>13729</v>
      </c>
      <c r="I2596" s="8" t="s">
        <v>303</v>
      </c>
      <c r="J2596" s="16" t="s">
        <v>13730</v>
      </c>
      <c r="K2596" s="2" t="s">
        <v>13731</v>
      </c>
      <c r="L2596" s="8" t="s">
        <v>13732</v>
      </c>
      <c r="M2596" s="8" t="s">
        <v>27</v>
      </c>
      <c r="N2596" s="2" t="s">
        <v>13733</v>
      </c>
      <c r="O2596" s="8" t="s">
        <v>550</v>
      </c>
      <c r="P2596" s="8" t="s">
        <v>401</v>
      </c>
      <c r="Q2596" s="12" t="s">
        <v>13734</v>
      </c>
      <c r="R2596" s="8" t="s">
        <v>100</v>
      </c>
      <c r="S2596" s="7" t="s">
        <v>28</v>
      </c>
      <c r="T2596" s="6"/>
      <c r="U2596" s="8"/>
      <c r="V2596" s="8"/>
      <c r="W2596" s="8"/>
      <c r="X2596" s="8"/>
    </row>
    <row r="2597" spans="1:34" ht="13" customHeight="1">
      <c r="A2597" s="8" t="s">
        <v>13735</v>
      </c>
      <c r="B2597" s="16">
        <v>37</v>
      </c>
      <c r="C2597" s="8" t="s">
        <v>20</v>
      </c>
      <c r="D2597" s="8" t="s">
        <v>30</v>
      </c>
      <c r="F2597" s="17">
        <v>41563</v>
      </c>
      <c r="G2597" s="8" t="s">
        <v>13736</v>
      </c>
      <c r="H2597" s="8" t="s">
        <v>2990</v>
      </c>
      <c r="I2597" s="8" t="s">
        <v>45</v>
      </c>
      <c r="J2597" s="16" t="s">
        <v>13737</v>
      </c>
      <c r="K2597" s="2" t="s">
        <v>2680</v>
      </c>
      <c r="L2597" s="8" t="s">
        <v>10712</v>
      </c>
      <c r="M2597" s="8" t="s">
        <v>3386</v>
      </c>
      <c r="N2597" s="2" t="s">
        <v>13738</v>
      </c>
      <c r="O2597" s="8" t="s">
        <v>4714</v>
      </c>
      <c r="P2597" s="8" t="s">
        <v>401</v>
      </c>
      <c r="Q2597" s="12" t="s">
        <v>13739</v>
      </c>
      <c r="R2597" s="8" t="s">
        <v>555</v>
      </c>
      <c r="S2597" s="7" t="s">
        <v>18</v>
      </c>
      <c r="T2597" s="6"/>
      <c r="U2597" s="8"/>
    </row>
    <row r="2598" spans="1:34" ht="13" customHeight="1">
      <c r="A2598" s="8" t="s">
        <v>13740</v>
      </c>
      <c r="B2598" s="16">
        <v>35</v>
      </c>
      <c r="C2598" s="8" t="s">
        <v>20</v>
      </c>
      <c r="D2598" s="8" t="s">
        <v>37</v>
      </c>
      <c r="E2598" s="8" t="s">
        <v>13741</v>
      </c>
      <c r="F2598" s="17">
        <v>41563</v>
      </c>
      <c r="G2598" s="8" t="s">
        <v>13742</v>
      </c>
      <c r="H2598" s="8" t="s">
        <v>7228</v>
      </c>
      <c r="I2598" s="8" t="s">
        <v>363</v>
      </c>
      <c r="J2598" s="16" t="s">
        <v>13743</v>
      </c>
      <c r="K2598" s="2" t="s">
        <v>13744</v>
      </c>
      <c r="L2598" s="8" t="s">
        <v>13745</v>
      </c>
      <c r="M2598" s="8" t="s">
        <v>27</v>
      </c>
      <c r="N2598" s="2" t="s">
        <v>13746</v>
      </c>
      <c r="O2598" s="8" t="s">
        <v>4714</v>
      </c>
      <c r="P2598" s="8" t="s">
        <v>401</v>
      </c>
      <c r="Q2598" s="12" t="s">
        <v>13747</v>
      </c>
      <c r="R2598" s="8" t="s">
        <v>555</v>
      </c>
      <c r="S2598" s="7" t="s">
        <v>28</v>
      </c>
      <c r="T2598" s="6"/>
      <c r="U2598" s="8"/>
    </row>
    <row r="2599" spans="1:34" ht="13" customHeight="1">
      <c r="A2599" s="8" t="s">
        <v>13748</v>
      </c>
      <c r="B2599" s="16" t="s">
        <v>8817</v>
      </c>
      <c r="C2599" s="8" t="s">
        <v>20</v>
      </c>
      <c r="D2599" s="8" t="s">
        <v>85</v>
      </c>
      <c r="E2599" s="8" t="s">
        <v>13749</v>
      </c>
      <c r="F2599" s="17">
        <v>41562</v>
      </c>
      <c r="G2599" s="8" t="s">
        <v>13750</v>
      </c>
      <c r="H2599" s="8" t="s">
        <v>13751</v>
      </c>
      <c r="I2599" s="8" t="s">
        <v>94</v>
      </c>
      <c r="J2599" s="16">
        <v>36027</v>
      </c>
      <c r="K2599" s="2" t="s">
        <v>13752</v>
      </c>
      <c r="L2599" s="8" t="s">
        <v>13753</v>
      </c>
      <c r="M2599" s="8" t="s">
        <v>27</v>
      </c>
      <c r="N2599" s="2" t="s">
        <v>21637</v>
      </c>
      <c r="O2599" s="8" t="s">
        <v>550</v>
      </c>
      <c r="P2599" s="8" t="s">
        <v>401</v>
      </c>
      <c r="Q2599" s="59" t="s">
        <v>21638</v>
      </c>
      <c r="R2599" s="8" t="s">
        <v>100</v>
      </c>
      <c r="S2599" s="7" t="s">
        <v>379</v>
      </c>
      <c r="T2599" s="6"/>
      <c r="U2599" s="8"/>
    </row>
    <row r="2600" spans="1:34" ht="13" customHeight="1">
      <c r="A2600" s="8" t="s">
        <v>13754</v>
      </c>
      <c r="B2600" s="16" t="s">
        <v>13755</v>
      </c>
      <c r="C2600" s="8" t="s">
        <v>20</v>
      </c>
      <c r="D2600" s="8" t="s">
        <v>85</v>
      </c>
      <c r="E2600" s="8" t="s">
        <v>13756</v>
      </c>
      <c r="F2600" s="17">
        <v>41562</v>
      </c>
      <c r="G2600" s="8" t="s">
        <v>13757</v>
      </c>
      <c r="H2600" s="8" t="s">
        <v>1195</v>
      </c>
      <c r="I2600" s="8" t="s">
        <v>319</v>
      </c>
      <c r="J2600" s="16">
        <v>38114</v>
      </c>
      <c r="K2600" s="2" t="s">
        <v>1196</v>
      </c>
      <c r="L2600" s="8" t="s">
        <v>1197</v>
      </c>
      <c r="M2600" s="8" t="s">
        <v>13758</v>
      </c>
      <c r="N2600" s="2" t="s">
        <v>13759</v>
      </c>
      <c r="O2600" s="8" t="s">
        <v>29</v>
      </c>
      <c r="P2600" s="8" t="s">
        <v>401</v>
      </c>
      <c r="Q2600" s="12" t="str">
        <f>HYPERLINK("http://www.myfoxmemphis.com/story/24329596/medical-examiner-rules-cause-of-death-aaron-dumas","http://www.myfoxmemphis.com/story/24329596/medical-examiner-rules-cause-of-death-aaron-dumas")</f>
        <v>http://www.myfoxmemphis.com/story/24329596/medical-examiner-rules-cause-of-death-aaron-dumas</v>
      </c>
      <c r="R2600" s="8" t="s">
        <v>100</v>
      </c>
      <c r="S2600" s="7" t="s">
        <v>28</v>
      </c>
      <c r="T2600" s="6"/>
      <c r="U2600" s="8"/>
    </row>
    <row r="2601" spans="1:34" ht="13" customHeight="1">
      <c r="A2601" s="8" t="s">
        <v>13760</v>
      </c>
      <c r="B2601" s="16">
        <v>58</v>
      </c>
      <c r="C2601" s="8" t="s">
        <v>20</v>
      </c>
      <c r="D2601" s="8" t="s">
        <v>37</v>
      </c>
      <c r="E2601" s="8" t="s">
        <v>13761</v>
      </c>
      <c r="F2601" s="17">
        <v>41562</v>
      </c>
      <c r="G2601" s="8" t="s">
        <v>13762</v>
      </c>
      <c r="H2601" s="8" t="s">
        <v>459</v>
      </c>
      <c r="I2601" s="8" t="s">
        <v>25</v>
      </c>
      <c r="J2601" s="16" t="s">
        <v>13763</v>
      </c>
      <c r="K2601" s="2" t="s">
        <v>5944</v>
      </c>
      <c r="L2601" s="8" t="s">
        <v>460</v>
      </c>
      <c r="M2601" s="8" t="s">
        <v>27</v>
      </c>
      <c r="N2601" s="2" t="s">
        <v>13764</v>
      </c>
      <c r="O2601" s="8" t="s">
        <v>550</v>
      </c>
      <c r="P2601" s="8" t="s">
        <v>401</v>
      </c>
      <c r="Q2601" s="12" t="s">
        <v>13765</v>
      </c>
      <c r="R2601" s="8" t="s">
        <v>967</v>
      </c>
      <c r="S2601" s="7" t="s">
        <v>28</v>
      </c>
      <c r="T2601" s="6"/>
      <c r="U2601" s="8"/>
    </row>
    <row r="2602" spans="1:34" ht="13" customHeight="1">
      <c r="A2602" s="8" t="s">
        <v>13781</v>
      </c>
      <c r="B2602" s="16">
        <v>22</v>
      </c>
      <c r="C2602" s="8" t="s">
        <v>20</v>
      </c>
      <c r="D2602" s="8" t="s">
        <v>37</v>
      </c>
      <c r="E2602" s="8" t="s">
        <v>13782</v>
      </c>
      <c r="F2602" s="17">
        <v>41561</v>
      </c>
      <c r="G2602" s="8" t="s">
        <v>13783</v>
      </c>
      <c r="H2602" s="8" t="s">
        <v>13784</v>
      </c>
      <c r="I2602" s="8" t="s">
        <v>143</v>
      </c>
      <c r="J2602" s="16" t="s">
        <v>13785</v>
      </c>
      <c r="K2602" s="2" t="s">
        <v>13786</v>
      </c>
      <c r="L2602" s="8" t="s">
        <v>13787</v>
      </c>
      <c r="M2602" s="8" t="s">
        <v>27</v>
      </c>
      <c r="N2602" s="2" t="s">
        <v>13788</v>
      </c>
      <c r="O2602" s="8" t="s">
        <v>29</v>
      </c>
      <c r="P2602" s="8" t="s">
        <v>401</v>
      </c>
      <c r="Q2602" s="12" t="s">
        <v>13789</v>
      </c>
      <c r="R2602" s="8" t="s">
        <v>555</v>
      </c>
      <c r="S2602" s="7" t="s">
        <v>28</v>
      </c>
      <c r="T2602" s="6"/>
      <c r="U2602" s="8"/>
    </row>
    <row r="2603" spans="1:34" ht="13" customHeight="1">
      <c r="A2603" s="8" t="s">
        <v>13766</v>
      </c>
      <c r="B2603" s="16">
        <v>24</v>
      </c>
      <c r="C2603" s="8" t="s">
        <v>20</v>
      </c>
      <c r="D2603" s="8" t="s">
        <v>37</v>
      </c>
      <c r="E2603" s="8" t="s">
        <v>13767</v>
      </c>
      <c r="F2603" s="17">
        <v>41561</v>
      </c>
      <c r="G2603" s="8" t="s">
        <v>13768</v>
      </c>
      <c r="H2603" s="8" t="s">
        <v>252</v>
      </c>
      <c r="I2603" s="8" t="s">
        <v>32</v>
      </c>
      <c r="J2603" s="16" t="s">
        <v>13769</v>
      </c>
      <c r="K2603" s="2" t="s">
        <v>252</v>
      </c>
      <c r="L2603" s="8" t="s">
        <v>5737</v>
      </c>
      <c r="M2603" s="8" t="s">
        <v>27</v>
      </c>
      <c r="N2603" s="2" t="s">
        <v>13770</v>
      </c>
      <c r="O2603" s="8" t="s">
        <v>1013</v>
      </c>
      <c r="P2603" s="8" t="s">
        <v>401</v>
      </c>
      <c r="Q2603" s="12" t="s">
        <v>13771</v>
      </c>
      <c r="R2603" s="8" t="s">
        <v>100</v>
      </c>
      <c r="S2603" s="7" t="s">
        <v>28</v>
      </c>
      <c r="T2603" s="6"/>
      <c r="U2603" s="8"/>
      <c r="Y2603" s="8"/>
      <c r="Z2603" s="8"/>
      <c r="AA2603" s="8"/>
      <c r="AB2603" s="8"/>
      <c r="AC2603" s="8"/>
      <c r="AD2603" s="8"/>
      <c r="AE2603" s="8"/>
      <c r="AF2603" s="8"/>
      <c r="AG2603" s="8"/>
      <c r="AH2603" s="8"/>
    </row>
    <row r="2604" spans="1:34" ht="13" customHeight="1">
      <c r="A2604" s="8" t="s">
        <v>13772</v>
      </c>
      <c r="B2604" s="16">
        <v>83</v>
      </c>
      <c r="C2604" s="8" t="s">
        <v>20</v>
      </c>
      <c r="D2604" s="8" t="s">
        <v>37</v>
      </c>
      <c r="E2604" s="8" t="s">
        <v>13773</v>
      </c>
      <c r="F2604" s="17">
        <v>41561</v>
      </c>
      <c r="G2604" s="8" t="s">
        <v>13774</v>
      </c>
      <c r="H2604" s="8" t="s">
        <v>13775</v>
      </c>
      <c r="I2604" s="8" t="s">
        <v>94</v>
      </c>
      <c r="J2604" s="16" t="s">
        <v>13776</v>
      </c>
      <c r="K2604" s="2" t="s">
        <v>13777</v>
      </c>
      <c r="L2604" s="8" t="s">
        <v>13778</v>
      </c>
      <c r="M2604" s="8" t="s">
        <v>27</v>
      </c>
      <c r="N2604" s="2" t="s">
        <v>13779</v>
      </c>
      <c r="O2604" s="8" t="s">
        <v>550</v>
      </c>
      <c r="P2604" s="8" t="s">
        <v>401</v>
      </c>
      <c r="Q2604" s="12" t="s">
        <v>13780</v>
      </c>
      <c r="R2604" s="8" t="s">
        <v>555</v>
      </c>
      <c r="S2604" s="7" t="s">
        <v>28</v>
      </c>
      <c r="T2604" s="6"/>
      <c r="U2604" s="8"/>
    </row>
    <row r="2605" spans="1:34" ht="13" customHeight="1">
      <c r="A2605" s="8" t="s">
        <v>13790</v>
      </c>
      <c r="B2605" s="16">
        <v>16</v>
      </c>
      <c r="C2605" s="8" t="s">
        <v>20</v>
      </c>
      <c r="D2605" s="8" t="s">
        <v>85</v>
      </c>
      <c r="E2605" s="8" t="s">
        <v>13791</v>
      </c>
      <c r="F2605" s="17">
        <v>41560</v>
      </c>
      <c r="G2605" s="8" t="s">
        <v>13792</v>
      </c>
      <c r="H2605" s="8" t="s">
        <v>5986</v>
      </c>
      <c r="I2605" s="8" t="s">
        <v>366</v>
      </c>
      <c r="J2605" s="16" t="s">
        <v>6457</v>
      </c>
      <c r="K2605" s="2" t="s">
        <v>3167</v>
      </c>
      <c r="L2605" s="8" t="s">
        <v>5988</v>
      </c>
      <c r="M2605" s="8" t="s">
        <v>27</v>
      </c>
      <c r="N2605" s="2" t="s">
        <v>13793</v>
      </c>
      <c r="O2605" s="8" t="s">
        <v>550</v>
      </c>
      <c r="P2605" s="8" t="s">
        <v>401</v>
      </c>
      <c r="Q2605" s="12" t="s">
        <v>13794</v>
      </c>
      <c r="R2605" s="8" t="s">
        <v>100</v>
      </c>
      <c r="S2605" s="7" t="s">
        <v>28</v>
      </c>
      <c r="T2605" s="6"/>
      <c r="U2605" s="8"/>
    </row>
    <row r="2606" spans="1:34" ht="13" customHeight="1">
      <c r="A2606" s="8" t="s">
        <v>13807</v>
      </c>
      <c r="B2606" s="16">
        <v>43</v>
      </c>
      <c r="C2606" s="8" t="s">
        <v>20</v>
      </c>
      <c r="D2606" s="8" t="s">
        <v>85</v>
      </c>
      <c r="E2606" s="8" t="s">
        <v>13808</v>
      </c>
      <c r="F2606" s="17">
        <v>41560</v>
      </c>
      <c r="G2606" s="8" t="s">
        <v>13809</v>
      </c>
      <c r="H2606" s="8" t="s">
        <v>2006</v>
      </c>
      <c r="I2606" s="8" t="s">
        <v>423</v>
      </c>
      <c r="J2606" s="16" t="s">
        <v>13810</v>
      </c>
      <c r="K2606" s="2" t="s">
        <v>1108</v>
      </c>
      <c r="L2606" s="8" t="s">
        <v>2019</v>
      </c>
      <c r="M2606" s="8" t="s">
        <v>27</v>
      </c>
      <c r="N2606" s="2" t="s">
        <v>13811</v>
      </c>
      <c r="O2606" s="8" t="s">
        <v>1013</v>
      </c>
      <c r="P2606" s="8" t="s">
        <v>401</v>
      </c>
      <c r="Q2606" s="12" t="s">
        <v>13812</v>
      </c>
      <c r="R2606" s="8" t="s">
        <v>100</v>
      </c>
      <c r="S2606" s="7" t="s">
        <v>28</v>
      </c>
      <c r="T2606" s="6"/>
      <c r="U2606" s="8"/>
    </row>
    <row r="2607" spans="1:34" ht="13" customHeight="1">
      <c r="A2607" s="8" t="s">
        <v>13803</v>
      </c>
      <c r="B2607" s="16">
        <v>30</v>
      </c>
      <c r="C2607" s="8" t="s">
        <v>20</v>
      </c>
      <c r="D2607" s="8" t="s">
        <v>85</v>
      </c>
      <c r="E2607" s="8" t="s">
        <v>13804</v>
      </c>
      <c r="F2607" s="17">
        <v>41560</v>
      </c>
      <c r="G2607" s="8" t="s">
        <v>13805</v>
      </c>
      <c r="H2607" s="8" t="s">
        <v>224</v>
      </c>
      <c r="I2607" s="8" t="s">
        <v>366</v>
      </c>
      <c r="J2607" s="16" t="s">
        <v>13508</v>
      </c>
      <c r="K2607" s="2" t="s">
        <v>8631</v>
      </c>
      <c r="L2607" s="8" t="s">
        <v>13806</v>
      </c>
      <c r="M2607" s="8" t="s">
        <v>27</v>
      </c>
      <c r="N2607" s="2" t="s">
        <v>21481</v>
      </c>
      <c r="O2607" s="8" t="s">
        <v>550</v>
      </c>
      <c r="P2607" s="8" t="s">
        <v>401</v>
      </c>
      <c r="Q2607" s="12" t="s">
        <v>21482</v>
      </c>
      <c r="R2607" s="8" t="s">
        <v>100</v>
      </c>
      <c r="S2607" s="7" t="s">
        <v>35</v>
      </c>
      <c r="T2607" s="6"/>
      <c r="U2607" s="8"/>
      <c r="V2607" s="8"/>
      <c r="W2607" s="8"/>
      <c r="X2607" s="8"/>
    </row>
    <row r="2608" spans="1:34" ht="13" customHeight="1">
      <c r="A2608" s="8" t="s">
        <v>13795</v>
      </c>
      <c r="B2608" s="16">
        <v>32</v>
      </c>
      <c r="C2608" s="8" t="s">
        <v>20</v>
      </c>
      <c r="D2608" s="8" t="s">
        <v>85</v>
      </c>
      <c r="E2608" s="8" t="s">
        <v>13796</v>
      </c>
      <c r="F2608" s="17">
        <v>41560</v>
      </c>
      <c r="G2608" s="8" t="s">
        <v>13797</v>
      </c>
      <c r="H2608" s="8" t="s">
        <v>13798</v>
      </c>
      <c r="I2608" s="8" t="s">
        <v>69</v>
      </c>
      <c r="J2608" s="16" t="s">
        <v>13799</v>
      </c>
      <c r="K2608" s="2" t="s">
        <v>13798</v>
      </c>
      <c r="L2608" s="8" t="s">
        <v>13800</v>
      </c>
      <c r="M2608" s="8" t="s">
        <v>391</v>
      </c>
      <c r="N2608" s="2" t="s">
        <v>13801</v>
      </c>
      <c r="O2608" s="8" t="s">
        <v>1013</v>
      </c>
      <c r="P2608" s="8" t="s">
        <v>401</v>
      </c>
      <c r="Q2608" s="12" t="s">
        <v>13802</v>
      </c>
      <c r="R2608" s="8" t="s">
        <v>100</v>
      </c>
      <c r="S2608" s="7" t="s">
        <v>18</v>
      </c>
      <c r="T2608" s="6"/>
      <c r="U2608" s="8"/>
    </row>
    <row r="2609" spans="1:34" ht="13" customHeight="1">
      <c r="A2609" s="8" t="s">
        <v>13818</v>
      </c>
      <c r="B2609" s="16">
        <v>26</v>
      </c>
      <c r="C2609" s="8" t="s">
        <v>20</v>
      </c>
      <c r="D2609" s="8" t="s">
        <v>48</v>
      </c>
      <c r="E2609" s="8" t="s">
        <v>13819</v>
      </c>
      <c r="F2609" s="17">
        <v>41560</v>
      </c>
      <c r="G2609" s="8" t="s">
        <v>13820</v>
      </c>
      <c r="H2609" s="8" t="s">
        <v>13821</v>
      </c>
      <c r="I2609" s="8" t="s">
        <v>404</v>
      </c>
      <c r="J2609" s="16" t="s">
        <v>13822</v>
      </c>
      <c r="K2609" s="2" t="s">
        <v>815</v>
      </c>
      <c r="L2609" s="8" t="s">
        <v>13823</v>
      </c>
      <c r="M2609" s="8" t="s">
        <v>27</v>
      </c>
      <c r="N2609" s="2" t="s">
        <v>13824</v>
      </c>
      <c r="O2609" s="8" t="s">
        <v>550</v>
      </c>
      <c r="P2609" s="8" t="s">
        <v>401</v>
      </c>
      <c r="Q2609" s="12" t="s">
        <v>13825</v>
      </c>
      <c r="R2609" s="8" t="s">
        <v>100</v>
      </c>
      <c r="S2609" s="7" t="s">
        <v>35</v>
      </c>
      <c r="T2609" s="6"/>
      <c r="U2609" s="8"/>
    </row>
    <row r="2610" spans="1:34" ht="13" customHeight="1">
      <c r="A2610" s="8" t="s">
        <v>13813</v>
      </c>
      <c r="B2610" s="16">
        <v>36</v>
      </c>
      <c r="C2610" s="8" t="s">
        <v>20</v>
      </c>
      <c r="D2610" s="8" t="s">
        <v>48</v>
      </c>
      <c r="E2610" s="8" t="s">
        <v>13814</v>
      </c>
      <c r="F2610" s="17">
        <v>41560</v>
      </c>
      <c r="G2610" s="8" t="s">
        <v>13815</v>
      </c>
      <c r="H2610" s="8" t="s">
        <v>860</v>
      </c>
      <c r="I2610" s="8" t="s">
        <v>73</v>
      </c>
      <c r="J2610" s="16" t="s">
        <v>13816</v>
      </c>
      <c r="K2610" s="2" t="s">
        <v>860</v>
      </c>
      <c r="L2610" s="8" t="s">
        <v>861</v>
      </c>
      <c r="M2610" s="8" t="s">
        <v>3386</v>
      </c>
      <c r="N2610" s="2" t="s">
        <v>13817</v>
      </c>
      <c r="O2610" s="8" t="s">
        <v>3400</v>
      </c>
      <c r="P2610" s="8" t="s">
        <v>401</v>
      </c>
      <c r="Q2610" s="12" t="s">
        <v>21483</v>
      </c>
      <c r="R2610" s="8" t="s">
        <v>967</v>
      </c>
      <c r="S2610" s="7" t="s">
        <v>18</v>
      </c>
      <c r="T2610" s="6"/>
      <c r="U2610" s="8"/>
    </row>
    <row r="2611" spans="1:34" ht="13" customHeight="1">
      <c r="A2611" s="8" t="s">
        <v>13840</v>
      </c>
      <c r="B2611" s="16" t="s">
        <v>13841</v>
      </c>
      <c r="C2611" s="8" t="s">
        <v>114</v>
      </c>
      <c r="D2611" s="8" t="s">
        <v>37</v>
      </c>
      <c r="F2611" s="17">
        <v>41560</v>
      </c>
      <c r="G2611" s="8" t="s">
        <v>13842</v>
      </c>
      <c r="H2611" s="8" t="s">
        <v>13843</v>
      </c>
      <c r="I2611" s="8" t="s">
        <v>269</v>
      </c>
      <c r="J2611" s="16" t="s">
        <v>13844</v>
      </c>
      <c r="K2611" s="2" t="s">
        <v>6283</v>
      </c>
      <c r="L2611" s="8" t="s">
        <v>13845</v>
      </c>
      <c r="M2611" s="8" t="s">
        <v>27</v>
      </c>
      <c r="N2611" s="2" t="s">
        <v>13846</v>
      </c>
      <c r="O2611" s="8" t="s">
        <v>29</v>
      </c>
      <c r="P2611" s="8" t="s">
        <v>401</v>
      </c>
      <c r="Q2611" s="12" t="s">
        <v>13847</v>
      </c>
      <c r="R2611" s="8" t="s">
        <v>555</v>
      </c>
      <c r="S2611" s="7" t="s">
        <v>28</v>
      </c>
      <c r="T2611" s="6"/>
      <c r="U2611" s="8"/>
    </row>
    <row r="2612" spans="1:34" ht="13" customHeight="1">
      <c r="A2612" s="8" t="s">
        <v>13832</v>
      </c>
      <c r="B2612" s="16">
        <v>59</v>
      </c>
      <c r="C2612" s="8" t="s">
        <v>20</v>
      </c>
      <c r="D2612" s="8" t="s">
        <v>37</v>
      </c>
      <c r="E2612" s="8" t="s">
        <v>13833</v>
      </c>
      <c r="F2612" s="17">
        <v>41560</v>
      </c>
      <c r="G2612" s="8" t="s">
        <v>13834</v>
      </c>
      <c r="H2612" s="8" t="s">
        <v>13835</v>
      </c>
      <c r="I2612" s="8" t="s">
        <v>315</v>
      </c>
      <c r="J2612" s="16" t="s">
        <v>13836</v>
      </c>
      <c r="K2612" s="2" t="s">
        <v>13837</v>
      </c>
      <c r="L2612" s="8" t="s">
        <v>3385</v>
      </c>
      <c r="M2612" s="8" t="s">
        <v>27</v>
      </c>
      <c r="N2612" s="2" t="s">
        <v>13838</v>
      </c>
      <c r="O2612" s="8" t="s">
        <v>1013</v>
      </c>
      <c r="P2612" s="8" t="s">
        <v>401</v>
      </c>
      <c r="Q2612" s="12" t="s">
        <v>13839</v>
      </c>
      <c r="R2612" s="8" t="s">
        <v>555</v>
      </c>
      <c r="S2612" s="7" t="s">
        <v>18</v>
      </c>
      <c r="T2612" s="6"/>
      <c r="U2612" s="8"/>
    </row>
    <row r="2613" spans="1:34" ht="13" customHeight="1">
      <c r="A2613" s="8" t="s">
        <v>13826</v>
      </c>
      <c r="B2613" s="16">
        <v>31</v>
      </c>
      <c r="C2613" s="8" t="s">
        <v>20</v>
      </c>
      <c r="D2613" s="8" t="s">
        <v>37</v>
      </c>
      <c r="E2613" s="8" t="s">
        <v>13827</v>
      </c>
      <c r="F2613" s="17">
        <v>41560</v>
      </c>
      <c r="G2613" s="8" t="s">
        <v>13828</v>
      </c>
      <c r="H2613" s="8" t="s">
        <v>4782</v>
      </c>
      <c r="I2613" s="8" t="s">
        <v>32</v>
      </c>
      <c r="J2613" s="16" t="s">
        <v>13829</v>
      </c>
      <c r="K2613" s="2" t="s">
        <v>252</v>
      </c>
      <c r="L2613" s="8" t="s">
        <v>5737</v>
      </c>
      <c r="M2613" s="8" t="s">
        <v>3386</v>
      </c>
      <c r="N2613" s="2" t="s">
        <v>13830</v>
      </c>
      <c r="O2613" s="8" t="s">
        <v>1013</v>
      </c>
      <c r="P2613" s="8" t="s">
        <v>401</v>
      </c>
      <c r="Q2613" s="12" t="s">
        <v>13831</v>
      </c>
      <c r="R2613" s="8" t="s">
        <v>967</v>
      </c>
      <c r="S2613" s="7" t="s">
        <v>18</v>
      </c>
      <c r="T2613" s="6"/>
      <c r="U2613" s="8"/>
      <c r="Y2613" s="8"/>
      <c r="Z2613" s="8"/>
      <c r="AA2613" s="8"/>
      <c r="AB2613" s="8"/>
      <c r="AC2613" s="8"/>
      <c r="AD2613" s="8"/>
      <c r="AE2613" s="8"/>
      <c r="AF2613" s="8"/>
      <c r="AG2613" s="8"/>
      <c r="AH2613" s="8"/>
    </row>
    <row r="2614" spans="1:34" ht="13" customHeight="1">
      <c r="A2614" s="8" t="s">
        <v>13848</v>
      </c>
      <c r="B2614" s="16">
        <v>60</v>
      </c>
      <c r="C2614" s="8" t="s">
        <v>20</v>
      </c>
      <c r="D2614" s="8" t="s">
        <v>37</v>
      </c>
      <c r="E2614" s="8" t="s">
        <v>13849</v>
      </c>
      <c r="F2614" s="17">
        <v>41559</v>
      </c>
      <c r="G2614" s="8" t="s">
        <v>13850</v>
      </c>
      <c r="H2614" s="8" t="s">
        <v>13851</v>
      </c>
      <c r="I2614" s="8" t="s">
        <v>423</v>
      </c>
      <c r="J2614" s="16" t="s">
        <v>13852</v>
      </c>
      <c r="K2614" s="2" t="s">
        <v>1703</v>
      </c>
      <c r="L2614" s="8" t="s">
        <v>3370</v>
      </c>
      <c r="M2614" s="8" t="s">
        <v>3386</v>
      </c>
      <c r="N2614" s="2" t="s">
        <v>21484</v>
      </c>
      <c r="O2614" s="8" t="s">
        <v>1013</v>
      </c>
      <c r="P2614" s="8" t="s">
        <v>401</v>
      </c>
      <c r="Q2614" s="12" t="s">
        <v>13853</v>
      </c>
      <c r="R2614" s="8" t="s">
        <v>100</v>
      </c>
      <c r="S2614" s="7" t="s">
        <v>18</v>
      </c>
      <c r="T2614" s="6"/>
      <c r="U2614" s="8"/>
    </row>
    <row r="2615" spans="1:34" ht="13" customHeight="1">
      <c r="A2615" s="8" t="s">
        <v>13854</v>
      </c>
      <c r="B2615" s="16">
        <v>21</v>
      </c>
      <c r="C2615" s="8" t="s">
        <v>20</v>
      </c>
      <c r="D2615" s="8" t="s">
        <v>30</v>
      </c>
      <c r="F2615" s="17">
        <v>41558</v>
      </c>
      <c r="G2615" s="8" t="s">
        <v>13855</v>
      </c>
      <c r="H2615" s="8" t="s">
        <v>4046</v>
      </c>
      <c r="I2615" s="8" t="s">
        <v>62</v>
      </c>
      <c r="J2615" s="16" t="s">
        <v>13856</v>
      </c>
      <c r="K2615" s="2" t="s">
        <v>1867</v>
      </c>
      <c r="L2615" s="8" t="s">
        <v>13857</v>
      </c>
      <c r="M2615" s="8" t="s">
        <v>27</v>
      </c>
      <c r="N2615" s="2" t="s">
        <v>13858</v>
      </c>
      <c r="O2615" s="8" t="s">
        <v>1013</v>
      </c>
      <c r="P2615" s="8" t="s">
        <v>401</v>
      </c>
      <c r="Q2615" s="12" t="s">
        <v>13859</v>
      </c>
      <c r="R2615" s="8" t="s">
        <v>555</v>
      </c>
      <c r="S2615" s="7" t="s">
        <v>28</v>
      </c>
      <c r="T2615" s="6"/>
      <c r="U2615" s="8"/>
    </row>
    <row r="2616" spans="1:34" ht="13" customHeight="1">
      <c r="A2616" s="8" t="s">
        <v>13860</v>
      </c>
      <c r="B2616" s="16">
        <v>40</v>
      </c>
      <c r="C2616" s="8" t="s">
        <v>20</v>
      </c>
      <c r="D2616" s="8" t="s">
        <v>37</v>
      </c>
      <c r="E2616" s="8" t="s">
        <v>13861</v>
      </c>
      <c r="F2616" s="17">
        <v>41558</v>
      </c>
      <c r="G2616" s="8" t="s">
        <v>13862</v>
      </c>
      <c r="H2616" s="8" t="s">
        <v>13863</v>
      </c>
      <c r="I2616" s="8" t="s">
        <v>431</v>
      </c>
      <c r="J2616" s="16" t="s">
        <v>13864</v>
      </c>
      <c r="K2616" s="2" t="s">
        <v>1781</v>
      </c>
      <c r="L2616" s="8" t="s">
        <v>1693</v>
      </c>
      <c r="M2616" s="8" t="s">
        <v>27</v>
      </c>
      <c r="N2616" s="2" t="s">
        <v>13865</v>
      </c>
      <c r="O2616" s="8" t="s">
        <v>550</v>
      </c>
      <c r="P2616" s="8" t="s">
        <v>401</v>
      </c>
      <c r="Q2616" s="12" t="s">
        <v>13866</v>
      </c>
      <c r="R2616" s="8" t="s">
        <v>100</v>
      </c>
      <c r="S2616" s="7" t="s">
        <v>28</v>
      </c>
      <c r="T2616" s="6"/>
      <c r="U2616" s="8"/>
    </row>
    <row r="2617" spans="1:34" ht="13" customHeight="1">
      <c r="A2617" s="8" t="s">
        <v>13873</v>
      </c>
      <c r="B2617" s="16">
        <v>47</v>
      </c>
      <c r="C2617" s="8" t="s">
        <v>20</v>
      </c>
      <c r="D2617" s="8" t="s">
        <v>37</v>
      </c>
      <c r="E2617" s="8" t="s">
        <v>13874</v>
      </c>
      <c r="F2617" s="17">
        <v>41558</v>
      </c>
      <c r="G2617" s="8" t="s">
        <v>13875</v>
      </c>
      <c r="H2617" s="8" t="s">
        <v>6607</v>
      </c>
      <c r="I2617" s="8" t="s">
        <v>319</v>
      </c>
      <c r="J2617" s="16" t="s">
        <v>9616</v>
      </c>
      <c r="K2617" s="2" t="s">
        <v>2923</v>
      </c>
      <c r="L2617" s="8" t="s">
        <v>13876</v>
      </c>
      <c r="M2617" s="8" t="s">
        <v>27</v>
      </c>
      <c r="N2617" s="2" t="s">
        <v>13877</v>
      </c>
      <c r="O2617" s="8" t="s">
        <v>550</v>
      </c>
      <c r="P2617" s="8" t="s">
        <v>401</v>
      </c>
      <c r="Q2617" s="12" t="s">
        <v>13878</v>
      </c>
      <c r="R2617" s="8" t="s">
        <v>100</v>
      </c>
      <c r="S2617" s="7" t="s">
        <v>379</v>
      </c>
      <c r="T2617" s="6"/>
      <c r="U2617" s="8"/>
    </row>
    <row r="2618" spans="1:34" ht="13" customHeight="1">
      <c r="A2618" s="8" t="s">
        <v>13867</v>
      </c>
      <c r="B2618" s="16">
        <v>41</v>
      </c>
      <c r="C2618" s="8" t="s">
        <v>20</v>
      </c>
      <c r="D2618" s="8" t="s">
        <v>37</v>
      </c>
      <c r="E2618" s="8" t="s">
        <v>13868</v>
      </c>
      <c r="F2618" s="17">
        <v>41558</v>
      </c>
      <c r="G2618" s="8" t="s">
        <v>13869</v>
      </c>
      <c r="H2618" s="8" t="s">
        <v>1222</v>
      </c>
      <c r="I2618" s="8" t="s">
        <v>45</v>
      </c>
      <c r="J2618" s="16" t="s">
        <v>13870</v>
      </c>
      <c r="K2618" s="2" t="s">
        <v>786</v>
      </c>
      <c r="L2618" s="8" t="s">
        <v>1223</v>
      </c>
      <c r="M2618" s="8" t="s">
        <v>21655</v>
      </c>
      <c r="N2618" s="2" t="s">
        <v>13871</v>
      </c>
      <c r="O2618" s="8" t="s">
        <v>1013</v>
      </c>
      <c r="P2618" s="8" t="s">
        <v>401</v>
      </c>
      <c r="Q2618" s="12" t="s">
        <v>13872</v>
      </c>
      <c r="R2618" s="8" t="s">
        <v>967</v>
      </c>
      <c r="S2618" s="7" t="s">
        <v>18</v>
      </c>
      <c r="T2618" s="6"/>
      <c r="U2618" s="8"/>
    </row>
    <row r="2619" spans="1:34" ht="13" customHeight="1">
      <c r="A2619" s="8" t="s">
        <v>13888</v>
      </c>
      <c r="B2619" s="16">
        <v>28</v>
      </c>
      <c r="C2619" s="8" t="s">
        <v>20</v>
      </c>
      <c r="D2619" s="8" t="s">
        <v>37</v>
      </c>
      <c r="F2619" s="17">
        <v>41556</v>
      </c>
      <c r="G2619" s="8" t="s">
        <v>13889</v>
      </c>
      <c r="H2619" s="8" t="s">
        <v>13890</v>
      </c>
      <c r="I2619" s="8" t="s">
        <v>4399</v>
      </c>
      <c r="J2619" s="16" t="s">
        <v>13891</v>
      </c>
      <c r="K2619" s="2" t="s">
        <v>7029</v>
      </c>
      <c r="L2619" s="8" t="s">
        <v>4402</v>
      </c>
      <c r="M2619" s="8" t="s">
        <v>27</v>
      </c>
      <c r="N2619" s="2" t="s">
        <v>13892</v>
      </c>
      <c r="O2619" s="8" t="s">
        <v>550</v>
      </c>
      <c r="P2619" s="8" t="s">
        <v>401</v>
      </c>
      <c r="Q2619" s="12" t="str">
        <f>HYPERLINK("http://bangordailynews.com/2013/10/10/news/bangor/police-identify-2-dead-in-old-town-stabbing-standoff/","http://bangordailynews.com/2013/10/10/news/bangor/police-identify-2-dead-in-old-town-stabbing-standoff/")</f>
        <v>http://bangordailynews.com/2013/10/10/news/bangor/police-identify-2-dead-in-old-town-stabbing-standoff/</v>
      </c>
      <c r="R2619" s="8" t="s">
        <v>100</v>
      </c>
      <c r="S2619" s="7" t="s">
        <v>28</v>
      </c>
      <c r="T2619" s="6"/>
      <c r="U2619" s="8"/>
    </row>
    <row r="2620" spans="1:34" ht="13" customHeight="1">
      <c r="A2620" s="8" t="s">
        <v>13879</v>
      </c>
      <c r="B2620" s="16">
        <v>43</v>
      </c>
      <c r="C2620" s="8" t="s">
        <v>20</v>
      </c>
      <c r="D2620" s="8" t="s">
        <v>37</v>
      </c>
      <c r="E2620" s="8" t="s">
        <v>13880</v>
      </c>
      <c r="F2620" s="17">
        <v>41556</v>
      </c>
      <c r="G2620" s="8" t="s">
        <v>13881</v>
      </c>
      <c r="H2620" s="8" t="s">
        <v>13882</v>
      </c>
      <c r="I2620" s="8" t="s">
        <v>366</v>
      </c>
      <c r="J2620" s="16" t="s">
        <v>13883</v>
      </c>
      <c r="K2620" s="2" t="s">
        <v>13884</v>
      </c>
      <c r="L2620" s="8" t="s">
        <v>13885</v>
      </c>
      <c r="M2620" s="8" t="s">
        <v>27</v>
      </c>
      <c r="N2620" s="2" t="s">
        <v>13886</v>
      </c>
      <c r="O2620" s="8" t="s">
        <v>1013</v>
      </c>
      <c r="P2620" s="8" t="s">
        <v>401</v>
      </c>
      <c r="Q2620" s="12" t="s">
        <v>13887</v>
      </c>
      <c r="R2620" s="8" t="s">
        <v>100</v>
      </c>
      <c r="S2620" s="7" t="s">
        <v>28</v>
      </c>
      <c r="T2620" s="6"/>
      <c r="U2620" s="8"/>
    </row>
    <row r="2621" spans="1:34" ht="13" customHeight="1">
      <c r="A2621" s="8" t="s">
        <v>13893</v>
      </c>
      <c r="B2621" s="16">
        <v>55</v>
      </c>
      <c r="C2621" s="8" t="s">
        <v>20</v>
      </c>
      <c r="D2621" s="8" t="s">
        <v>37</v>
      </c>
      <c r="E2621" s="8" t="s">
        <v>13894</v>
      </c>
      <c r="F2621" s="17">
        <v>41556</v>
      </c>
      <c r="G2621" s="8" t="s">
        <v>13895</v>
      </c>
      <c r="H2621" s="8" t="s">
        <v>7285</v>
      </c>
      <c r="I2621" s="8" t="s">
        <v>150</v>
      </c>
      <c r="J2621" s="16" t="s">
        <v>13896</v>
      </c>
      <c r="K2621" s="2" t="s">
        <v>13897</v>
      </c>
      <c r="L2621" s="8" t="s">
        <v>7287</v>
      </c>
      <c r="M2621" s="8" t="s">
        <v>27</v>
      </c>
      <c r="N2621" s="2" t="s">
        <v>13898</v>
      </c>
      <c r="O2621" s="8" t="s">
        <v>1013</v>
      </c>
      <c r="P2621" s="8" t="s">
        <v>401</v>
      </c>
      <c r="Q2621" s="12" t="s">
        <v>13899</v>
      </c>
      <c r="R2621" s="8" t="s">
        <v>29</v>
      </c>
      <c r="S2621" s="7" t="s">
        <v>28</v>
      </c>
      <c r="T2621" s="6"/>
      <c r="U2621" s="8"/>
      <c r="V2621" s="8"/>
      <c r="W2621" s="8"/>
      <c r="X2621" s="8"/>
    </row>
    <row r="2622" spans="1:34" ht="13" customHeight="1">
      <c r="A2622" s="8" t="s">
        <v>13900</v>
      </c>
      <c r="B2622" s="16">
        <v>43</v>
      </c>
      <c r="C2622" s="8" t="s">
        <v>20</v>
      </c>
      <c r="D2622" s="8" t="s">
        <v>85</v>
      </c>
      <c r="E2622" s="8" t="s">
        <v>13901</v>
      </c>
      <c r="F2622" s="17">
        <v>41555</v>
      </c>
      <c r="G2622" s="8" t="s">
        <v>13902</v>
      </c>
      <c r="H2622" s="8" t="s">
        <v>13903</v>
      </c>
      <c r="I2622" s="8" t="s">
        <v>173</v>
      </c>
      <c r="J2622" s="16" t="s">
        <v>13904</v>
      </c>
      <c r="K2622" s="2" t="s">
        <v>13905</v>
      </c>
      <c r="L2622" s="8" t="s">
        <v>13906</v>
      </c>
      <c r="M2622" s="8" t="s">
        <v>27</v>
      </c>
      <c r="N2622" s="2" t="s">
        <v>13907</v>
      </c>
      <c r="O2622" s="8" t="s">
        <v>550</v>
      </c>
      <c r="P2622" s="8" t="s">
        <v>401</v>
      </c>
      <c r="Q2622" s="12" t="s">
        <v>13908</v>
      </c>
      <c r="R2622" s="8" t="s">
        <v>29</v>
      </c>
      <c r="S2622" s="7" t="s">
        <v>28</v>
      </c>
      <c r="T2622" s="6"/>
      <c r="U2622" s="8"/>
    </row>
    <row r="2623" spans="1:34" ht="13" customHeight="1">
      <c r="A2623" s="8" t="s">
        <v>13909</v>
      </c>
      <c r="B2623" s="16">
        <v>44</v>
      </c>
      <c r="C2623" s="8" t="s">
        <v>20</v>
      </c>
      <c r="D2623" s="8" t="s">
        <v>37</v>
      </c>
      <c r="E2623" s="8" t="s">
        <v>13910</v>
      </c>
      <c r="F2623" s="17">
        <v>41555</v>
      </c>
      <c r="G2623" s="8" t="s">
        <v>13911</v>
      </c>
      <c r="H2623" s="8" t="s">
        <v>1624</v>
      </c>
      <c r="I2623" s="8" t="s">
        <v>73</v>
      </c>
      <c r="J2623" s="16" t="s">
        <v>13912</v>
      </c>
      <c r="K2623" s="2" t="s">
        <v>1626</v>
      </c>
      <c r="L2623" s="8" t="s">
        <v>520</v>
      </c>
      <c r="M2623" s="8" t="s">
        <v>27</v>
      </c>
      <c r="N2623" s="2" t="s">
        <v>13913</v>
      </c>
      <c r="O2623" s="8" t="s">
        <v>1013</v>
      </c>
      <c r="P2623" s="8" t="s">
        <v>401</v>
      </c>
      <c r="Q2623" s="12" t="s">
        <v>13914</v>
      </c>
      <c r="R2623" s="8" t="s">
        <v>100</v>
      </c>
      <c r="S2623" s="7" t="s">
        <v>28</v>
      </c>
      <c r="T2623" s="6"/>
      <c r="U2623" s="8"/>
    </row>
    <row r="2624" spans="1:34" ht="13" customHeight="1">
      <c r="A2624" s="8" t="s">
        <v>13915</v>
      </c>
      <c r="B2624" s="16">
        <v>49</v>
      </c>
      <c r="C2624" s="8" t="s">
        <v>20</v>
      </c>
      <c r="D2624" s="8" t="s">
        <v>85</v>
      </c>
      <c r="F2624" s="17">
        <v>41553</v>
      </c>
      <c r="G2624" s="8" t="s">
        <v>13916</v>
      </c>
      <c r="H2624" s="8" t="s">
        <v>98</v>
      </c>
      <c r="I2624" s="8" t="s">
        <v>45</v>
      </c>
      <c r="J2624" s="16" t="s">
        <v>13917</v>
      </c>
      <c r="K2624" s="2" t="s">
        <v>98</v>
      </c>
      <c r="L2624" s="8" t="s">
        <v>5014</v>
      </c>
      <c r="M2624" s="8" t="s">
        <v>27</v>
      </c>
      <c r="N2624" s="2" t="s">
        <v>21485</v>
      </c>
      <c r="O2624" s="8" t="s">
        <v>4714</v>
      </c>
      <c r="P2624" s="8" t="s">
        <v>401</v>
      </c>
      <c r="Q2624" s="12" t="s">
        <v>13918</v>
      </c>
      <c r="R2624" s="8" t="s">
        <v>100</v>
      </c>
      <c r="S2624" s="7" t="s">
        <v>28</v>
      </c>
      <c r="T2624" s="6"/>
      <c r="U2624" s="8"/>
    </row>
    <row r="2625" spans="1:34" ht="13" customHeight="1">
      <c r="A2625" s="8" t="s">
        <v>13919</v>
      </c>
      <c r="B2625" s="16">
        <v>53</v>
      </c>
      <c r="C2625" s="8" t="s">
        <v>20</v>
      </c>
      <c r="D2625" s="8" t="s">
        <v>37</v>
      </c>
      <c r="F2625" s="17">
        <v>41553</v>
      </c>
      <c r="G2625" s="8" t="s">
        <v>13920</v>
      </c>
      <c r="H2625" s="8" t="s">
        <v>13921</v>
      </c>
      <c r="I2625" s="8" t="s">
        <v>45</v>
      </c>
      <c r="J2625" s="16" t="s">
        <v>13922</v>
      </c>
      <c r="K2625" s="2" t="s">
        <v>98</v>
      </c>
      <c r="L2625" s="8" t="s">
        <v>5014</v>
      </c>
      <c r="M2625" s="8" t="s">
        <v>27</v>
      </c>
      <c r="N2625" s="2" t="s">
        <v>13923</v>
      </c>
      <c r="O2625" s="8" t="s">
        <v>4714</v>
      </c>
      <c r="P2625" s="8" t="s">
        <v>401</v>
      </c>
      <c r="Q2625" s="12" t="s">
        <v>13924</v>
      </c>
      <c r="R2625" s="8" t="s">
        <v>555</v>
      </c>
      <c r="S2625" s="7" t="s">
        <v>28</v>
      </c>
      <c r="T2625" s="6"/>
      <c r="U2625" s="8"/>
    </row>
    <row r="2626" spans="1:34" ht="13" customHeight="1">
      <c r="A2626" s="8" t="s">
        <v>13932</v>
      </c>
      <c r="B2626" s="16">
        <v>25</v>
      </c>
      <c r="C2626" s="8" t="s">
        <v>20</v>
      </c>
      <c r="D2626" s="8" t="s">
        <v>85</v>
      </c>
      <c r="E2626" s="8" t="s">
        <v>13933</v>
      </c>
      <c r="F2626" s="17">
        <v>41552</v>
      </c>
      <c r="G2626" s="8" t="s">
        <v>13934</v>
      </c>
      <c r="H2626" s="8" t="s">
        <v>712</v>
      </c>
      <c r="I2626" s="8" t="s">
        <v>431</v>
      </c>
      <c r="J2626" s="16" t="s">
        <v>4774</v>
      </c>
      <c r="K2626" s="2" t="s">
        <v>712</v>
      </c>
      <c r="L2626" s="8" t="s">
        <v>4545</v>
      </c>
      <c r="M2626" s="8" t="s">
        <v>27</v>
      </c>
      <c r="N2626" s="2" t="s">
        <v>13935</v>
      </c>
      <c r="O2626" s="8" t="s">
        <v>1013</v>
      </c>
      <c r="P2626" s="8" t="s">
        <v>401</v>
      </c>
      <c r="Q2626" s="12" t="s">
        <v>13936</v>
      </c>
      <c r="R2626" s="8" t="s">
        <v>100</v>
      </c>
      <c r="S2626" s="7" t="s">
        <v>28</v>
      </c>
      <c r="T2626" s="6"/>
      <c r="U2626" s="8"/>
    </row>
    <row r="2627" spans="1:34" ht="13" customHeight="1">
      <c r="A2627" s="8" t="s">
        <v>13925</v>
      </c>
      <c r="B2627" s="16">
        <v>28</v>
      </c>
      <c r="C2627" s="8" t="s">
        <v>20</v>
      </c>
      <c r="D2627" s="8" t="s">
        <v>85</v>
      </c>
      <c r="E2627" s="8" t="s">
        <v>13926</v>
      </c>
      <c r="F2627" s="17">
        <v>41552</v>
      </c>
      <c r="G2627" s="8" t="s">
        <v>13927</v>
      </c>
      <c r="H2627" s="8" t="s">
        <v>13928</v>
      </c>
      <c r="I2627" s="8" t="s">
        <v>44</v>
      </c>
      <c r="J2627" s="16" t="s">
        <v>13929</v>
      </c>
      <c r="K2627" s="2" t="s">
        <v>88</v>
      </c>
      <c r="L2627" s="8" t="s">
        <v>13930</v>
      </c>
      <c r="M2627" s="8" t="s">
        <v>27</v>
      </c>
      <c r="N2627" s="2" t="s">
        <v>13931</v>
      </c>
      <c r="O2627" s="8" t="s">
        <v>4714</v>
      </c>
      <c r="P2627" s="8" t="s">
        <v>401</v>
      </c>
      <c r="Q2627" s="12" t="str">
        <f>HYPERLINK("http://www.chicagotribune.com/news/local/breaking/chi-at-least-1-wounded-in-policeinvolved-shooting-in-posen-20131004,0,7140004.story","http://www.chicagotribune.com/news/local/breaking/chi-at-least-1-wounded-in-policeinvolved-shooting-in-posen-20131004,0,7140004.story")</f>
        <v>http://www.chicagotribune.com/news/local/breaking/chi-at-least-1-wounded-in-policeinvolved-shooting-in-posen-20131004,0,7140004.story</v>
      </c>
      <c r="R2627" s="8" t="s">
        <v>100</v>
      </c>
      <c r="S2627" s="7" t="s">
        <v>28</v>
      </c>
      <c r="T2627" s="6"/>
      <c r="U2627" s="8"/>
    </row>
    <row r="2628" spans="1:34" ht="13" customHeight="1">
      <c r="A2628" s="8" t="s">
        <v>13949</v>
      </c>
      <c r="B2628" s="16">
        <v>33</v>
      </c>
      <c r="C2628" s="8" t="s">
        <v>20</v>
      </c>
      <c r="D2628" s="8" t="s">
        <v>37</v>
      </c>
      <c r="E2628" s="8" t="s">
        <v>13950</v>
      </c>
      <c r="F2628" s="17">
        <v>41552</v>
      </c>
      <c r="G2628" s="8" t="s">
        <v>13951</v>
      </c>
      <c r="H2628" s="8" t="s">
        <v>7585</v>
      </c>
      <c r="I2628" s="8" t="s">
        <v>45</v>
      </c>
      <c r="J2628" s="16">
        <v>96001</v>
      </c>
      <c r="K2628" s="2" t="s">
        <v>7587</v>
      </c>
      <c r="L2628" s="8" t="s">
        <v>7588</v>
      </c>
      <c r="M2628" s="8" t="s">
        <v>3169</v>
      </c>
      <c r="N2628" s="2" t="s">
        <v>13952</v>
      </c>
      <c r="O2628" s="8" t="s">
        <v>29</v>
      </c>
      <c r="P2628" s="8" t="s">
        <v>401</v>
      </c>
      <c r="Q2628" s="12" t="s">
        <v>13953</v>
      </c>
      <c r="R2628" s="8" t="s">
        <v>967</v>
      </c>
      <c r="S2628" s="7" t="s">
        <v>18</v>
      </c>
      <c r="T2628" s="6"/>
      <c r="U2628" s="8"/>
    </row>
    <row r="2629" spans="1:34" ht="13" customHeight="1">
      <c r="A2629" s="8" t="s">
        <v>13954</v>
      </c>
      <c r="B2629" s="16">
        <v>24</v>
      </c>
      <c r="C2629" s="8" t="s">
        <v>20</v>
      </c>
      <c r="D2629" s="8" t="s">
        <v>37</v>
      </c>
      <c r="E2629" s="8" t="s">
        <v>13955</v>
      </c>
      <c r="F2629" s="17">
        <v>41552</v>
      </c>
      <c r="G2629" s="8" t="s">
        <v>13956</v>
      </c>
      <c r="H2629" s="8" t="s">
        <v>12640</v>
      </c>
      <c r="I2629" s="8" t="s">
        <v>303</v>
      </c>
      <c r="J2629" s="16" t="s">
        <v>13957</v>
      </c>
      <c r="K2629" s="2" t="s">
        <v>13958</v>
      </c>
      <c r="L2629" s="8" t="s">
        <v>12642</v>
      </c>
      <c r="M2629" s="8" t="s">
        <v>27</v>
      </c>
      <c r="N2629" s="2" t="s">
        <v>13959</v>
      </c>
      <c r="O2629" s="8" t="s">
        <v>550</v>
      </c>
      <c r="P2629" s="8" t="s">
        <v>401</v>
      </c>
      <c r="Q2629" s="12" t="s">
        <v>13960</v>
      </c>
      <c r="R2629" s="8" t="s">
        <v>100</v>
      </c>
      <c r="S2629" s="7" t="s">
        <v>28</v>
      </c>
      <c r="T2629" s="6"/>
      <c r="U2629" s="8"/>
    </row>
    <row r="2630" spans="1:34" ht="13" customHeight="1">
      <c r="A2630" s="8" t="s">
        <v>13942</v>
      </c>
      <c r="B2630" s="16">
        <v>39</v>
      </c>
      <c r="C2630" s="8" t="s">
        <v>20</v>
      </c>
      <c r="D2630" s="8" t="s">
        <v>37</v>
      </c>
      <c r="F2630" s="17">
        <v>41552</v>
      </c>
      <c r="G2630" s="8" t="s">
        <v>13943</v>
      </c>
      <c r="H2630" s="8" t="s">
        <v>13944</v>
      </c>
      <c r="I2630" s="8" t="s">
        <v>981</v>
      </c>
      <c r="J2630" s="16" t="s">
        <v>13945</v>
      </c>
      <c r="K2630" s="2" t="s">
        <v>2524</v>
      </c>
      <c r="L2630" s="8" t="s">
        <v>13946</v>
      </c>
      <c r="M2630" s="8" t="s">
        <v>27</v>
      </c>
      <c r="N2630" s="2" t="s">
        <v>13947</v>
      </c>
      <c r="O2630" s="8" t="s">
        <v>4714</v>
      </c>
      <c r="P2630" s="8" t="s">
        <v>401</v>
      </c>
      <c r="Q2630" s="12" t="s">
        <v>13948</v>
      </c>
      <c r="R2630" s="8" t="s">
        <v>100</v>
      </c>
      <c r="S2630" s="7" t="s">
        <v>28</v>
      </c>
      <c r="T2630" s="6"/>
      <c r="U2630" s="8"/>
    </row>
    <row r="2631" spans="1:34" ht="13" customHeight="1">
      <c r="A2631" s="8" t="s">
        <v>13937</v>
      </c>
      <c r="B2631" s="16">
        <v>24</v>
      </c>
      <c r="C2631" s="8" t="s">
        <v>20</v>
      </c>
      <c r="D2631" s="8" t="s">
        <v>37</v>
      </c>
      <c r="F2631" s="17">
        <v>41552</v>
      </c>
      <c r="G2631" s="8" t="s">
        <v>13938</v>
      </c>
      <c r="H2631" s="8" t="s">
        <v>8647</v>
      </c>
      <c r="I2631" s="8" t="s">
        <v>69</v>
      </c>
      <c r="J2631" s="16" t="s">
        <v>13939</v>
      </c>
      <c r="K2631" s="2" t="s">
        <v>4089</v>
      </c>
      <c r="L2631" s="8" t="s">
        <v>12887</v>
      </c>
      <c r="M2631" s="8" t="s">
        <v>13940</v>
      </c>
      <c r="P2631" s="8" t="s">
        <v>401</v>
      </c>
      <c r="Q2631" s="12" t="s">
        <v>13941</v>
      </c>
      <c r="S2631" s="7" t="s">
        <v>28</v>
      </c>
      <c r="T2631" s="6"/>
      <c r="U2631" s="8"/>
    </row>
    <row r="2632" spans="1:34" ht="13" customHeight="1">
      <c r="A2632" s="8" t="s">
        <v>13967</v>
      </c>
      <c r="B2632" s="16">
        <v>43</v>
      </c>
      <c r="C2632" s="8" t="s">
        <v>20</v>
      </c>
      <c r="D2632" s="8" t="s">
        <v>85</v>
      </c>
      <c r="F2632" s="17">
        <v>41551</v>
      </c>
      <c r="G2632" s="8" t="s">
        <v>13968</v>
      </c>
      <c r="H2632" s="8" t="s">
        <v>13903</v>
      </c>
      <c r="I2632" s="8" t="s">
        <v>173</v>
      </c>
      <c r="J2632" s="16" t="s">
        <v>13904</v>
      </c>
      <c r="K2632" s="2" t="s">
        <v>13905</v>
      </c>
      <c r="L2632" s="8" t="s">
        <v>13906</v>
      </c>
      <c r="M2632" s="8" t="s">
        <v>27</v>
      </c>
      <c r="N2632" s="2" t="s">
        <v>21486</v>
      </c>
      <c r="O2632" s="8" t="s">
        <v>550</v>
      </c>
      <c r="P2632" s="8" t="s">
        <v>401</v>
      </c>
      <c r="Q2632" s="12" t="s">
        <v>21487</v>
      </c>
      <c r="R2632" s="8" t="s">
        <v>967</v>
      </c>
      <c r="S2632" s="7" t="s">
        <v>35</v>
      </c>
      <c r="T2632" s="6"/>
      <c r="U2632" s="8"/>
    </row>
    <row r="2633" spans="1:34" ht="13" customHeight="1">
      <c r="A2633" s="8" t="s">
        <v>13961</v>
      </c>
      <c r="B2633" s="16">
        <v>29</v>
      </c>
      <c r="C2633" s="8" t="s">
        <v>20</v>
      </c>
      <c r="D2633" s="8" t="s">
        <v>85</v>
      </c>
      <c r="E2633" s="8" t="s">
        <v>13962</v>
      </c>
      <c r="F2633" s="17">
        <v>41551</v>
      </c>
      <c r="G2633" s="8" t="s">
        <v>13963</v>
      </c>
      <c r="H2633" s="8" t="s">
        <v>987</v>
      </c>
      <c r="I2633" s="8" t="s">
        <v>69</v>
      </c>
      <c r="J2633" s="16" t="s">
        <v>13964</v>
      </c>
      <c r="K2633" s="2" t="s">
        <v>105</v>
      </c>
      <c r="L2633" s="8" t="s">
        <v>3471</v>
      </c>
      <c r="M2633" s="8" t="s">
        <v>391</v>
      </c>
      <c r="N2633" s="2" t="s">
        <v>13965</v>
      </c>
      <c r="O2633" s="8" t="s">
        <v>4714</v>
      </c>
      <c r="P2633" s="8" t="s">
        <v>401</v>
      </c>
      <c r="Q2633" s="12" t="s">
        <v>13966</v>
      </c>
      <c r="R2633" s="8" t="s">
        <v>100</v>
      </c>
      <c r="S2633" s="7" t="s">
        <v>18</v>
      </c>
      <c r="T2633" s="6"/>
      <c r="U2633" s="8"/>
    </row>
    <row r="2634" spans="1:34" ht="13" customHeight="1">
      <c r="A2634" s="8" t="s">
        <v>13969</v>
      </c>
      <c r="B2634" s="16">
        <v>51</v>
      </c>
      <c r="C2634" s="8" t="s">
        <v>20</v>
      </c>
      <c r="D2634" s="8" t="s">
        <v>37</v>
      </c>
      <c r="E2634" s="8" t="s">
        <v>13970</v>
      </c>
      <c r="F2634" s="17">
        <v>41551</v>
      </c>
      <c r="G2634" s="8" t="s">
        <v>13971</v>
      </c>
      <c r="H2634" s="8" t="s">
        <v>757</v>
      </c>
      <c r="I2634" s="8" t="s">
        <v>423</v>
      </c>
      <c r="J2634" s="16" t="s">
        <v>13972</v>
      </c>
      <c r="K2634" s="2" t="s">
        <v>877</v>
      </c>
      <c r="L2634" s="8" t="s">
        <v>582</v>
      </c>
      <c r="M2634" s="8" t="s">
        <v>379</v>
      </c>
      <c r="N2634" s="2" t="s">
        <v>13973</v>
      </c>
      <c r="O2634" s="8" t="s">
        <v>1161</v>
      </c>
      <c r="P2634" s="8" t="s">
        <v>1162</v>
      </c>
      <c r="Q2634" s="12" t="s">
        <v>13974</v>
      </c>
      <c r="R2634" s="8" t="s">
        <v>100</v>
      </c>
      <c r="S2634" s="7" t="s">
        <v>18</v>
      </c>
      <c r="T2634" s="6"/>
      <c r="U2634" s="8"/>
    </row>
    <row r="2635" spans="1:34" ht="13" customHeight="1">
      <c r="A2635" s="8" t="s">
        <v>13975</v>
      </c>
      <c r="B2635" s="16">
        <v>21</v>
      </c>
      <c r="C2635" s="8" t="s">
        <v>20</v>
      </c>
      <c r="D2635" s="8" t="s">
        <v>37</v>
      </c>
      <c r="F2635" s="17">
        <v>41551</v>
      </c>
      <c r="G2635" s="8" t="s">
        <v>13976</v>
      </c>
      <c r="H2635" s="8" t="s">
        <v>12389</v>
      </c>
      <c r="I2635" s="8" t="s">
        <v>438</v>
      </c>
      <c r="J2635" s="16" t="s">
        <v>13977</v>
      </c>
      <c r="K2635" s="2" t="s">
        <v>1108</v>
      </c>
      <c r="L2635" s="8" t="s">
        <v>13978</v>
      </c>
      <c r="M2635" s="8" t="s">
        <v>27</v>
      </c>
      <c r="N2635" s="2" t="s">
        <v>13979</v>
      </c>
      <c r="O2635" s="8" t="s">
        <v>550</v>
      </c>
      <c r="P2635" s="8" t="s">
        <v>401</v>
      </c>
      <c r="Q2635" s="12" t="s">
        <v>13980</v>
      </c>
      <c r="R2635" s="8" t="s">
        <v>555</v>
      </c>
      <c r="S2635" s="7" t="s">
        <v>28</v>
      </c>
      <c r="T2635" s="6"/>
      <c r="U2635" s="8"/>
    </row>
    <row r="2636" spans="1:34" ht="13" customHeight="1">
      <c r="A2636" s="8" t="s">
        <v>13981</v>
      </c>
      <c r="B2636" s="16" t="s">
        <v>13982</v>
      </c>
      <c r="C2636" s="8" t="s">
        <v>114</v>
      </c>
      <c r="D2636" s="8" t="s">
        <v>85</v>
      </c>
      <c r="E2636" s="8" t="s">
        <v>13983</v>
      </c>
      <c r="F2636" s="17">
        <v>41550</v>
      </c>
      <c r="G2636" s="8" t="s">
        <v>13984</v>
      </c>
      <c r="H2636" s="8" t="s">
        <v>118</v>
      </c>
      <c r="I2636" s="8" t="s">
        <v>3685</v>
      </c>
      <c r="J2636" s="16" t="s">
        <v>13985</v>
      </c>
      <c r="K2636" s="2" t="s">
        <v>3687</v>
      </c>
      <c r="L2636" s="8" t="s">
        <v>19729</v>
      </c>
      <c r="M2636" s="8" t="s">
        <v>27</v>
      </c>
      <c r="N2636" s="2" t="s">
        <v>13986</v>
      </c>
      <c r="O2636" s="8" t="s">
        <v>29</v>
      </c>
      <c r="P2636" s="8" t="s">
        <v>401</v>
      </c>
      <c r="Q2636" s="12" t="s">
        <v>13987</v>
      </c>
      <c r="R2636" s="8" t="s">
        <v>100</v>
      </c>
      <c r="S2636" s="7" t="s">
        <v>379</v>
      </c>
      <c r="T2636" s="6"/>
      <c r="U2636" s="8"/>
    </row>
    <row r="2637" spans="1:34" ht="13" customHeight="1">
      <c r="A2637" s="8" t="s">
        <v>13988</v>
      </c>
      <c r="B2637" s="16">
        <v>49</v>
      </c>
      <c r="C2637" s="8" t="s">
        <v>20</v>
      </c>
      <c r="D2637" s="8" t="s">
        <v>30</v>
      </c>
      <c r="F2637" s="17">
        <v>41550</v>
      </c>
      <c r="G2637" s="8" t="s">
        <v>13989</v>
      </c>
      <c r="H2637" s="8" t="s">
        <v>12692</v>
      </c>
      <c r="I2637" s="8" t="s">
        <v>404</v>
      </c>
      <c r="J2637" s="16" t="s">
        <v>12693</v>
      </c>
      <c r="K2637" s="2" t="s">
        <v>1639</v>
      </c>
      <c r="L2637" s="8" t="s">
        <v>12694</v>
      </c>
      <c r="M2637" s="8" t="s">
        <v>379</v>
      </c>
      <c r="N2637" s="2" t="s">
        <v>13990</v>
      </c>
      <c r="O2637" s="8" t="s">
        <v>550</v>
      </c>
      <c r="P2637" s="8" t="s">
        <v>401</v>
      </c>
      <c r="Q2637" s="12" t="s">
        <v>13991</v>
      </c>
      <c r="R2637" s="8" t="s">
        <v>967</v>
      </c>
      <c r="S2637" s="7" t="s">
        <v>18</v>
      </c>
      <c r="T2637" s="6"/>
      <c r="U2637" s="8"/>
    </row>
    <row r="2638" spans="1:34" ht="13" customHeight="1">
      <c r="A2638" s="8" t="s">
        <v>13992</v>
      </c>
      <c r="B2638" s="16">
        <v>37</v>
      </c>
      <c r="C2638" s="8" t="s">
        <v>20</v>
      </c>
      <c r="D2638" s="8" t="s">
        <v>37</v>
      </c>
      <c r="E2638" s="8" t="s">
        <v>13993</v>
      </c>
      <c r="F2638" s="17">
        <v>41550</v>
      </c>
      <c r="G2638" s="8" t="s">
        <v>13994</v>
      </c>
      <c r="H2638" s="8" t="s">
        <v>13995</v>
      </c>
      <c r="I2638" s="8" t="s">
        <v>981</v>
      </c>
      <c r="J2638" s="16" t="s">
        <v>13996</v>
      </c>
      <c r="K2638" s="2" t="s">
        <v>4979</v>
      </c>
      <c r="L2638" s="8" t="s">
        <v>6523</v>
      </c>
      <c r="M2638" s="8" t="s">
        <v>27</v>
      </c>
      <c r="N2638" s="2" t="s">
        <v>13997</v>
      </c>
      <c r="O2638" s="8" t="s">
        <v>550</v>
      </c>
      <c r="P2638" s="8" t="s">
        <v>401</v>
      </c>
      <c r="Q2638" s="12" t="s">
        <v>13998</v>
      </c>
      <c r="R2638" s="8" t="s">
        <v>555</v>
      </c>
      <c r="S2638" s="7" t="s">
        <v>28</v>
      </c>
      <c r="T2638" s="6"/>
      <c r="U2638" s="8"/>
      <c r="Y2638" s="8"/>
      <c r="Z2638" s="8"/>
      <c r="AA2638" s="8"/>
      <c r="AB2638" s="8"/>
      <c r="AC2638" s="8"/>
      <c r="AD2638" s="8"/>
      <c r="AE2638" s="8"/>
      <c r="AF2638" s="8"/>
      <c r="AG2638" s="8"/>
      <c r="AH2638" s="8"/>
    </row>
    <row r="2639" spans="1:34" ht="13" customHeight="1">
      <c r="A2639" s="8" t="s">
        <v>13999</v>
      </c>
      <c r="B2639" s="16">
        <v>39</v>
      </c>
      <c r="C2639" s="8" t="s">
        <v>20</v>
      </c>
      <c r="D2639" s="8" t="s">
        <v>85</v>
      </c>
      <c r="E2639" s="8" t="s">
        <v>14000</v>
      </c>
      <c r="F2639" s="17">
        <v>41549</v>
      </c>
      <c r="G2639" s="8" t="s">
        <v>14001</v>
      </c>
      <c r="H2639" s="8" t="s">
        <v>14002</v>
      </c>
      <c r="I2639" s="8" t="s">
        <v>52</v>
      </c>
      <c r="J2639" s="16" t="s">
        <v>14003</v>
      </c>
      <c r="K2639" s="2" t="s">
        <v>2387</v>
      </c>
      <c r="L2639" s="8" t="s">
        <v>762</v>
      </c>
      <c r="M2639" s="8" t="s">
        <v>27</v>
      </c>
      <c r="N2639" s="2" t="s">
        <v>14004</v>
      </c>
      <c r="O2639" s="8" t="s">
        <v>1013</v>
      </c>
      <c r="P2639" s="8" t="s">
        <v>401</v>
      </c>
      <c r="Q2639" s="59" t="str">
        <f>HYPERLINK("http://pgpolice.blogspot.com/2013/10/pgpd-investigates-police-involved.html","http://pgpolice.blogspot.com/2013/10/pgpd-investigates-police-involved.html")</f>
        <v>http://pgpolice.blogspot.com/2013/10/pgpd-investigates-police-involved.html</v>
      </c>
      <c r="R2639" s="8" t="s">
        <v>100</v>
      </c>
      <c r="S2639" s="7" t="s">
        <v>18</v>
      </c>
      <c r="T2639" s="6"/>
      <c r="U2639" s="8"/>
    </row>
    <row r="2640" spans="1:34" ht="13" customHeight="1">
      <c r="A2640" s="8" t="s">
        <v>14005</v>
      </c>
      <c r="B2640" s="16">
        <v>20</v>
      </c>
      <c r="C2640" s="8" t="s">
        <v>20</v>
      </c>
      <c r="D2640" s="8" t="s">
        <v>37</v>
      </c>
      <c r="E2640" s="8" t="s">
        <v>14006</v>
      </c>
      <c r="F2640" s="17">
        <v>41549</v>
      </c>
      <c r="G2640" s="8" t="s">
        <v>14007</v>
      </c>
      <c r="H2640" s="8" t="s">
        <v>14008</v>
      </c>
      <c r="I2640" s="8" t="s">
        <v>404</v>
      </c>
      <c r="J2640" s="16" t="s">
        <v>14009</v>
      </c>
      <c r="K2640" s="2" t="s">
        <v>5552</v>
      </c>
      <c r="L2640" s="8" t="s">
        <v>9400</v>
      </c>
      <c r="M2640" s="8" t="s">
        <v>379</v>
      </c>
      <c r="N2640" s="2" t="s">
        <v>14010</v>
      </c>
      <c r="O2640" s="8" t="s">
        <v>1013</v>
      </c>
      <c r="P2640" s="8" t="s">
        <v>401</v>
      </c>
      <c r="Q2640" s="12" t="s">
        <v>14011</v>
      </c>
      <c r="R2640" s="8" t="s">
        <v>100</v>
      </c>
      <c r="S2640" s="7" t="s">
        <v>379</v>
      </c>
      <c r="T2640" s="6"/>
      <c r="U2640" s="8"/>
    </row>
    <row r="2641" spans="1:34" ht="13" customHeight="1">
      <c r="A2641" s="8" t="s">
        <v>3267</v>
      </c>
      <c r="B2641" s="16">
        <v>20</v>
      </c>
      <c r="C2641" s="8" t="s">
        <v>20</v>
      </c>
      <c r="D2641" s="8" t="s">
        <v>48</v>
      </c>
      <c r="F2641" s="17">
        <v>41548</v>
      </c>
      <c r="G2641" s="8" t="s">
        <v>14018</v>
      </c>
      <c r="H2641" s="8" t="s">
        <v>5071</v>
      </c>
      <c r="I2641" s="8" t="s">
        <v>73</v>
      </c>
      <c r="J2641" s="16" t="s">
        <v>5072</v>
      </c>
      <c r="K2641" s="2" t="s">
        <v>4962</v>
      </c>
      <c r="L2641" s="8" t="s">
        <v>5073</v>
      </c>
      <c r="M2641" s="8" t="s">
        <v>27</v>
      </c>
      <c r="N2641" s="2" t="s">
        <v>14019</v>
      </c>
      <c r="O2641" s="8" t="s">
        <v>4714</v>
      </c>
      <c r="P2641" s="8" t="s">
        <v>401</v>
      </c>
      <c r="Q2641" s="12" t="str">
        <f>HYPERLINK("http://abc13.com/archive/9270067/","http://abc13.com/archive/9270067/")</f>
        <v>http://abc13.com/archive/9270067/</v>
      </c>
      <c r="R2641" s="8" t="s">
        <v>100</v>
      </c>
      <c r="S2641" s="7" t="s">
        <v>28</v>
      </c>
      <c r="T2641" s="6"/>
      <c r="U2641" s="8"/>
    </row>
    <row r="2642" spans="1:34" ht="13" customHeight="1">
      <c r="A2642" s="8" t="s">
        <v>14012</v>
      </c>
      <c r="B2642" s="16">
        <v>31</v>
      </c>
      <c r="C2642" s="8" t="s">
        <v>114</v>
      </c>
      <c r="D2642" s="8" t="s">
        <v>48</v>
      </c>
      <c r="F2642" s="17">
        <v>41548</v>
      </c>
      <c r="G2642" s="8" t="s">
        <v>14013</v>
      </c>
      <c r="H2642" s="8" t="s">
        <v>681</v>
      </c>
      <c r="I2642" s="8" t="s">
        <v>45</v>
      </c>
      <c r="J2642" s="16" t="s">
        <v>8141</v>
      </c>
      <c r="K2642" s="2" t="s">
        <v>682</v>
      </c>
      <c r="L2642" s="8" t="s">
        <v>683</v>
      </c>
      <c r="M2642" s="8" t="s">
        <v>27</v>
      </c>
      <c r="N2642" s="2" t="s">
        <v>14014</v>
      </c>
      <c r="O2642" s="8" t="s">
        <v>4714</v>
      </c>
      <c r="P2642" s="8" t="s">
        <v>401</v>
      </c>
      <c r="Q2642" s="12" t="s">
        <v>14015</v>
      </c>
      <c r="R2642" s="8" t="s">
        <v>555</v>
      </c>
      <c r="S2642" s="7" t="s">
        <v>28</v>
      </c>
      <c r="T2642" s="6"/>
      <c r="U2642" s="8"/>
      <c r="Y2642" s="8"/>
      <c r="Z2642" s="8"/>
      <c r="AA2642" s="8"/>
      <c r="AB2642" s="8"/>
      <c r="AC2642" s="8"/>
      <c r="AD2642" s="8"/>
      <c r="AE2642" s="8"/>
      <c r="AF2642" s="8"/>
      <c r="AG2642" s="8"/>
      <c r="AH2642" s="8"/>
    </row>
    <row r="2643" spans="1:34" ht="13" customHeight="1">
      <c r="A2643" s="8" t="s">
        <v>14016</v>
      </c>
      <c r="B2643" s="16">
        <v>35</v>
      </c>
      <c r="C2643" s="8" t="s">
        <v>20</v>
      </c>
      <c r="D2643" s="8" t="s">
        <v>48</v>
      </c>
      <c r="F2643" s="17">
        <v>41548</v>
      </c>
      <c r="H2643" s="8" t="s">
        <v>5071</v>
      </c>
      <c r="I2643" s="8" t="s">
        <v>73</v>
      </c>
      <c r="K2643" s="2" t="s">
        <v>4962</v>
      </c>
      <c r="L2643" s="8" t="s">
        <v>5073</v>
      </c>
      <c r="M2643" s="8" t="s">
        <v>27</v>
      </c>
      <c r="P2643" s="8" t="s">
        <v>401</v>
      </c>
      <c r="Q2643" s="12" t="s">
        <v>14017</v>
      </c>
      <c r="S2643" s="7" t="s">
        <v>28</v>
      </c>
      <c r="T2643" s="6"/>
      <c r="U2643" s="8"/>
    </row>
    <row r="2644" spans="1:34" ht="13" customHeight="1">
      <c r="A2644" s="8" t="s">
        <v>14020</v>
      </c>
      <c r="B2644" s="16">
        <v>45</v>
      </c>
      <c r="C2644" s="8" t="s">
        <v>114</v>
      </c>
      <c r="D2644" s="8" t="s">
        <v>37</v>
      </c>
      <c r="F2644" s="17">
        <v>41548</v>
      </c>
      <c r="G2644" s="8" t="s">
        <v>14021</v>
      </c>
      <c r="H2644" s="8" t="s">
        <v>6217</v>
      </c>
      <c r="I2644" s="8" t="s">
        <v>506</v>
      </c>
      <c r="L2644" s="8" t="s">
        <v>14022</v>
      </c>
      <c r="M2644" s="8" t="s">
        <v>27</v>
      </c>
      <c r="P2644" s="8" t="s">
        <v>401</v>
      </c>
      <c r="Q2644" s="12" t="s">
        <v>14023</v>
      </c>
      <c r="S2644" s="7" t="s">
        <v>28</v>
      </c>
      <c r="T2644" s="6"/>
      <c r="U2644" s="8"/>
    </row>
    <row r="2645" spans="1:34" ht="13" customHeight="1">
      <c r="A2645" s="8" t="s">
        <v>14024</v>
      </c>
      <c r="B2645" s="16">
        <v>19</v>
      </c>
      <c r="C2645" s="8" t="s">
        <v>20</v>
      </c>
      <c r="D2645" s="8" t="s">
        <v>85</v>
      </c>
      <c r="E2645" s="8" t="s">
        <v>14025</v>
      </c>
      <c r="F2645" s="17">
        <v>41546</v>
      </c>
      <c r="G2645" s="8" t="s">
        <v>14026</v>
      </c>
      <c r="H2645" s="8" t="s">
        <v>14027</v>
      </c>
      <c r="I2645" s="8" t="s">
        <v>366</v>
      </c>
      <c r="J2645" s="16" t="s">
        <v>14028</v>
      </c>
      <c r="K2645" s="2" t="s">
        <v>13884</v>
      </c>
      <c r="L2645" s="8" t="s">
        <v>14029</v>
      </c>
      <c r="M2645" s="8" t="s">
        <v>27</v>
      </c>
      <c r="N2645" s="2" t="s">
        <v>14030</v>
      </c>
      <c r="O2645" s="8" t="s">
        <v>550</v>
      </c>
      <c r="P2645" s="8" t="s">
        <v>401</v>
      </c>
      <c r="Q2645" s="12" t="s">
        <v>14031</v>
      </c>
      <c r="R2645" s="8" t="s">
        <v>100</v>
      </c>
      <c r="S2645" s="7" t="s">
        <v>18</v>
      </c>
      <c r="T2645" s="6"/>
      <c r="U2645" s="8"/>
      <c r="Y2645" s="13"/>
      <c r="Z2645" s="13"/>
      <c r="AA2645" s="13"/>
      <c r="AB2645" s="13"/>
      <c r="AC2645" s="13"/>
      <c r="AD2645" s="13"/>
      <c r="AE2645" s="13"/>
      <c r="AF2645" s="13"/>
      <c r="AG2645" s="13"/>
      <c r="AH2645" s="13"/>
    </row>
    <row r="2646" spans="1:34" ht="13" customHeight="1">
      <c r="A2646" s="8" t="s">
        <v>14032</v>
      </c>
      <c r="B2646" s="16">
        <v>37</v>
      </c>
      <c r="C2646" s="8" t="s">
        <v>20</v>
      </c>
      <c r="D2646" s="8" t="s">
        <v>37</v>
      </c>
      <c r="E2646" s="8" t="s">
        <v>14033</v>
      </c>
      <c r="F2646" s="17">
        <v>41546</v>
      </c>
      <c r="G2646" s="8" t="s">
        <v>14034</v>
      </c>
      <c r="H2646" s="8" t="s">
        <v>14035</v>
      </c>
      <c r="I2646" s="8" t="s">
        <v>240</v>
      </c>
      <c r="J2646" s="16" t="s">
        <v>14036</v>
      </c>
      <c r="K2646" s="2" t="s">
        <v>5293</v>
      </c>
      <c r="L2646" s="8" t="s">
        <v>14037</v>
      </c>
      <c r="M2646" s="8" t="s">
        <v>27</v>
      </c>
      <c r="N2646" s="2" t="s">
        <v>14038</v>
      </c>
      <c r="O2646" s="8" t="s">
        <v>550</v>
      </c>
      <c r="P2646" s="8" t="s">
        <v>401</v>
      </c>
      <c r="Q2646" s="12" t="s">
        <v>5296</v>
      </c>
      <c r="R2646" s="8" t="s">
        <v>555</v>
      </c>
      <c r="S2646" s="7" t="s">
        <v>28</v>
      </c>
      <c r="T2646" s="6"/>
      <c r="U2646" s="8"/>
    </row>
    <row r="2647" spans="1:34" ht="13" customHeight="1">
      <c r="A2647" s="8" t="s">
        <v>14039</v>
      </c>
      <c r="B2647" s="16">
        <v>32</v>
      </c>
      <c r="C2647" s="8" t="s">
        <v>20</v>
      </c>
      <c r="D2647" s="8" t="s">
        <v>37</v>
      </c>
      <c r="E2647" s="8" t="s">
        <v>14040</v>
      </c>
      <c r="F2647" s="17">
        <v>41546</v>
      </c>
      <c r="G2647" s="8" t="s">
        <v>14041</v>
      </c>
      <c r="H2647" s="8" t="s">
        <v>14042</v>
      </c>
      <c r="I2647" s="8" t="s">
        <v>32</v>
      </c>
      <c r="J2647" s="16" t="s">
        <v>14043</v>
      </c>
      <c r="K2647" s="2" t="s">
        <v>33</v>
      </c>
      <c r="L2647" s="8" t="s">
        <v>34</v>
      </c>
      <c r="M2647" s="8" t="s">
        <v>3386</v>
      </c>
      <c r="N2647" s="2" t="s">
        <v>14044</v>
      </c>
      <c r="O2647" s="8" t="s">
        <v>1013</v>
      </c>
      <c r="P2647" s="8" t="s">
        <v>401</v>
      </c>
      <c r="Q2647" s="12" t="s">
        <v>21488</v>
      </c>
      <c r="R2647" s="8" t="s">
        <v>100</v>
      </c>
      <c r="S2647" s="7" t="s">
        <v>18</v>
      </c>
      <c r="T2647" s="6"/>
      <c r="U2647" s="8"/>
    </row>
    <row r="2648" spans="1:34" ht="13" customHeight="1">
      <c r="A2648" s="8" t="s">
        <v>14050</v>
      </c>
      <c r="B2648" s="16">
        <v>35</v>
      </c>
      <c r="C2648" s="8" t="s">
        <v>20</v>
      </c>
      <c r="D2648" s="8" t="s">
        <v>37</v>
      </c>
      <c r="E2648" s="8" t="s">
        <v>14051</v>
      </c>
      <c r="F2648" s="17">
        <v>41545</v>
      </c>
      <c r="G2648" s="8" t="s">
        <v>14052</v>
      </c>
      <c r="H2648" s="8" t="s">
        <v>14053</v>
      </c>
      <c r="I2648" s="8" t="s">
        <v>52</v>
      </c>
      <c r="J2648" s="16" t="s">
        <v>14054</v>
      </c>
      <c r="K2648" s="2" t="s">
        <v>9774</v>
      </c>
      <c r="L2648" s="8" t="s">
        <v>14055</v>
      </c>
      <c r="M2648" s="8" t="s">
        <v>27</v>
      </c>
      <c r="N2648" s="2" t="s">
        <v>14056</v>
      </c>
      <c r="O2648" s="8" t="s">
        <v>400</v>
      </c>
      <c r="P2648" s="8" t="s">
        <v>401</v>
      </c>
      <c r="Q2648" s="12" t="s">
        <v>14057</v>
      </c>
      <c r="R2648" s="8" t="s">
        <v>29</v>
      </c>
      <c r="S2648" s="7" t="s">
        <v>28</v>
      </c>
      <c r="T2648" s="6"/>
      <c r="U2648" s="8"/>
    </row>
    <row r="2649" spans="1:34" ht="13" customHeight="1">
      <c r="A2649" s="8" t="s">
        <v>14045</v>
      </c>
      <c r="B2649" s="16">
        <v>39</v>
      </c>
      <c r="C2649" s="8" t="s">
        <v>20</v>
      </c>
      <c r="D2649" s="8" t="s">
        <v>37</v>
      </c>
      <c r="E2649" s="8" t="s">
        <v>14046</v>
      </c>
      <c r="F2649" s="17">
        <v>41545</v>
      </c>
      <c r="G2649" s="8" t="s">
        <v>14047</v>
      </c>
      <c r="H2649" s="8" t="s">
        <v>837</v>
      </c>
      <c r="I2649" s="8" t="s">
        <v>366</v>
      </c>
      <c r="J2649" s="16" t="s">
        <v>4251</v>
      </c>
      <c r="K2649" s="2" t="s">
        <v>838</v>
      </c>
      <c r="L2649" s="8" t="s">
        <v>4252</v>
      </c>
      <c r="M2649" s="8" t="s">
        <v>379</v>
      </c>
      <c r="N2649" s="2" t="s">
        <v>14048</v>
      </c>
      <c r="O2649" s="8" t="s">
        <v>1013</v>
      </c>
      <c r="P2649" s="8" t="s">
        <v>401</v>
      </c>
      <c r="Q2649" s="12" t="s">
        <v>14049</v>
      </c>
      <c r="R2649" s="8" t="s">
        <v>100</v>
      </c>
      <c r="S2649" s="7" t="s">
        <v>379</v>
      </c>
      <c r="T2649" s="6"/>
      <c r="U2649" s="8"/>
    </row>
    <row r="2650" spans="1:34" ht="13" customHeight="1">
      <c r="A2650" s="8" t="s">
        <v>14058</v>
      </c>
      <c r="B2650" s="16">
        <v>19</v>
      </c>
      <c r="C2650" s="8" t="s">
        <v>20</v>
      </c>
      <c r="D2650" s="8" t="s">
        <v>37</v>
      </c>
      <c r="E2650" s="8" t="s">
        <v>14059</v>
      </c>
      <c r="F2650" s="17">
        <v>41544</v>
      </c>
      <c r="G2650" s="8" t="s">
        <v>14060</v>
      </c>
      <c r="H2650" s="8" t="s">
        <v>14061</v>
      </c>
      <c r="I2650" s="8" t="s">
        <v>73</v>
      </c>
      <c r="J2650" s="16" t="s">
        <v>14062</v>
      </c>
      <c r="K2650" s="2" t="s">
        <v>53</v>
      </c>
      <c r="L2650" s="8" t="s">
        <v>14063</v>
      </c>
      <c r="M2650" s="8" t="s">
        <v>27</v>
      </c>
      <c r="N2650" s="2" t="s">
        <v>14064</v>
      </c>
      <c r="O2650" s="8" t="s">
        <v>1013</v>
      </c>
      <c r="P2650" s="8" t="s">
        <v>401</v>
      </c>
      <c r="Q2650" s="12" t="s">
        <v>14065</v>
      </c>
      <c r="R2650" s="8" t="s">
        <v>100</v>
      </c>
      <c r="S2650" s="7" t="s">
        <v>28</v>
      </c>
      <c r="T2650" s="6"/>
      <c r="U2650" s="8"/>
    </row>
    <row r="2651" spans="1:34" ht="13" customHeight="1">
      <c r="A2651" s="8" t="s">
        <v>14066</v>
      </c>
      <c r="B2651" s="16">
        <v>34</v>
      </c>
      <c r="C2651" s="8" t="s">
        <v>20</v>
      </c>
      <c r="D2651" s="8" t="s">
        <v>85</v>
      </c>
      <c r="F2651" s="17">
        <v>41543</v>
      </c>
      <c r="G2651" s="8" t="s">
        <v>14067</v>
      </c>
      <c r="H2651" s="8" t="s">
        <v>14068</v>
      </c>
      <c r="I2651" s="8" t="s">
        <v>94</v>
      </c>
      <c r="J2651" s="16" t="s">
        <v>14069</v>
      </c>
      <c r="K2651" s="2" t="s">
        <v>14070</v>
      </c>
      <c r="L2651" s="8" t="s">
        <v>14071</v>
      </c>
      <c r="M2651" s="8" t="s">
        <v>27</v>
      </c>
      <c r="N2651" s="2" t="s">
        <v>14072</v>
      </c>
      <c r="O2651" s="8" t="s">
        <v>1013</v>
      </c>
      <c r="P2651" s="8" t="s">
        <v>401</v>
      </c>
      <c r="Q2651" s="12" t="s">
        <v>14073</v>
      </c>
      <c r="R2651" s="8" t="s">
        <v>29</v>
      </c>
      <c r="S2651" s="7" t="s">
        <v>28</v>
      </c>
      <c r="T2651" s="6"/>
      <c r="U2651" s="8"/>
    </row>
    <row r="2652" spans="1:34" ht="13" customHeight="1">
      <c r="A2652" s="8" t="s">
        <v>14080</v>
      </c>
      <c r="B2652" s="16">
        <v>39</v>
      </c>
      <c r="C2652" s="8" t="s">
        <v>20</v>
      </c>
      <c r="D2652" s="8" t="s">
        <v>37</v>
      </c>
      <c r="E2652" s="8" t="s">
        <v>14081</v>
      </c>
      <c r="F2652" s="17">
        <v>41543</v>
      </c>
      <c r="G2652" s="8" t="s">
        <v>14082</v>
      </c>
      <c r="H2652" s="8" t="s">
        <v>489</v>
      </c>
      <c r="I2652" s="8" t="s">
        <v>45</v>
      </c>
      <c r="J2652" s="16" t="s">
        <v>2079</v>
      </c>
      <c r="K2652" s="2" t="s">
        <v>98</v>
      </c>
      <c r="L2652" s="8" t="s">
        <v>490</v>
      </c>
      <c r="M2652" s="8" t="s">
        <v>27</v>
      </c>
      <c r="N2652" s="2" t="s">
        <v>14083</v>
      </c>
      <c r="O2652" s="8" t="s">
        <v>1013</v>
      </c>
      <c r="P2652" s="8" t="s">
        <v>401</v>
      </c>
      <c r="Q2652" s="12" t="str">
        <f>HYPERLINK("http://www.presstelegram.com/general-news/20130926/long-beach-police-kill-man-in-departments-third-ois-in-past-week","http://www.presstelegram.com/general-news/20130926/long-beach-police-kill-man-in-departments-third-ois-in-past-week")</f>
        <v>http://www.presstelegram.com/general-news/20130926/long-beach-police-kill-man-in-departments-third-ois-in-past-week</v>
      </c>
      <c r="R2652" s="8" t="s">
        <v>100</v>
      </c>
      <c r="S2652" s="7" t="s">
        <v>28</v>
      </c>
      <c r="T2652" s="6"/>
      <c r="U2652" s="8"/>
    </row>
    <row r="2653" spans="1:34" ht="13" customHeight="1">
      <c r="A2653" s="8" t="s">
        <v>14074</v>
      </c>
      <c r="B2653" s="16">
        <v>57</v>
      </c>
      <c r="C2653" s="8" t="s">
        <v>20</v>
      </c>
      <c r="D2653" s="8" t="s">
        <v>37</v>
      </c>
      <c r="E2653" s="8" t="s">
        <v>14075</v>
      </c>
      <c r="F2653" s="17">
        <v>41543</v>
      </c>
      <c r="G2653" s="8" t="s">
        <v>14076</v>
      </c>
      <c r="H2653" s="8" t="s">
        <v>285</v>
      </c>
      <c r="I2653" s="8" t="s">
        <v>73</v>
      </c>
      <c r="J2653" s="16" t="s">
        <v>14077</v>
      </c>
      <c r="K2653" s="2" t="s">
        <v>285</v>
      </c>
      <c r="L2653" s="8" t="s">
        <v>286</v>
      </c>
      <c r="M2653" s="8" t="s">
        <v>27</v>
      </c>
      <c r="N2653" s="2" t="s">
        <v>14078</v>
      </c>
      <c r="O2653" s="8" t="s">
        <v>1013</v>
      </c>
      <c r="P2653" s="8" t="s">
        <v>401</v>
      </c>
      <c r="Q2653" s="12" t="s">
        <v>14079</v>
      </c>
      <c r="R2653" s="8" t="s">
        <v>100</v>
      </c>
      <c r="S2653" s="7" t="s">
        <v>28</v>
      </c>
      <c r="T2653" s="6"/>
      <c r="U2653" s="8"/>
    </row>
    <row r="2654" spans="1:34" ht="13" customHeight="1">
      <c r="A2654" s="8" t="s">
        <v>14088</v>
      </c>
      <c r="B2654" s="16">
        <v>21</v>
      </c>
      <c r="C2654" s="8" t="s">
        <v>20</v>
      </c>
      <c r="D2654" s="8" t="s">
        <v>48</v>
      </c>
      <c r="F2654" s="17">
        <v>41542</v>
      </c>
      <c r="G2654" s="8" t="s">
        <v>14089</v>
      </c>
      <c r="H2654" s="8" t="s">
        <v>14090</v>
      </c>
      <c r="I2654" s="8" t="s">
        <v>73</v>
      </c>
      <c r="J2654" s="16" t="s">
        <v>14091</v>
      </c>
      <c r="K2654" s="2" t="s">
        <v>14092</v>
      </c>
      <c r="L2654" s="8" t="s">
        <v>14093</v>
      </c>
      <c r="M2654" s="8" t="s">
        <v>27</v>
      </c>
      <c r="N2654" s="2" t="s">
        <v>14094</v>
      </c>
      <c r="O2654" s="8" t="s">
        <v>4714</v>
      </c>
      <c r="P2654" s="8" t="s">
        <v>401</v>
      </c>
      <c r="Q2654" s="12" t="s">
        <v>14095</v>
      </c>
      <c r="R2654" s="8" t="s">
        <v>100</v>
      </c>
      <c r="S2654" s="7" t="s">
        <v>28</v>
      </c>
      <c r="T2654" s="6"/>
      <c r="U2654" s="8"/>
    </row>
    <row r="2655" spans="1:34" ht="13" customHeight="1">
      <c r="A2655" s="8" t="s">
        <v>14096</v>
      </c>
      <c r="B2655" s="16">
        <v>32</v>
      </c>
      <c r="C2655" s="8" t="s">
        <v>20</v>
      </c>
      <c r="D2655" s="8" t="s">
        <v>48</v>
      </c>
      <c r="E2655" s="8" t="s">
        <v>14097</v>
      </c>
      <c r="F2655" s="17">
        <v>41542</v>
      </c>
      <c r="G2655" s="8" t="s">
        <v>14098</v>
      </c>
      <c r="H2655" s="8" t="s">
        <v>5749</v>
      </c>
      <c r="I2655" s="8" t="s">
        <v>45</v>
      </c>
      <c r="J2655" s="16" t="s">
        <v>14099</v>
      </c>
      <c r="K2655" s="2" t="s">
        <v>98</v>
      </c>
      <c r="L2655" s="8" t="s">
        <v>99</v>
      </c>
      <c r="M2655" s="8" t="s">
        <v>27</v>
      </c>
      <c r="N2655" s="2" t="s">
        <v>14100</v>
      </c>
      <c r="O2655" s="8" t="s">
        <v>1013</v>
      </c>
      <c r="P2655" s="8" t="s">
        <v>401</v>
      </c>
      <c r="Q2655" s="12" t="s">
        <v>14101</v>
      </c>
      <c r="R2655" s="8" t="s">
        <v>100</v>
      </c>
      <c r="S2655" s="7" t="s">
        <v>28</v>
      </c>
      <c r="T2655" s="6"/>
      <c r="U2655" s="8"/>
    </row>
    <row r="2656" spans="1:34" ht="13" customHeight="1">
      <c r="A2656" s="8" t="s">
        <v>3267</v>
      </c>
      <c r="B2656" s="16">
        <v>45</v>
      </c>
      <c r="C2656" s="8" t="s">
        <v>20</v>
      </c>
      <c r="D2656" s="8" t="s">
        <v>48</v>
      </c>
      <c r="F2656" s="17">
        <v>41542</v>
      </c>
      <c r="G2656" s="8" t="s">
        <v>14084</v>
      </c>
      <c r="H2656" s="8" t="s">
        <v>726</v>
      </c>
      <c r="I2656" s="8" t="s">
        <v>73</v>
      </c>
      <c r="J2656" s="16" t="s">
        <v>14085</v>
      </c>
      <c r="K2656" s="2" t="s">
        <v>558</v>
      </c>
      <c r="L2656" s="8" t="s">
        <v>727</v>
      </c>
      <c r="M2656" s="8" t="s">
        <v>27</v>
      </c>
      <c r="N2656" s="2" t="s">
        <v>14086</v>
      </c>
      <c r="O2656" s="8" t="s">
        <v>1013</v>
      </c>
      <c r="P2656" s="8" t="s">
        <v>401</v>
      </c>
      <c r="Q2656" s="12" t="s">
        <v>14087</v>
      </c>
      <c r="R2656" s="8" t="s">
        <v>100</v>
      </c>
      <c r="S2656" s="7" t="s">
        <v>28</v>
      </c>
      <c r="T2656" s="6"/>
      <c r="U2656" s="8"/>
    </row>
    <row r="2657" spans="1:21" ht="13" customHeight="1">
      <c r="A2657" s="8" t="s">
        <v>14102</v>
      </c>
      <c r="B2657" s="16">
        <v>22</v>
      </c>
      <c r="C2657" s="8" t="s">
        <v>20</v>
      </c>
      <c r="D2657" s="8" t="s">
        <v>37</v>
      </c>
      <c r="E2657" s="8" t="s">
        <v>14103</v>
      </c>
      <c r="F2657" s="17">
        <v>41542</v>
      </c>
      <c r="G2657" s="8" t="s">
        <v>14104</v>
      </c>
      <c r="H2657" s="8" t="s">
        <v>5413</v>
      </c>
      <c r="I2657" s="8" t="s">
        <v>62</v>
      </c>
      <c r="J2657" s="16" t="s">
        <v>5414</v>
      </c>
      <c r="K2657" s="2" t="s">
        <v>3916</v>
      </c>
      <c r="L2657" s="8" t="s">
        <v>5415</v>
      </c>
      <c r="M2657" s="8" t="s">
        <v>27</v>
      </c>
      <c r="N2657" s="2" t="s">
        <v>14105</v>
      </c>
      <c r="O2657" s="8" t="s">
        <v>550</v>
      </c>
      <c r="P2657" s="8" t="s">
        <v>401</v>
      </c>
      <c r="Q2657" s="12" t="s">
        <v>14106</v>
      </c>
      <c r="R2657" s="8" t="s">
        <v>100</v>
      </c>
      <c r="S2657" s="7" t="s">
        <v>28</v>
      </c>
      <c r="T2657" s="6"/>
      <c r="U2657" s="8"/>
    </row>
    <row r="2658" spans="1:21" ht="13" customHeight="1">
      <c r="A2658" s="8" t="s">
        <v>14113</v>
      </c>
      <c r="B2658" s="16">
        <v>22</v>
      </c>
      <c r="C2658" s="8" t="s">
        <v>20</v>
      </c>
      <c r="D2658" s="8" t="s">
        <v>85</v>
      </c>
      <c r="E2658" s="8" t="s">
        <v>14114</v>
      </c>
      <c r="F2658" s="17">
        <v>41541</v>
      </c>
      <c r="G2658" s="8" t="s">
        <v>14115</v>
      </c>
      <c r="H2658" s="8" t="s">
        <v>493</v>
      </c>
      <c r="I2658" s="8" t="s">
        <v>366</v>
      </c>
      <c r="J2658" s="16" t="s">
        <v>14116</v>
      </c>
      <c r="K2658" s="2" t="s">
        <v>493</v>
      </c>
      <c r="L2658" s="8" t="s">
        <v>14117</v>
      </c>
      <c r="M2658" s="8" t="s">
        <v>27</v>
      </c>
      <c r="N2658" s="2" t="s">
        <v>14118</v>
      </c>
      <c r="O2658" s="8" t="s">
        <v>1013</v>
      </c>
      <c r="P2658" s="8" t="s">
        <v>401</v>
      </c>
      <c r="Q2658" s="12" t="s">
        <v>14119</v>
      </c>
      <c r="R2658" s="8" t="s">
        <v>29</v>
      </c>
      <c r="S2658" s="7" t="s">
        <v>28</v>
      </c>
      <c r="T2658" s="6"/>
      <c r="U2658" s="8"/>
    </row>
    <row r="2659" spans="1:21" ht="13" customHeight="1">
      <c r="A2659" s="8" t="s">
        <v>14107</v>
      </c>
      <c r="B2659" s="16">
        <v>26</v>
      </c>
      <c r="C2659" s="8" t="s">
        <v>20</v>
      </c>
      <c r="D2659" s="8" t="s">
        <v>85</v>
      </c>
      <c r="F2659" s="17">
        <v>41541</v>
      </c>
      <c r="G2659" s="8" t="s">
        <v>14108</v>
      </c>
      <c r="H2659" s="8" t="s">
        <v>1596</v>
      </c>
      <c r="I2659" s="8" t="s">
        <v>52</v>
      </c>
      <c r="J2659" s="16" t="s">
        <v>14109</v>
      </c>
      <c r="K2659" s="2" t="s">
        <v>4727</v>
      </c>
      <c r="L2659" s="8" t="s">
        <v>2782</v>
      </c>
      <c r="M2659" s="8" t="s">
        <v>379</v>
      </c>
      <c r="N2659" s="2" t="s">
        <v>21636</v>
      </c>
      <c r="O2659" s="8" t="s">
        <v>1013</v>
      </c>
      <c r="P2659" s="8" t="s">
        <v>401</v>
      </c>
      <c r="Q2659" s="12" t="s">
        <v>14111</v>
      </c>
      <c r="R2659" s="8" t="s">
        <v>100</v>
      </c>
      <c r="S2659" s="7" t="s">
        <v>18</v>
      </c>
      <c r="T2659" s="6"/>
      <c r="U2659" s="8"/>
    </row>
    <row r="2660" spans="1:21" ht="13" customHeight="1">
      <c r="A2660" s="8" t="s">
        <v>14112</v>
      </c>
      <c r="B2660" s="16">
        <v>30</v>
      </c>
      <c r="C2660" s="8" t="s">
        <v>20</v>
      </c>
      <c r="D2660" s="8" t="s">
        <v>85</v>
      </c>
      <c r="F2660" s="17">
        <v>41541</v>
      </c>
      <c r="G2660" s="8" t="s">
        <v>14108</v>
      </c>
      <c r="H2660" s="8" t="s">
        <v>1596</v>
      </c>
      <c r="I2660" s="8" t="s">
        <v>52</v>
      </c>
      <c r="J2660" s="16" t="s">
        <v>14109</v>
      </c>
      <c r="K2660" s="2" t="s">
        <v>4727</v>
      </c>
      <c r="L2660" s="8" t="s">
        <v>2782</v>
      </c>
      <c r="M2660" s="8" t="s">
        <v>379</v>
      </c>
      <c r="N2660" s="2" t="s">
        <v>14110</v>
      </c>
      <c r="O2660" s="8" t="s">
        <v>1013</v>
      </c>
      <c r="P2660" s="8" t="s">
        <v>401</v>
      </c>
      <c r="Q2660" s="12" t="s">
        <v>14111</v>
      </c>
      <c r="R2660" s="8" t="s">
        <v>100</v>
      </c>
      <c r="S2660" s="7" t="s">
        <v>379</v>
      </c>
      <c r="T2660" s="6"/>
      <c r="U2660" s="8"/>
    </row>
    <row r="2661" spans="1:21" ht="13" customHeight="1">
      <c r="A2661" s="8" t="s">
        <v>14120</v>
      </c>
      <c r="B2661" s="16">
        <v>21</v>
      </c>
      <c r="C2661" s="8" t="s">
        <v>20</v>
      </c>
      <c r="D2661" s="8" t="s">
        <v>37</v>
      </c>
      <c r="E2661" s="8" t="s">
        <v>14121</v>
      </c>
      <c r="F2661" s="17">
        <v>41541</v>
      </c>
      <c r="G2661" s="8" t="s">
        <v>14122</v>
      </c>
      <c r="H2661" s="8" t="s">
        <v>14123</v>
      </c>
      <c r="I2661" s="8" t="s">
        <v>45</v>
      </c>
      <c r="J2661" s="16" t="s">
        <v>14124</v>
      </c>
      <c r="K2661" s="2" t="s">
        <v>1064</v>
      </c>
      <c r="L2661" s="8" t="s">
        <v>2380</v>
      </c>
      <c r="M2661" s="8" t="s">
        <v>27</v>
      </c>
      <c r="N2661" s="2" t="s">
        <v>14125</v>
      </c>
      <c r="P2661" s="8" t="s">
        <v>401</v>
      </c>
      <c r="Q2661" s="12" t="s">
        <v>14126</v>
      </c>
      <c r="R2661" s="8" t="s">
        <v>29</v>
      </c>
      <c r="S2661" s="7" t="s">
        <v>28</v>
      </c>
      <c r="T2661" s="6"/>
      <c r="U2661" s="8"/>
    </row>
    <row r="2662" spans="1:21" ht="13" customHeight="1">
      <c r="A2662" s="8" t="s">
        <v>14127</v>
      </c>
      <c r="B2662" s="16">
        <v>27</v>
      </c>
      <c r="C2662" s="8" t="s">
        <v>20</v>
      </c>
      <c r="D2662" s="8" t="s">
        <v>37</v>
      </c>
      <c r="E2662" s="8" t="s">
        <v>14128</v>
      </c>
      <c r="F2662" s="17">
        <v>41541</v>
      </c>
      <c r="G2662" s="8" t="s">
        <v>14129</v>
      </c>
      <c r="H2662" s="8" t="s">
        <v>14130</v>
      </c>
      <c r="I2662" s="8" t="s">
        <v>217</v>
      </c>
      <c r="J2662" s="16" t="s">
        <v>14131</v>
      </c>
      <c r="K2662" s="2" t="s">
        <v>14132</v>
      </c>
      <c r="L2662" s="8" t="s">
        <v>14133</v>
      </c>
      <c r="M2662" s="8" t="s">
        <v>27</v>
      </c>
      <c r="N2662" s="2" t="s">
        <v>14134</v>
      </c>
      <c r="O2662" s="8" t="s">
        <v>1013</v>
      </c>
      <c r="P2662" s="8" t="s">
        <v>401</v>
      </c>
      <c r="Q2662" s="12" t="s">
        <v>14135</v>
      </c>
      <c r="R2662" s="8" t="s">
        <v>100</v>
      </c>
      <c r="S2662" s="7" t="s">
        <v>28</v>
      </c>
      <c r="T2662" s="6"/>
      <c r="U2662" s="8"/>
    </row>
    <row r="2663" spans="1:21" ht="13" customHeight="1">
      <c r="A2663" s="8" t="s">
        <v>14136</v>
      </c>
      <c r="B2663" s="16">
        <v>18</v>
      </c>
      <c r="C2663" s="8" t="s">
        <v>20</v>
      </c>
      <c r="D2663" s="8" t="s">
        <v>85</v>
      </c>
      <c r="E2663" s="8" t="s">
        <v>14137</v>
      </c>
      <c r="F2663" s="17">
        <v>41540</v>
      </c>
      <c r="G2663" s="8" t="s">
        <v>14138</v>
      </c>
      <c r="H2663" s="8" t="s">
        <v>712</v>
      </c>
      <c r="I2663" s="8" t="s">
        <v>431</v>
      </c>
      <c r="J2663" s="16" t="s">
        <v>6828</v>
      </c>
      <c r="K2663" s="2" t="s">
        <v>712</v>
      </c>
      <c r="L2663" s="8" t="s">
        <v>14139</v>
      </c>
      <c r="M2663" s="8" t="s">
        <v>27</v>
      </c>
      <c r="N2663" s="2" t="s">
        <v>14140</v>
      </c>
      <c r="O2663" s="8" t="s">
        <v>1013</v>
      </c>
      <c r="P2663" s="8" t="s">
        <v>401</v>
      </c>
      <c r="Q2663" s="12" t="s">
        <v>14141</v>
      </c>
      <c r="R2663" s="8" t="s">
        <v>100</v>
      </c>
      <c r="S2663" s="7" t="s">
        <v>28</v>
      </c>
      <c r="T2663" s="6"/>
      <c r="U2663" s="8"/>
    </row>
    <row r="2664" spans="1:21" ht="13" customHeight="1">
      <c r="A2664" s="8" t="s">
        <v>14150</v>
      </c>
      <c r="B2664" s="16">
        <v>27</v>
      </c>
      <c r="C2664" s="8" t="s">
        <v>20</v>
      </c>
      <c r="D2664" s="8" t="s">
        <v>37</v>
      </c>
      <c r="E2664" s="8" t="s">
        <v>14151</v>
      </c>
      <c r="F2664" s="17">
        <v>41540</v>
      </c>
      <c r="G2664" s="8" t="s">
        <v>14152</v>
      </c>
      <c r="H2664" s="8" t="s">
        <v>13531</v>
      </c>
      <c r="I2664" s="8" t="s">
        <v>62</v>
      </c>
      <c r="J2664" s="16" t="s">
        <v>14153</v>
      </c>
      <c r="K2664" s="2" t="s">
        <v>2316</v>
      </c>
      <c r="L2664" s="8" t="s">
        <v>14154</v>
      </c>
      <c r="M2664" s="8" t="s">
        <v>27</v>
      </c>
      <c r="N2664" s="2" t="s">
        <v>14155</v>
      </c>
      <c r="O2664" s="8" t="s">
        <v>1013</v>
      </c>
      <c r="P2664" s="8" t="s">
        <v>401</v>
      </c>
      <c r="Q2664" s="12" t="s">
        <v>14156</v>
      </c>
      <c r="R2664" s="8" t="s">
        <v>555</v>
      </c>
      <c r="S2664" s="7" t="s">
        <v>28</v>
      </c>
      <c r="T2664" s="6"/>
      <c r="U2664" s="8"/>
    </row>
    <row r="2665" spans="1:21" ht="13" customHeight="1">
      <c r="A2665" s="8" t="s">
        <v>14142</v>
      </c>
      <c r="B2665" s="16">
        <v>47</v>
      </c>
      <c r="C2665" s="8" t="s">
        <v>20</v>
      </c>
      <c r="D2665" s="8" t="s">
        <v>37</v>
      </c>
      <c r="E2665" s="8" t="s">
        <v>14143</v>
      </c>
      <c r="F2665" s="17">
        <v>41540</v>
      </c>
      <c r="G2665" s="8" t="s">
        <v>14144</v>
      </c>
      <c r="H2665" s="8" t="s">
        <v>14145</v>
      </c>
      <c r="I2665" s="8" t="s">
        <v>46</v>
      </c>
      <c r="J2665" s="16" t="s">
        <v>14146</v>
      </c>
      <c r="K2665" s="2" t="s">
        <v>5209</v>
      </c>
      <c r="L2665" s="8" t="s">
        <v>14147</v>
      </c>
      <c r="M2665" s="8" t="s">
        <v>27</v>
      </c>
      <c r="N2665" s="2" t="s">
        <v>14148</v>
      </c>
      <c r="O2665" s="8" t="s">
        <v>550</v>
      </c>
      <c r="P2665" s="8" t="s">
        <v>401</v>
      </c>
      <c r="Q2665" s="12" t="s">
        <v>14149</v>
      </c>
      <c r="R2665" s="8" t="s">
        <v>100</v>
      </c>
      <c r="S2665" s="7" t="s">
        <v>28</v>
      </c>
      <c r="T2665" s="6"/>
      <c r="U2665" s="8"/>
    </row>
    <row r="2666" spans="1:21" ht="13" customHeight="1">
      <c r="A2666" s="8" t="s">
        <v>14164</v>
      </c>
      <c r="B2666" s="16">
        <v>23</v>
      </c>
      <c r="C2666" s="8" t="s">
        <v>114</v>
      </c>
      <c r="D2666" s="8" t="s">
        <v>37</v>
      </c>
      <c r="E2666" s="8" t="s">
        <v>14165</v>
      </c>
      <c r="F2666" s="17">
        <v>41539</v>
      </c>
      <c r="G2666" s="8" t="s">
        <v>14166</v>
      </c>
      <c r="H2666" s="8" t="s">
        <v>1074</v>
      </c>
      <c r="I2666" s="8" t="s">
        <v>46</v>
      </c>
      <c r="J2666" s="16" t="s">
        <v>14167</v>
      </c>
      <c r="K2666" s="2" t="s">
        <v>1074</v>
      </c>
      <c r="L2666" s="8" t="s">
        <v>16633</v>
      </c>
      <c r="M2666" s="8" t="s">
        <v>379</v>
      </c>
      <c r="N2666" s="2" t="s">
        <v>14168</v>
      </c>
      <c r="O2666" s="8" t="s">
        <v>1790</v>
      </c>
      <c r="P2666" s="8" t="s">
        <v>1162</v>
      </c>
      <c r="Q2666" s="12" t="s">
        <v>14169</v>
      </c>
      <c r="R2666" s="8" t="s">
        <v>100</v>
      </c>
      <c r="S2666" s="7" t="s">
        <v>18</v>
      </c>
      <c r="T2666" s="6"/>
      <c r="U2666" s="8"/>
    </row>
    <row r="2667" spans="1:21" ht="13" customHeight="1">
      <c r="A2667" s="8" t="s">
        <v>14170</v>
      </c>
      <c r="B2667" s="16">
        <v>64</v>
      </c>
      <c r="C2667" s="8" t="s">
        <v>114</v>
      </c>
      <c r="D2667" s="8" t="s">
        <v>37</v>
      </c>
      <c r="E2667" s="8" t="s">
        <v>14165</v>
      </c>
      <c r="F2667" s="17">
        <v>41539</v>
      </c>
      <c r="G2667" s="8" t="s">
        <v>14171</v>
      </c>
      <c r="H2667" s="8" t="s">
        <v>1074</v>
      </c>
      <c r="I2667" s="8" t="s">
        <v>46</v>
      </c>
      <c r="J2667" s="16" t="s">
        <v>14167</v>
      </c>
      <c r="K2667" s="2" t="s">
        <v>1074</v>
      </c>
      <c r="L2667" s="8" t="s">
        <v>16633</v>
      </c>
      <c r="M2667" s="8" t="s">
        <v>379</v>
      </c>
      <c r="N2667" s="2" t="s">
        <v>14172</v>
      </c>
      <c r="O2667" s="8" t="s">
        <v>1790</v>
      </c>
      <c r="P2667" s="8" t="s">
        <v>1162</v>
      </c>
      <c r="Q2667" s="12" t="s">
        <v>14169</v>
      </c>
      <c r="R2667" s="8" t="s">
        <v>100</v>
      </c>
      <c r="S2667" s="7" t="s">
        <v>18</v>
      </c>
      <c r="T2667" s="6"/>
      <c r="U2667" s="8"/>
    </row>
    <row r="2668" spans="1:21" ht="13" customHeight="1">
      <c r="A2668" s="8" t="s">
        <v>14157</v>
      </c>
      <c r="B2668" s="16">
        <v>19</v>
      </c>
      <c r="C2668" s="8" t="s">
        <v>114</v>
      </c>
      <c r="D2668" s="8" t="s">
        <v>37</v>
      </c>
      <c r="E2668" s="8" t="s">
        <v>14158</v>
      </c>
      <c r="F2668" s="17">
        <v>41539</v>
      </c>
      <c r="G2668" s="8" t="s">
        <v>14159</v>
      </c>
      <c r="H2668" s="8" t="s">
        <v>14160</v>
      </c>
      <c r="I2668" s="8" t="s">
        <v>45</v>
      </c>
      <c r="J2668" s="16">
        <v>95928</v>
      </c>
      <c r="K2668" s="2" t="s">
        <v>5271</v>
      </c>
      <c r="L2668" s="8" t="s">
        <v>14161</v>
      </c>
      <c r="M2668" s="8" t="s">
        <v>27</v>
      </c>
      <c r="N2668" s="2" t="s">
        <v>14162</v>
      </c>
      <c r="O2668" s="8" t="s">
        <v>550</v>
      </c>
      <c r="P2668" s="8" t="s">
        <v>401</v>
      </c>
      <c r="Q2668" s="12" t="s">
        <v>14163</v>
      </c>
      <c r="R2668" s="8" t="s">
        <v>967</v>
      </c>
      <c r="S2668" s="7" t="s">
        <v>379</v>
      </c>
      <c r="T2668" s="6"/>
      <c r="U2668" s="8"/>
    </row>
    <row r="2669" spans="1:21" ht="13" customHeight="1">
      <c r="A2669" s="8" t="s">
        <v>14173</v>
      </c>
      <c r="B2669" s="16">
        <v>39</v>
      </c>
      <c r="C2669" s="8" t="s">
        <v>20</v>
      </c>
      <c r="D2669" s="8" t="s">
        <v>37</v>
      </c>
      <c r="E2669" s="8" t="s">
        <v>14174</v>
      </c>
      <c r="F2669" s="17">
        <v>41539</v>
      </c>
      <c r="G2669" s="8" t="s">
        <v>14175</v>
      </c>
      <c r="H2669" s="8" t="s">
        <v>14176</v>
      </c>
      <c r="I2669" s="8" t="s">
        <v>370</v>
      </c>
      <c r="J2669" s="16" t="s">
        <v>14177</v>
      </c>
      <c r="K2669" s="2" t="s">
        <v>4056</v>
      </c>
      <c r="L2669" s="8" t="s">
        <v>14178</v>
      </c>
      <c r="M2669" s="8" t="s">
        <v>3386</v>
      </c>
      <c r="N2669" s="2" t="s">
        <v>14179</v>
      </c>
      <c r="O2669" s="8" t="s">
        <v>550</v>
      </c>
      <c r="P2669" s="8" t="s">
        <v>401</v>
      </c>
      <c r="Q2669" s="12" t="str">
        <f>HYPERLINK("http://www.dps.state.ia.us/commis/pib/Releases/2013/12-14-2013_Northwood_Results.htm","http://www.dps.state.ia.us/commis/pib/Releases/2013/12-14-2013_Northwood_Results.htm")</f>
        <v>http://www.dps.state.ia.us/commis/pib/Releases/2013/12-14-2013_Northwood_Results.htm</v>
      </c>
      <c r="R2669" s="8" t="s">
        <v>967</v>
      </c>
      <c r="S2669" s="7" t="s">
        <v>28</v>
      </c>
      <c r="T2669" s="6"/>
      <c r="U2669" s="8"/>
    </row>
    <row r="2670" spans="1:21" ht="13" customHeight="1">
      <c r="A2670" s="8" t="s">
        <v>14180</v>
      </c>
      <c r="B2670" s="16">
        <v>58</v>
      </c>
      <c r="C2670" s="8" t="s">
        <v>20</v>
      </c>
      <c r="D2670" s="8" t="s">
        <v>30</v>
      </c>
      <c r="F2670" s="17">
        <v>41538</v>
      </c>
      <c r="G2670" s="8" t="s">
        <v>14181</v>
      </c>
      <c r="H2670" s="8" t="s">
        <v>1301</v>
      </c>
      <c r="I2670" s="8" t="s">
        <v>209</v>
      </c>
      <c r="J2670" s="16" t="s">
        <v>14182</v>
      </c>
      <c r="K2670" s="2" t="s">
        <v>1301</v>
      </c>
      <c r="L2670" s="8" t="s">
        <v>1302</v>
      </c>
      <c r="M2670" s="8" t="s">
        <v>27</v>
      </c>
      <c r="N2670" s="2" t="s">
        <v>14183</v>
      </c>
      <c r="O2670" s="8" t="s">
        <v>4714</v>
      </c>
      <c r="P2670" s="8" t="s">
        <v>401</v>
      </c>
      <c r="Q2670" s="12" t="str">
        <f>HYPERLINK("http://www.denverpost.com/breakingnews/ci_24147149/police-fatally-shoot-denver-bank-robbery-suspect","http://www.denverpost.com/breakingnews/ci_24147149/police-fatally-shoot-denver-bank-robbery-suspect")</f>
        <v>http://www.denverpost.com/breakingnews/ci_24147149/police-fatally-shoot-denver-bank-robbery-suspect</v>
      </c>
      <c r="R2670" s="8" t="s">
        <v>100</v>
      </c>
      <c r="S2670" s="7" t="s">
        <v>35</v>
      </c>
      <c r="T2670" s="6"/>
      <c r="U2670" s="8"/>
    </row>
    <row r="2671" spans="1:21" ht="13" customHeight="1">
      <c r="A2671" s="8" t="s">
        <v>14184</v>
      </c>
      <c r="B2671" s="16">
        <v>66</v>
      </c>
      <c r="C2671" s="8" t="s">
        <v>20</v>
      </c>
      <c r="D2671" s="8" t="s">
        <v>37</v>
      </c>
      <c r="F2671" s="17">
        <v>41538</v>
      </c>
      <c r="G2671" s="8" t="s">
        <v>14185</v>
      </c>
      <c r="H2671" s="8" t="s">
        <v>14186</v>
      </c>
      <c r="I2671" s="8" t="s">
        <v>45</v>
      </c>
      <c r="J2671" s="16" t="s">
        <v>14187</v>
      </c>
      <c r="K2671" s="2" t="s">
        <v>98</v>
      </c>
      <c r="L2671" s="8" t="s">
        <v>14188</v>
      </c>
      <c r="M2671" s="8" t="s">
        <v>27</v>
      </c>
      <c r="N2671" s="2" t="s">
        <v>14189</v>
      </c>
      <c r="O2671" s="8" t="s">
        <v>1013</v>
      </c>
      <c r="P2671" s="8" t="s">
        <v>401</v>
      </c>
      <c r="Q2671" s="12" t="str">
        <f>HYPERLINK("http://www.culvercityobserver.com/story/2013/10/10/news/man-shot-at-ccpd-hq-identified/3089.html","http://www.culvercityobserver.com/story/2013/10/10/news/man-shot-at-ccpd-hq-identified/3089.html")</f>
        <v>http://www.culvercityobserver.com/story/2013/10/10/news/man-shot-at-ccpd-hq-identified/3089.html</v>
      </c>
      <c r="R2671" s="8" t="s">
        <v>29</v>
      </c>
      <c r="S2671" s="7" t="s">
        <v>28</v>
      </c>
      <c r="T2671" s="6"/>
      <c r="U2671" s="8"/>
    </row>
    <row r="2672" spans="1:21" ht="13" customHeight="1">
      <c r="A2672" s="8" t="s">
        <v>14190</v>
      </c>
      <c r="B2672" s="16">
        <v>33</v>
      </c>
      <c r="C2672" s="8" t="s">
        <v>20</v>
      </c>
      <c r="D2672" s="8" t="s">
        <v>37</v>
      </c>
      <c r="E2672" s="8" t="s">
        <v>14191</v>
      </c>
      <c r="F2672" s="17">
        <v>41538</v>
      </c>
      <c r="G2672" s="8" t="s">
        <v>14192</v>
      </c>
      <c r="H2672" s="8" t="s">
        <v>2497</v>
      </c>
      <c r="I2672" s="8" t="s">
        <v>395</v>
      </c>
      <c r="J2672" s="16" t="s">
        <v>14193</v>
      </c>
      <c r="K2672" s="2" t="s">
        <v>2497</v>
      </c>
      <c r="L2672" s="8" t="s">
        <v>2048</v>
      </c>
      <c r="M2672" s="8" t="s">
        <v>27</v>
      </c>
      <c r="N2672" s="2" t="s">
        <v>14194</v>
      </c>
      <c r="O2672" s="8" t="s">
        <v>550</v>
      </c>
      <c r="P2672" s="8" t="s">
        <v>401</v>
      </c>
      <c r="Q2672" s="12" t="s">
        <v>14195</v>
      </c>
      <c r="R2672" s="8" t="s">
        <v>100</v>
      </c>
      <c r="S2672" s="7" t="s">
        <v>18</v>
      </c>
      <c r="T2672" s="6"/>
      <c r="U2672" s="8"/>
    </row>
    <row r="2673" spans="1:34" ht="13" customHeight="1">
      <c r="A2673" s="8" t="s">
        <v>14196</v>
      </c>
      <c r="B2673" s="16">
        <v>24</v>
      </c>
      <c r="C2673" s="8" t="s">
        <v>20</v>
      </c>
      <c r="D2673" s="8" t="s">
        <v>85</v>
      </c>
      <c r="E2673" s="8" t="s">
        <v>14197</v>
      </c>
      <c r="F2673" s="17">
        <v>41537</v>
      </c>
      <c r="G2673" s="8" t="s">
        <v>14198</v>
      </c>
      <c r="H2673" s="8" t="s">
        <v>216</v>
      </c>
      <c r="I2673" s="8" t="s">
        <v>217</v>
      </c>
      <c r="J2673" s="16" t="s">
        <v>419</v>
      </c>
      <c r="K2673" s="2" t="s">
        <v>420</v>
      </c>
      <c r="L2673" s="8" t="s">
        <v>218</v>
      </c>
      <c r="M2673" s="8" t="s">
        <v>27</v>
      </c>
      <c r="N2673" s="2" t="s">
        <v>14199</v>
      </c>
      <c r="O2673" s="8" t="s">
        <v>1013</v>
      </c>
      <c r="P2673" s="8" t="s">
        <v>401</v>
      </c>
      <c r="Q2673" s="12" t="s">
        <v>14200</v>
      </c>
      <c r="R2673" s="8" t="s">
        <v>100</v>
      </c>
      <c r="S2673" s="7" t="s">
        <v>28</v>
      </c>
      <c r="T2673" s="6"/>
      <c r="U2673" s="8"/>
    </row>
    <row r="2674" spans="1:34" ht="13" customHeight="1">
      <c r="A2674" s="8" t="s">
        <v>14201</v>
      </c>
      <c r="B2674" s="16">
        <v>20</v>
      </c>
      <c r="C2674" s="8" t="s">
        <v>20</v>
      </c>
      <c r="D2674" s="8" t="s">
        <v>48</v>
      </c>
      <c r="F2674" s="17">
        <v>41537</v>
      </c>
      <c r="G2674" s="8" t="s">
        <v>14202</v>
      </c>
      <c r="H2674" s="8" t="s">
        <v>14203</v>
      </c>
      <c r="I2674" s="8" t="s">
        <v>45</v>
      </c>
      <c r="J2674" s="16" t="s">
        <v>14204</v>
      </c>
      <c r="K2674" s="2" t="s">
        <v>1166</v>
      </c>
      <c r="L2674" s="8" t="s">
        <v>14205</v>
      </c>
      <c r="M2674" s="8" t="s">
        <v>27</v>
      </c>
      <c r="N2674" s="2" t="s">
        <v>14206</v>
      </c>
      <c r="O2674" s="8" t="s">
        <v>1013</v>
      </c>
      <c r="P2674" s="8" t="s">
        <v>401</v>
      </c>
      <c r="Q2674" s="12" t="s">
        <v>14207</v>
      </c>
      <c r="R2674" s="8" t="s">
        <v>100</v>
      </c>
      <c r="S2674" s="7" t="s">
        <v>28</v>
      </c>
      <c r="T2674" s="6"/>
      <c r="U2674" s="8"/>
    </row>
    <row r="2675" spans="1:34" ht="13" customHeight="1">
      <c r="A2675" s="8" t="s">
        <v>14208</v>
      </c>
      <c r="B2675" s="16">
        <v>20</v>
      </c>
      <c r="C2675" s="8" t="s">
        <v>20</v>
      </c>
      <c r="D2675" s="8" t="s">
        <v>48</v>
      </c>
      <c r="F2675" s="17">
        <v>41535</v>
      </c>
      <c r="G2675" s="8" t="s">
        <v>14209</v>
      </c>
      <c r="H2675" s="8" t="s">
        <v>726</v>
      </c>
      <c r="I2675" s="8" t="s">
        <v>73</v>
      </c>
      <c r="J2675" s="16" t="s">
        <v>14210</v>
      </c>
      <c r="K2675" s="2" t="s">
        <v>558</v>
      </c>
      <c r="L2675" s="8" t="s">
        <v>559</v>
      </c>
      <c r="M2675" s="8" t="s">
        <v>27</v>
      </c>
      <c r="N2675" s="2" t="s">
        <v>14211</v>
      </c>
      <c r="O2675" s="8" t="s">
        <v>4714</v>
      </c>
      <c r="P2675" s="8" t="s">
        <v>401</v>
      </c>
      <c r="Q2675" s="12" t="s">
        <v>14212</v>
      </c>
      <c r="R2675" s="8" t="s">
        <v>100</v>
      </c>
      <c r="S2675" s="7" t="s">
        <v>28</v>
      </c>
      <c r="T2675" s="6"/>
      <c r="U2675" s="8"/>
    </row>
    <row r="2676" spans="1:34" ht="13" customHeight="1">
      <c r="A2676" s="8" t="s">
        <v>3267</v>
      </c>
      <c r="B2676" s="16" t="s">
        <v>29</v>
      </c>
      <c r="C2676" s="8" t="s">
        <v>20</v>
      </c>
      <c r="D2676" s="8" t="s">
        <v>48</v>
      </c>
      <c r="F2676" s="17">
        <v>41535</v>
      </c>
      <c r="G2676" s="8" t="s">
        <v>14213</v>
      </c>
      <c r="H2676" s="8" t="s">
        <v>98</v>
      </c>
      <c r="I2676" s="8" t="s">
        <v>45</v>
      </c>
      <c r="J2676" s="16" t="s">
        <v>8376</v>
      </c>
      <c r="K2676" s="2" t="s">
        <v>98</v>
      </c>
      <c r="L2676" s="8" t="s">
        <v>99</v>
      </c>
      <c r="M2676" s="8" t="s">
        <v>27</v>
      </c>
      <c r="N2676" s="2" t="s">
        <v>14214</v>
      </c>
      <c r="O2676" s="8" t="s">
        <v>1013</v>
      </c>
      <c r="P2676" s="8" t="s">
        <v>401</v>
      </c>
      <c r="Q2676" s="12" t="s">
        <v>14215</v>
      </c>
      <c r="R2676" s="8" t="s">
        <v>100</v>
      </c>
      <c r="S2676" s="7" t="s">
        <v>28</v>
      </c>
      <c r="T2676" s="6"/>
      <c r="U2676" s="8"/>
    </row>
    <row r="2677" spans="1:34" ht="13" customHeight="1">
      <c r="A2677" s="8" t="s">
        <v>14216</v>
      </c>
      <c r="B2677" s="16">
        <v>59</v>
      </c>
      <c r="C2677" s="8" t="s">
        <v>20</v>
      </c>
      <c r="D2677" s="8" t="s">
        <v>48</v>
      </c>
      <c r="F2677" s="17">
        <v>41535</v>
      </c>
      <c r="G2677" s="8" t="s">
        <v>14217</v>
      </c>
      <c r="H2677" s="8" t="s">
        <v>98</v>
      </c>
      <c r="I2677" s="8" t="s">
        <v>45</v>
      </c>
      <c r="J2677" s="16" t="s">
        <v>8376</v>
      </c>
      <c r="K2677" s="2" t="s">
        <v>98</v>
      </c>
      <c r="L2677" s="8" t="s">
        <v>14218</v>
      </c>
      <c r="M2677" s="8" t="s">
        <v>27</v>
      </c>
      <c r="N2677" s="2" t="s">
        <v>14219</v>
      </c>
      <c r="O2677" s="8" t="s">
        <v>1013</v>
      </c>
      <c r="P2677" s="8" t="s">
        <v>401</v>
      </c>
      <c r="Q2677" s="12" t="str">
        <f>HYPERLINK("http://homicide.latimes.com/post/ruben-ramos-escobedo/","http://homicide.latimes.com/post/ruben-ramos-escobedo/")</f>
        <v>http://homicide.latimes.com/post/ruben-ramos-escobedo/</v>
      </c>
      <c r="R2677" s="8" t="s">
        <v>29</v>
      </c>
      <c r="S2677" s="7" t="s">
        <v>35</v>
      </c>
      <c r="T2677" s="6"/>
      <c r="U2677" s="8"/>
    </row>
    <row r="2678" spans="1:34" ht="13" customHeight="1">
      <c r="A2678" s="8" t="s">
        <v>14220</v>
      </c>
      <c r="B2678" s="16">
        <v>53</v>
      </c>
      <c r="C2678" s="8" t="s">
        <v>20</v>
      </c>
      <c r="D2678" s="8" t="s">
        <v>30</v>
      </c>
      <c r="F2678" s="17">
        <v>41535</v>
      </c>
      <c r="G2678" s="8" t="s">
        <v>14221</v>
      </c>
      <c r="H2678" s="8" t="s">
        <v>14222</v>
      </c>
      <c r="I2678" s="8" t="s">
        <v>62</v>
      </c>
      <c r="J2678" s="16" t="s">
        <v>14223</v>
      </c>
      <c r="K2678" s="2" t="s">
        <v>1064</v>
      </c>
      <c r="L2678" s="8" t="s">
        <v>14224</v>
      </c>
      <c r="M2678" s="8" t="s">
        <v>27</v>
      </c>
      <c r="N2678" s="2" t="s">
        <v>14225</v>
      </c>
      <c r="O2678" s="8" t="s">
        <v>1013</v>
      </c>
      <c r="P2678" s="8" t="s">
        <v>401</v>
      </c>
      <c r="Q2678" s="59" t="str">
        <f>HYPERLINK("http://articles.orlandosentinel.com/2013-09-18/news/os-winter-garden-officer-involved-shooting-20130918_1_winter-garden-man-unarmed-man-roommate","http://articles.orlandosentinel.com/2013-09-18/news/os-winter-garden-officer-involved-shooting-20130918_1_winter-garden-man-unarmed-man-roommate")</f>
        <v>http://articles.orlandosentinel.com/2013-09-18/news/os-winter-garden-officer-involved-shooting-20130918_1_winter-garden-man-unarmed-man-roommate</v>
      </c>
      <c r="R2678" s="8" t="s">
        <v>100</v>
      </c>
      <c r="S2678" s="7" t="s">
        <v>18</v>
      </c>
      <c r="T2678" s="6"/>
      <c r="U2678" s="8"/>
      <c r="V2678" s="13"/>
      <c r="W2678" s="13"/>
      <c r="X2678" s="13"/>
    </row>
    <row r="2679" spans="1:34" ht="13" customHeight="1">
      <c r="A2679" s="8" t="s">
        <v>14226</v>
      </c>
      <c r="B2679" s="16">
        <v>26</v>
      </c>
      <c r="C2679" s="8" t="s">
        <v>20</v>
      </c>
      <c r="D2679" s="8" t="s">
        <v>85</v>
      </c>
      <c r="E2679" s="8" t="s">
        <v>14227</v>
      </c>
      <c r="F2679" s="17">
        <v>41534</v>
      </c>
      <c r="G2679" s="8" t="s">
        <v>14228</v>
      </c>
      <c r="H2679" s="8" t="s">
        <v>493</v>
      </c>
      <c r="I2679" s="8" t="s">
        <v>366</v>
      </c>
      <c r="J2679" s="16" t="s">
        <v>13043</v>
      </c>
      <c r="K2679" s="2" t="s">
        <v>493</v>
      </c>
      <c r="L2679" s="8" t="s">
        <v>495</v>
      </c>
      <c r="M2679" s="8" t="s">
        <v>27</v>
      </c>
      <c r="N2679" s="2" t="s">
        <v>14229</v>
      </c>
      <c r="O2679" s="8" t="s">
        <v>550</v>
      </c>
      <c r="P2679" s="8" t="s">
        <v>401</v>
      </c>
      <c r="Q2679" s="12" t="s">
        <v>14230</v>
      </c>
      <c r="R2679" s="8" t="s">
        <v>555</v>
      </c>
      <c r="S2679" s="7" t="s">
        <v>28</v>
      </c>
      <c r="T2679" s="6"/>
      <c r="U2679" s="8"/>
    </row>
    <row r="2680" spans="1:34" ht="13" customHeight="1">
      <c r="A2680" s="8" t="s">
        <v>14231</v>
      </c>
      <c r="B2680" s="16">
        <v>25</v>
      </c>
      <c r="C2680" s="8" t="s">
        <v>20</v>
      </c>
      <c r="D2680" s="8" t="s">
        <v>85</v>
      </c>
      <c r="F2680" s="17">
        <v>41534</v>
      </c>
      <c r="G2680" s="8" t="s">
        <v>14232</v>
      </c>
      <c r="H2680" s="8" t="s">
        <v>757</v>
      </c>
      <c r="I2680" s="8" t="s">
        <v>423</v>
      </c>
      <c r="J2680" s="16" t="s">
        <v>14233</v>
      </c>
      <c r="K2680" s="2" t="s">
        <v>1847</v>
      </c>
      <c r="L2680" s="8" t="s">
        <v>582</v>
      </c>
      <c r="M2680" s="8" t="s">
        <v>3386</v>
      </c>
      <c r="N2680" s="2" t="s">
        <v>14234</v>
      </c>
      <c r="O2680" s="8" t="s">
        <v>1013</v>
      </c>
      <c r="P2680" s="8" t="s">
        <v>401</v>
      </c>
      <c r="Q2680" s="12" t="s">
        <v>14235</v>
      </c>
      <c r="R2680" s="8" t="s">
        <v>100</v>
      </c>
      <c r="S2680" s="7" t="s">
        <v>18</v>
      </c>
      <c r="T2680" s="6"/>
      <c r="U2680" s="8"/>
    </row>
    <row r="2681" spans="1:34" ht="13" customHeight="1">
      <c r="A2681" s="8" t="s">
        <v>14236</v>
      </c>
      <c r="B2681" s="16">
        <v>40</v>
      </c>
      <c r="C2681" s="8" t="s">
        <v>20</v>
      </c>
      <c r="D2681" s="8" t="s">
        <v>37</v>
      </c>
      <c r="E2681" s="8" t="s">
        <v>14237</v>
      </c>
      <c r="F2681" s="17">
        <v>41534</v>
      </c>
      <c r="G2681" s="8" t="s">
        <v>14238</v>
      </c>
      <c r="H2681" s="8" t="s">
        <v>14239</v>
      </c>
      <c r="I2681" s="8" t="s">
        <v>981</v>
      </c>
      <c r="J2681" s="16" t="s">
        <v>14240</v>
      </c>
      <c r="K2681" s="2" t="s">
        <v>37</v>
      </c>
      <c r="L2681" s="8" t="s">
        <v>6523</v>
      </c>
      <c r="M2681" s="8" t="s">
        <v>27</v>
      </c>
      <c r="N2681" s="2" t="s">
        <v>14241</v>
      </c>
      <c r="O2681" s="8" t="s">
        <v>1013</v>
      </c>
      <c r="P2681" s="8" t="s">
        <v>401</v>
      </c>
      <c r="Q2681" s="12" t="s">
        <v>14242</v>
      </c>
      <c r="R2681" s="8" t="s">
        <v>100</v>
      </c>
      <c r="S2681" s="7" t="s">
        <v>28</v>
      </c>
      <c r="T2681" s="6"/>
      <c r="U2681" s="8"/>
      <c r="Y2681" s="8"/>
      <c r="Z2681" s="8"/>
      <c r="AA2681" s="8"/>
      <c r="AB2681" s="8"/>
      <c r="AC2681" s="8"/>
      <c r="AD2681" s="8"/>
      <c r="AE2681" s="8"/>
      <c r="AF2681" s="8"/>
      <c r="AG2681" s="8"/>
      <c r="AH2681" s="8"/>
    </row>
    <row r="2682" spans="1:34" ht="13" customHeight="1">
      <c r="A2682" s="8" t="s">
        <v>14243</v>
      </c>
      <c r="B2682" s="16">
        <v>34</v>
      </c>
      <c r="C2682" s="8" t="s">
        <v>20</v>
      </c>
      <c r="D2682" s="8" t="s">
        <v>85</v>
      </c>
      <c r="E2682" s="8" t="s">
        <v>14244</v>
      </c>
      <c r="F2682" s="17">
        <v>41533</v>
      </c>
      <c r="G2682" s="8" t="s">
        <v>14245</v>
      </c>
      <c r="H2682" s="8" t="s">
        <v>118</v>
      </c>
      <c r="I2682" s="8" t="s">
        <v>3685</v>
      </c>
      <c r="J2682" s="16" t="s">
        <v>14246</v>
      </c>
      <c r="K2682" s="2" t="s">
        <v>3687</v>
      </c>
      <c r="L2682" s="8" t="s">
        <v>19723</v>
      </c>
      <c r="M2682" s="8" t="s">
        <v>27</v>
      </c>
      <c r="N2682" s="2" t="s">
        <v>14247</v>
      </c>
      <c r="O2682" s="8" t="s">
        <v>550</v>
      </c>
      <c r="P2682" s="8" t="s">
        <v>401</v>
      </c>
      <c r="Q2682" s="12" t="s">
        <v>14248</v>
      </c>
      <c r="R2682" s="8" t="s">
        <v>100</v>
      </c>
      <c r="S2682" s="7" t="s">
        <v>28</v>
      </c>
      <c r="T2682" s="6"/>
      <c r="U2682" s="8"/>
    </row>
    <row r="2683" spans="1:34" ht="13" customHeight="1">
      <c r="A2683" s="8" t="s">
        <v>14249</v>
      </c>
      <c r="B2683" s="16">
        <v>39</v>
      </c>
      <c r="C2683" s="8" t="s">
        <v>20</v>
      </c>
      <c r="D2683" s="8" t="s">
        <v>85</v>
      </c>
      <c r="E2683" s="8" t="s">
        <v>14250</v>
      </c>
      <c r="F2683" s="17">
        <v>41533</v>
      </c>
      <c r="G2683" s="8" t="s">
        <v>14251</v>
      </c>
      <c r="H2683" s="8" t="s">
        <v>51</v>
      </c>
      <c r="I2683" s="8" t="s">
        <v>32</v>
      </c>
      <c r="J2683" s="16" t="s">
        <v>13697</v>
      </c>
      <c r="K2683" s="2" t="s">
        <v>2599</v>
      </c>
      <c r="L2683" s="8" t="s">
        <v>14252</v>
      </c>
      <c r="M2683" s="8" t="s">
        <v>27</v>
      </c>
      <c r="N2683" s="2" t="s">
        <v>14253</v>
      </c>
      <c r="O2683" s="8" t="s">
        <v>1013</v>
      </c>
      <c r="P2683" s="8" t="s">
        <v>401</v>
      </c>
      <c r="Q2683" s="12" t="s">
        <v>14254</v>
      </c>
      <c r="R2683" s="8" t="s">
        <v>100</v>
      </c>
      <c r="S2683" s="7" t="s">
        <v>28</v>
      </c>
      <c r="T2683" s="6"/>
      <c r="U2683" s="8"/>
    </row>
    <row r="2684" spans="1:34" ht="13" customHeight="1">
      <c r="A2684" s="8" t="s">
        <v>14255</v>
      </c>
      <c r="B2684" s="16">
        <v>34</v>
      </c>
      <c r="C2684" s="8" t="s">
        <v>20</v>
      </c>
      <c r="D2684" s="8" t="s">
        <v>48</v>
      </c>
      <c r="E2684" s="8" t="s">
        <v>14256</v>
      </c>
      <c r="F2684" s="17">
        <v>41533</v>
      </c>
      <c r="G2684" s="8" t="s">
        <v>14257</v>
      </c>
      <c r="H2684" s="8" t="s">
        <v>681</v>
      </c>
      <c r="I2684" s="8" t="s">
        <v>45</v>
      </c>
      <c r="J2684" s="16" t="s">
        <v>14258</v>
      </c>
      <c r="K2684" s="2" t="s">
        <v>682</v>
      </c>
      <c r="L2684" s="8" t="s">
        <v>683</v>
      </c>
      <c r="M2684" s="8" t="s">
        <v>27</v>
      </c>
      <c r="N2684" s="2" t="s">
        <v>14259</v>
      </c>
      <c r="O2684" s="8" t="s">
        <v>550</v>
      </c>
      <c r="P2684" s="8" t="s">
        <v>401</v>
      </c>
      <c r="Q2684" s="12" t="s">
        <v>14260</v>
      </c>
      <c r="R2684" s="8" t="s">
        <v>100</v>
      </c>
      <c r="S2684" s="7" t="s">
        <v>18</v>
      </c>
      <c r="T2684" s="6"/>
      <c r="U2684" s="8"/>
      <c r="Y2684" s="8"/>
      <c r="Z2684" s="8"/>
      <c r="AA2684" s="8"/>
      <c r="AB2684" s="8"/>
      <c r="AC2684" s="8"/>
      <c r="AD2684" s="8"/>
      <c r="AE2684" s="8"/>
      <c r="AF2684" s="8"/>
      <c r="AG2684" s="8"/>
      <c r="AH2684" s="8"/>
    </row>
    <row r="2685" spans="1:34" ht="13" customHeight="1">
      <c r="A2685" s="8" t="s">
        <v>14261</v>
      </c>
      <c r="B2685" s="16">
        <v>32</v>
      </c>
      <c r="C2685" s="8" t="s">
        <v>20</v>
      </c>
      <c r="D2685" s="8" t="s">
        <v>37</v>
      </c>
      <c r="E2685" s="8" t="s">
        <v>14262</v>
      </c>
      <c r="F2685" s="17">
        <v>41533</v>
      </c>
      <c r="G2685" s="8" t="s">
        <v>14257</v>
      </c>
      <c r="H2685" s="8" t="s">
        <v>681</v>
      </c>
      <c r="I2685" s="8" t="s">
        <v>45</v>
      </c>
      <c r="J2685" s="16" t="s">
        <v>14258</v>
      </c>
      <c r="K2685" s="2" t="s">
        <v>682</v>
      </c>
      <c r="L2685" s="8" t="s">
        <v>683</v>
      </c>
      <c r="M2685" s="8" t="s">
        <v>27</v>
      </c>
      <c r="N2685" s="2" t="s">
        <v>14263</v>
      </c>
      <c r="O2685" s="8" t="s">
        <v>550</v>
      </c>
      <c r="P2685" s="8" t="s">
        <v>401</v>
      </c>
      <c r="Q2685" s="12" t="s">
        <v>14264</v>
      </c>
      <c r="R2685" s="8" t="s">
        <v>100</v>
      </c>
      <c r="S2685" s="7" t="s">
        <v>28</v>
      </c>
      <c r="T2685" s="6"/>
      <c r="U2685" s="8"/>
    </row>
    <row r="2686" spans="1:34" ht="13" customHeight="1">
      <c r="A2686" s="8" t="s">
        <v>14270</v>
      </c>
      <c r="B2686" s="16">
        <v>24</v>
      </c>
      <c r="C2686" s="8" t="s">
        <v>20</v>
      </c>
      <c r="D2686" s="8" t="s">
        <v>85</v>
      </c>
      <c r="E2686" s="8" t="s">
        <v>14271</v>
      </c>
      <c r="F2686" s="17">
        <v>41531</v>
      </c>
      <c r="G2686" s="8" t="s">
        <v>14272</v>
      </c>
      <c r="H2686" s="8" t="s">
        <v>4218</v>
      </c>
      <c r="I2686" s="8" t="s">
        <v>366</v>
      </c>
      <c r="J2686" s="16">
        <v>28215</v>
      </c>
      <c r="K2686" s="2" t="s">
        <v>4220</v>
      </c>
      <c r="L2686" s="8" t="s">
        <v>4221</v>
      </c>
      <c r="M2686" s="8" t="s">
        <v>27</v>
      </c>
      <c r="N2686" s="2" t="s">
        <v>14273</v>
      </c>
      <c r="O2686" s="8" t="s">
        <v>1161</v>
      </c>
      <c r="P2686" s="8" t="s">
        <v>1162</v>
      </c>
      <c r="Q2686" s="12" t="s">
        <v>14274</v>
      </c>
      <c r="R2686" s="8" t="s">
        <v>100</v>
      </c>
      <c r="S2686" s="7" t="s">
        <v>18</v>
      </c>
      <c r="T2686" s="6"/>
      <c r="U2686" s="8"/>
    </row>
    <row r="2687" spans="1:34" ht="13" customHeight="1">
      <c r="A2687" s="8" t="s">
        <v>14265</v>
      </c>
      <c r="B2687" s="16">
        <v>27</v>
      </c>
      <c r="C2687" s="8" t="s">
        <v>20</v>
      </c>
      <c r="D2687" s="8" t="s">
        <v>85</v>
      </c>
      <c r="E2687" s="8" t="s">
        <v>14266</v>
      </c>
      <c r="F2687" s="17">
        <v>41531</v>
      </c>
      <c r="G2687" s="8" t="s">
        <v>14267</v>
      </c>
      <c r="H2687" s="8" t="s">
        <v>6597</v>
      </c>
      <c r="I2687" s="8" t="s">
        <v>123</v>
      </c>
      <c r="J2687" s="16" t="s">
        <v>6598</v>
      </c>
      <c r="K2687" s="2" t="s">
        <v>635</v>
      </c>
      <c r="L2687" s="8" t="s">
        <v>6599</v>
      </c>
      <c r="M2687" s="8" t="s">
        <v>27</v>
      </c>
      <c r="N2687" s="2" t="s">
        <v>14268</v>
      </c>
      <c r="O2687" s="8" t="s">
        <v>4714</v>
      </c>
      <c r="P2687" s="8" t="s">
        <v>401</v>
      </c>
      <c r="Q2687" s="12" t="s">
        <v>14269</v>
      </c>
      <c r="R2687" s="8" t="s">
        <v>100</v>
      </c>
      <c r="S2687" s="7" t="s">
        <v>28</v>
      </c>
      <c r="T2687" s="6"/>
      <c r="U2687" s="8"/>
      <c r="Y2687" s="8"/>
      <c r="Z2687" s="8"/>
      <c r="AA2687" s="8"/>
      <c r="AB2687" s="8"/>
      <c r="AC2687" s="8"/>
      <c r="AD2687" s="8"/>
      <c r="AE2687" s="8"/>
      <c r="AF2687" s="8"/>
      <c r="AG2687" s="8"/>
      <c r="AH2687" s="8"/>
    </row>
    <row r="2688" spans="1:34" ht="13" customHeight="1">
      <c r="A2688" s="8" t="s">
        <v>14275</v>
      </c>
      <c r="B2688" s="16">
        <v>30</v>
      </c>
      <c r="C2688" s="8" t="s">
        <v>20</v>
      </c>
      <c r="D2688" s="8" t="s">
        <v>30</v>
      </c>
      <c r="F2688" s="17">
        <v>41531</v>
      </c>
      <c r="G2688" s="8" t="s">
        <v>14276</v>
      </c>
      <c r="H2688" s="8" t="s">
        <v>477</v>
      </c>
      <c r="I2688" s="8" t="s">
        <v>244</v>
      </c>
      <c r="J2688" s="16" t="s">
        <v>14277</v>
      </c>
      <c r="K2688" s="2" t="s">
        <v>13369</v>
      </c>
      <c r="L2688" s="8" t="s">
        <v>2712</v>
      </c>
      <c r="M2688" s="8" t="s">
        <v>27</v>
      </c>
      <c r="N2688" s="2" t="s">
        <v>14278</v>
      </c>
      <c r="O2688" s="8" t="s">
        <v>550</v>
      </c>
      <c r="P2688" s="8" t="s">
        <v>401</v>
      </c>
      <c r="Q2688" s="12" t="s">
        <v>14279</v>
      </c>
      <c r="R2688" s="8" t="s">
        <v>100</v>
      </c>
      <c r="S2688" s="7" t="s">
        <v>28</v>
      </c>
      <c r="T2688" s="6"/>
      <c r="U2688" s="8"/>
    </row>
    <row r="2689" spans="1:49" ht="13" customHeight="1">
      <c r="A2689" s="8" t="s">
        <v>14280</v>
      </c>
      <c r="B2689" s="16">
        <v>56</v>
      </c>
      <c r="C2689" s="8" t="s">
        <v>20</v>
      </c>
      <c r="D2689" s="8" t="s">
        <v>30</v>
      </c>
      <c r="F2689" s="17">
        <v>41531</v>
      </c>
      <c r="G2689" s="8" t="s">
        <v>14281</v>
      </c>
      <c r="H2689" s="8" t="s">
        <v>5194</v>
      </c>
      <c r="I2689" s="8" t="s">
        <v>173</v>
      </c>
      <c r="J2689" s="16" t="s">
        <v>14282</v>
      </c>
      <c r="K2689" s="2" t="s">
        <v>3758</v>
      </c>
      <c r="L2689" s="8" t="s">
        <v>14283</v>
      </c>
      <c r="M2689" s="8" t="s">
        <v>27</v>
      </c>
      <c r="N2689" s="2" t="s">
        <v>14284</v>
      </c>
      <c r="O2689" s="8" t="s">
        <v>400</v>
      </c>
      <c r="P2689" s="8" t="s">
        <v>401</v>
      </c>
      <c r="Q2689" s="12" t="s">
        <v>14285</v>
      </c>
      <c r="R2689" s="8" t="s">
        <v>100</v>
      </c>
      <c r="S2689" s="7" t="s">
        <v>28</v>
      </c>
      <c r="T2689" s="6"/>
      <c r="U2689" s="8"/>
    </row>
    <row r="2690" spans="1:49" ht="13" customHeight="1">
      <c r="A2690" s="8" t="s">
        <v>14292</v>
      </c>
      <c r="B2690" s="16">
        <v>55</v>
      </c>
      <c r="C2690" s="8" t="s">
        <v>20</v>
      </c>
      <c r="D2690" s="8" t="s">
        <v>37</v>
      </c>
      <c r="E2690" s="8" t="s">
        <v>14293</v>
      </c>
      <c r="F2690" s="17">
        <v>41531</v>
      </c>
      <c r="G2690" s="8" t="s">
        <v>14294</v>
      </c>
      <c r="H2690" s="8" t="s">
        <v>1103</v>
      </c>
      <c r="I2690" s="8" t="s">
        <v>404</v>
      </c>
      <c r="J2690" s="16" t="s">
        <v>14295</v>
      </c>
      <c r="K2690" s="2" t="s">
        <v>1103</v>
      </c>
      <c r="L2690" s="8" t="s">
        <v>1104</v>
      </c>
      <c r="M2690" s="8" t="s">
        <v>379</v>
      </c>
      <c r="N2690" s="2" t="s">
        <v>14296</v>
      </c>
      <c r="O2690" s="8" t="s">
        <v>1161</v>
      </c>
      <c r="P2690" s="8" t="s">
        <v>1162</v>
      </c>
      <c r="Q2690" s="12" t="s">
        <v>14297</v>
      </c>
      <c r="R2690" s="8" t="s">
        <v>100</v>
      </c>
      <c r="S2690" s="7" t="s">
        <v>18</v>
      </c>
      <c r="T2690" s="6"/>
      <c r="U2690" s="8"/>
      <c r="AU2690" s="1"/>
      <c r="AV2690" s="1"/>
      <c r="AW2690" s="1"/>
    </row>
    <row r="2691" spans="1:49" ht="13" customHeight="1">
      <c r="A2691" s="8" t="s">
        <v>14286</v>
      </c>
      <c r="B2691" s="16">
        <v>30</v>
      </c>
      <c r="C2691" s="8" t="s">
        <v>20</v>
      </c>
      <c r="D2691" s="8" t="s">
        <v>37</v>
      </c>
      <c r="E2691" s="8" t="s">
        <v>14287</v>
      </c>
      <c r="F2691" s="17">
        <v>41531</v>
      </c>
      <c r="G2691" s="8" t="s">
        <v>14288</v>
      </c>
      <c r="H2691" s="8" t="s">
        <v>634</v>
      </c>
      <c r="I2691" s="8" t="s">
        <v>123</v>
      </c>
      <c r="J2691" s="16" t="s">
        <v>14289</v>
      </c>
      <c r="K2691" s="2" t="s">
        <v>635</v>
      </c>
      <c r="L2691" s="8" t="s">
        <v>636</v>
      </c>
      <c r="M2691" s="8" t="s">
        <v>27</v>
      </c>
      <c r="N2691" s="2" t="s">
        <v>14290</v>
      </c>
      <c r="O2691" s="8" t="s">
        <v>4714</v>
      </c>
      <c r="P2691" s="8" t="s">
        <v>401</v>
      </c>
      <c r="Q2691" s="12" t="s">
        <v>14291</v>
      </c>
      <c r="R2691" s="8" t="s">
        <v>100</v>
      </c>
      <c r="S2691" s="7" t="s">
        <v>28</v>
      </c>
      <c r="T2691" s="6"/>
      <c r="U2691" s="8"/>
      <c r="V2691" s="8"/>
      <c r="W2691" s="8"/>
      <c r="X2691" s="8"/>
    </row>
    <row r="2692" spans="1:49" ht="13" customHeight="1">
      <c r="A2692" s="8" t="s">
        <v>14298</v>
      </c>
      <c r="B2692" s="16" t="s">
        <v>10160</v>
      </c>
      <c r="C2692" s="8" t="s">
        <v>20</v>
      </c>
      <c r="D2692" s="8" t="s">
        <v>48</v>
      </c>
      <c r="E2692" s="8" t="s">
        <v>14299</v>
      </c>
      <c r="F2692" s="17">
        <v>41530</v>
      </c>
      <c r="G2692" s="8" t="s">
        <v>14300</v>
      </c>
      <c r="H2692" s="8" t="s">
        <v>786</v>
      </c>
      <c r="I2692" s="8" t="s">
        <v>45</v>
      </c>
      <c r="J2692" s="16" t="s">
        <v>12977</v>
      </c>
      <c r="K2692" s="2" t="s">
        <v>786</v>
      </c>
      <c r="L2692" s="8" t="s">
        <v>5973</v>
      </c>
      <c r="M2692" s="8" t="s">
        <v>27</v>
      </c>
      <c r="N2692" s="2" t="s">
        <v>14301</v>
      </c>
      <c r="O2692" s="8" t="s">
        <v>29</v>
      </c>
      <c r="P2692" s="8" t="s">
        <v>401</v>
      </c>
      <c r="Q2692" s="12" t="s">
        <v>14302</v>
      </c>
      <c r="R2692" s="8" t="s">
        <v>555</v>
      </c>
      <c r="S2692" s="7" t="s">
        <v>28</v>
      </c>
      <c r="T2692" s="6"/>
      <c r="U2692" s="8"/>
    </row>
    <row r="2693" spans="1:49" ht="13" customHeight="1">
      <c r="A2693" s="8" t="s">
        <v>14303</v>
      </c>
      <c r="B2693" s="16">
        <v>36</v>
      </c>
      <c r="C2693" s="8" t="s">
        <v>20</v>
      </c>
      <c r="D2693" s="8" t="s">
        <v>48</v>
      </c>
      <c r="E2693" s="8" t="s">
        <v>14304</v>
      </c>
      <c r="F2693" s="17">
        <v>41529</v>
      </c>
      <c r="G2693" s="8" t="s">
        <v>14305</v>
      </c>
      <c r="H2693" s="8" t="s">
        <v>3930</v>
      </c>
      <c r="I2693" s="8" t="s">
        <v>123</v>
      </c>
      <c r="J2693" s="16" t="s">
        <v>3931</v>
      </c>
      <c r="K2693" s="2" t="s">
        <v>635</v>
      </c>
      <c r="L2693" s="8" t="s">
        <v>3932</v>
      </c>
      <c r="M2693" s="8" t="s">
        <v>27</v>
      </c>
      <c r="N2693" s="2" t="s">
        <v>14306</v>
      </c>
      <c r="O2693" s="8" t="s">
        <v>550</v>
      </c>
      <c r="P2693" s="8" t="s">
        <v>401</v>
      </c>
      <c r="Q2693" s="12" t="s">
        <v>14307</v>
      </c>
      <c r="R2693" s="8" t="s">
        <v>29</v>
      </c>
      <c r="S2693" s="7" t="s">
        <v>28</v>
      </c>
      <c r="T2693" s="6"/>
      <c r="U2693" s="8"/>
    </row>
    <row r="2694" spans="1:49" ht="13" customHeight="1">
      <c r="A2694" s="8" t="s">
        <v>14308</v>
      </c>
      <c r="B2694" s="16">
        <v>66</v>
      </c>
      <c r="C2694" s="8" t="s">
        <v>20</v>
      </c>
      <c r="D2694" s="8" t="s">
        <v>37</v>
      </c>
      <c r="F2694" s="17">
        <v>41529</v>
      </c>
      <c r="G2694" s="8" t="s">
        <v>14309</v>
      </c>
      <c r="H2694" s="8" t="s">
        <v>14310</v>
      </c>
      <c r="I2694" s="8" t="s">
        <v>45</v>
      </c>
      <c r="J2694" s="16" t="s">
        <v>10368</v>
      </c>
      <c r="K2694" s="2" t="s">
        <v>786</v>
      </c>
      <c r="L2694" s="8" t="s">
        <v>14311</v>
      </c>
      <c r="M2694" s="8" t="s">
        <v>27</v>
      </c>
      <c r="N2694" s="2" t="s">
        <v>14312</v>
      </c>
      <c r="O2694" s="8" t="s">
        <v>1013</v>
      </c>
      <c r="P2694" s="8" t="s">
        <v>401</v>
      </c>
      <c r="Q2694" s="12" t="s">
        <v>14313</v>
      </c>
      <c r="R2694" s="8" t="s">
        <v>29</v>
      </c>
      <c r="S2694" s="7" t="s">
        <v>28</v>
      </c>
      <c r="T2694" s="6"/>
      <c r="U2694" s="8"/>
    </row>
    <row r="2695" spans="1:49" ht="13" customHeight="1">
      <c r="A2695" s="8" t="s">
        <v>14314</v>
      </c>
      <c r="B2695" s="16">
        <v>31</v>
      </c>
      <c r="C2695" s="8" t="s">
        <v>20</v>
      </c>
      <c r="D2695" s="8" t="s">
        <v>85</v>
      </c>
      <c r="E2695" s="8" t="s">
        <v>14315</v>
      </c>
      <c r="F2695" s="17">
        <v>41527</v>
      </c>
      <c r="G2695" s="8" t="s">
        <v>14316</v>
      </c>
      <c r="H2695" s="8" t="s">
        <v>14317</v>
      </c>
      <c r="I2695" s="8" t="s">
        <v>52</v>
      </c>
      <c r="J2695" s="16" t="s">
        <v>14318</v>
      </c>
      <c r="K2695" s="2" t="s">
        <v>3197</v>
      </c>
      <c r="L2695" s="8" t="s">
        <v>14319</v>
      </c>
      <c r="M2695" s="8" t="s">
        <v>27</v>
      </c>
      <c r="N2695" s="2" t="s">
        <v>14320</v>
      </c>
      <c r="P2695" s="8" t="s">
        <v>401</v>
      </c>
      <c r="Q2695" s="12" t="s">
        <v>14321</v>
      </c>
      <c r="R2695" s="8" t="s">
        <v>100</v>
      </c>
      <c r="S2695" s="7" t="s">
        <v>28</v>
      </c>
      <c r="T2695" s="6"/>
      <c r="U2695" s="8"/>
      <c r="Y2695" s="8"/>
      <c r="Z2695" s="8"/>
      <c r="AA2695" s="8"/>
      <c r="AB2695" s="8"/>
      <c r="AC2695" s="8"/>
      <c r="AD2695" s="8"/>
      <c r="AE2695" s="8"/>
      <c r="AF2695" s="8"/>
      <c r="AG2695" s="8"/>
      <c r="AH2695" s="8"/>
    </row>
    <row r="2696" spans="1:49" ht="13" customHeight="1">
      <c r="A2696" s="8" t="s">
        <v>14322</v>
      </c>
      <c r="B2696" s="16">
        <v>23</v>
      </c>
      <c r="C2696" s="8" t="s">
        <v>20</v>
      </c>
      <c r="D2696" s="8" t="s">
        <v>48</v>
      </c>
      <c r="E2696" s="8" t="s">
        <v>14323</v>
      </c>
      <c r="F2696" s="17">
        <v>41527</v>
      </c>
      <c r="G2696" s="8" t="s">
        <v>14324</v>
      </c>
      <c r="H2696" s="8" t="s">
        <v>98</v>
      </c>
      <c r="I2696" s="8" t="s">
        <v>45</v>
      </c>
      <c r="J2696" s="16" t="s">
        <v>10213</v>
      </c>
      <c r="K2696" s="2" t="s">
        <v>98</v>
      </c>
      <c r="L2696" s="8" t="s">
        <v>5014</v>
      </c>
      <c r="M2696" s="8" t="s">
        <v>27</v>
      </c>
      <c r="N2696" s="2" t="s">
        <v>14325</v>
      </c>
      <c r="O2696" s="8" t="s">
        <v>4714</v>
      </c>
      <c r="P2696" s="8" t="s">
        <v>401</v>
      </c>
      <c r="Q2696" s="12" t="s">
        <v>14326</v>
      </c>
      <c r="R2696" s="8" t="s">
        <v>100</v>
      </c>
      <c r="S2696" s="7" t="s">
        <v>28</v>
      </c>
      <c r="T2696" s="6"/>
      <c r="U2696" s="8"/>
    </row>
    <row r="2697" spans="1:49" ht="13" customHeight="1">
      <c r="A2697" s="8" t="s">
        <v>14327</v>
      </c>
      <c r="B2697" s="16">
        <v>33</v>
      </c>
      <c r="C2697" s="8" t="s">
        <v>20</v>
      </c>
      <c r="D2697" s="8" t="s">
        <v>48</v>
      </c>
      <c r="E2697" s="8" t="s">
        <v>14328</v>
      </c>
      <c r="F2697" s="17">
        <v>41526</v>
      </c>
      <c r="G2697" s="8" t="s">
        <v>14330</v>
      </c>
      <c r="H2697" s="8" t="s">
        <v>4876</v>
      </c>
      <c r="I2697" s="8" t="s">
        <v>73</v>
      </c>
      <c r="J2697" s="16" t="s">
        <v>14331</v>
      </c>
      <c r="K2697" s="2" t="s">
        <v>1280</v>
      </c>
      <c r="L2697" s="8" t="s">
        <v>1281</v>
      </c>
      <c r="M2697" s="8" t="s">
        <v>27</v>
      </c>
      <c r="N2697" s="2" t="s">
        <v>14332</v>
      </c>
      <c r="O2697" s="8" t="s">
        <v>1013</v>
      </c>
      <c r="P2697" s="8" t="s">
        <v>401</v>
      </c>
      <c r="Q2697" s="12" t="s">
        <v>14329</v>
      </c>
      <c r="R2697" s="8" t="s">
        <v>100</v>
      </c>
      <c r="S2697" s="7" t="s">
        <v>28</v>
      </c>
      <c r="T2697" s="6"/>
      <c r="U2697" s="8"/>
    </row>
    <row r="2698" spans="1:49" ht="13" customHeight="1">
      <c r="A2698" s="8" t="s">
        <v>3267</v>
      </c>
      <c r="C2698" s="8" t="s">
        <v>20</v>
      </c>
      <c r="D2698" s="8" t="s">
        <v>37</v>
      </c>
      <c r="F2698" s="17">
        <v>41526</v>
      </c>
      <c r="G2698" s="8" t="s">
        <v>14333</v>
      </c>
      <c r="H2698" s="8" t="s">
        <v>726</v>
      </c>
      <c r="I2698" s="8" t="s">
        <v>73</v>
      </c>
      <c r="J2698" s="16" t="s">
        <v>14334</v>
      </c>
      <c r="K2698" s="2" t="s">
        <v>558</v>
      </c>
      <c r="L2698" s="8" t="s">
        <v>727</v>
      </c>
      <c r="M2698" s="8" t="s">
        <v>27</v>
      </c>
      <c r="N2698" s="2" t="s">
        <v>14335</v>
      </c>
      <c r="O2698" s="8" t="s">
        <v>4714</v>
      </c>
      <c r="P2698" s="8" t="s">
        <v>401</v>
      </c>
      <c r="Q2698" s="12" t="s">
        <v>14336</v>
      </c>
      <c r="R2698" s="8" t="s">
        <v>100</v>
      </c>
      <c r="S2698" s="7" t="s">
        <v>28</v>
      </c>
      <c r="T2698" s="6"/>
      <c r="U2698" s="8"/>
    </row>
    <row r="2699" spans="1:49" ht="13" customHeight="1">
      <c r="A2699" s="8" t="s">
        <v>14337</v>
      </c>
      <c r="B2699" s="16">
        <v>56</v>
      </c>
      <c r="C2699" s="8" t="s">
        <v>20</v>
      </c>
      <c r="D2699" s="8" t="s">
        <v>37</v>
      </c>
      <c r="F2699" s="17">
        <v>41525</v>
      </c>
      <c r="G2699" s="8" t="s">
        <v>14338</v>
      </c>
      <c r="H2699" s="8" t="s">
        <v>14339</v>
      </c>
      <c r="I2699" s="8" t="s">
        <v>404</v>
      </c>
      <c r="L2699" s="8" t="s">
        <v>14340</v>
      </c>
      <c r="M2699" s="8" t="s">
        <v>27</v>
      </c>
      <c r="O2699" s="8" t="s">
        <v>1161</v>
      </c>
      <c r="P2699" s="8" t="s">
        <v>1162</v>
      </c>
      <c r="Q2699" s="12" t="str">
        <f>HYPERLINK("http://triblive.com/news/allegheny/4669466-74/officer-police-victim#axzz2eJeAaiTJ","http://triblive.com/news/allegheny/4669466-74/officer-police-victim#axzz2eJeAaiTJ")</f>
        <v>http://triblive.com/news/allegheny/4669466-74/officer-police-victim#axzz2eJeAaiTJ</v>
      </c>
      <c r="S2699" s="7" t="s">
        <v>28</v>
      </c>
      <c r="T2699" s="6"/>
      <c r="U2699" s="8"/>
    </row>
    <row r="2700" spans="1:49" ht="13" customHeight="1">
      <c r="A2700" s="8" t="s">
        <v>14341</v>
      </c>
      <c r="B2700" s="16" t="s">
        <v>14342</v>
      </c>
      <c r="C2700" s="8" t="s">
        <v>20</v>
      </c>
      <c r="D2700" s="8" t="s">
        <v>85</v>
      </c>
      <c r="E2700" s="8" t="s">
        <v>14343</v>
      </c>
      <c r="F2700" s="17">
        <v>41524</v>
      </c>
      <c r="G2700" s="8" t="s">
        <v>14344</v>
      </c>
      <c r="H2700" s="8" t="s">
        <v>14345</v>
      </c>
      <c r="I2700" s="8" t="s">
        <v>981</v>
      </c>
      <c r="J2700" s="16" t="s">
        <v>14346</v>
      </c>
      <c r="K2700" s="2" t="s">
        <v>1781</v>
      </c>
      <c r="L2700" s="8" t="s">
        <v>14347</v>
      </c>
      <c r="M2700" s="8" t="s">
        <v>27</v>
      </c>
      <c r="N2700" s="2" t="s">
        <v>14348</v>
      </c>
      <c r="O2700" s="8" t="s">
        <v>550</v>
      </c>
      <c r="P2700" s="8" t="s">
        <v>401</v>
      </c>
      <c r="Q2700" s="12" t="s">
        <v>14349</v>
      </c>
      <c r="R2700" s="8" t="s">
        <v>100</v>
      </c>
      <c r="S2700" s="7" t="s">
        <v>28</v>
      </c>
      <c r="T2700" s="6"/>
      <c r="U2700" s="8"/>
    </row>
    <row r="2701" spans="1:49" ht="13" customHeight="1">
      <c r="A2701" s="8" t="s">
        <v>14350</v>
      </c>
      <c r="B2701" s="16">
        <v>28</v>
      </c>
      <c r="C2701" s="8" t="s">
        <v>20</v>
      </c>
      <c r="D2701" s="8" t="s">
        <v>85</v>
      </c>
      <c r="E2701" s="8" t="s">
        <v>14351</v>
      </c>
      <c r="F2701" s="17">
        <v>41524</v>
      </c>
      <c r="G2701" s="8" t="s">
        <v>14352</v>
      </c>
      <c r="H2701" s="8" t="s">
        <v>87</v>
      </c>
      <c r="I2701" s="8" t="s">
        <v>44</v>
      </c>
      <c r="J2701" s="16" t="s">
        <v>7642</v>
      </c>
      <c r="K2701" s="2" t="s">
        <v>88</v>
      </c>
      <c r="L2701" s="8" t="s">
        <v>89</v>
      </c>
      <c r="M2701" s="8" t="s">
        <v>27</v>
      </c>
      <c r="N2701" s="2" t="s">
        <v>14353</v>
      </c>
      <c r="O2701" s="8" t="s">
        <v>400</v>
      </c>
      <c r="P2701" s="8" t="s">
        <v>401</v>
      </c>
      <c r="Q2701" s="12" t="s">
        <v>14354</v>
      </c>
      <c r="R2701" s="8" t="s">
        <v>29</v>
      </c>
      <c r="S2701" s="7" t="s">
        <v>18</v>
      </c>
      <c r="T2701" s="6"/>
      <c r="U2701" s="8"/>
    </row>
    <row r="2702" spans="1:49" ht="13" customHeight="1">
      <c r="A2702" s="8" t="s">
        <v>14355</v>
      </c>
      <c r="B2702" s="16">
        <v>26</v>
      </c>
      <c r="C2702" s="8" t="s">
        <v>20</v>
      </c>
      <c r="D2702" s="8" t="s">
        <v>48</v>
      </c>
      <c r="E2702" s="8" t="s">
        <v>14356</v>
      </c>
      <c r="F2702" s="17">
        <v>41524</v>
      </c>
      <c r="G2702" s="8" t="s">
        <v>14357</v>
      </c>
      <c r="H2702" s="8" t="s">
        <v>98</v>
      </c>
      <c r="I2702" s="8" t="s">
        <v>45</v>
      </c>
      <c r="J2702" s="16" t="s">
        <v>14358</v>
      </c>
      <c r="K2702" s="2" t="s">
        <v>98</v>
      </c>
      <c r="L2702" s="8" t="s">
        <v>99</v>
      </c>
      <c r="M2702" s="8" t="s">
        <v>15813</v>
      </c>
      <c r="N2702" s="2" t="s">
        <v>14359</v>
      </c>
      <c r="O2702" s="8" t="s">
        <v>400</v>
      </c>
      <c r="P2702" s="8" t="s">
        <v>401</v>
      </c>
      <c r="Q2702" s="12" t="s">
        <v>14360</v>
      </c>
      <c r="R2702" s="8" t="s">
        <v>100</v>
      </c>
      <c r="S2702" s="7" t="s">
        <v>18</v>
      </c>
      <c r="T2702" s="6"/>
      <c r="U2702" s="8"/>
    </row>
    <row r="2703" spans="1:49" ht="13" customHeight="1">
      <c r="A2703" s="8" t="s">
        <v>14365</v>
      </c>
      <c r="B2703" s="16">
        <v>25</v>
      </c>
      <c r="C2703" s="8" t="s">
        <v>20</v>
      </c>
      <c r="D2703" s="8" t="s">
        <v>30</v>
      </c>
      <c r="F2703" s="17">
        <v>41524</v>
      </c>
      <c r="G2703" s="8" t="s">
        <v>14366</v>
      </c>
      <c r="H2703" s="8" t="s">
        <v>634</v>
      </c>
      <c r="I2703" s="8" t="s">
        <v>123</v>
      </c>
      <c r="J2703" s="16" t="s">
        <v>2816</v>
      </c>
      <c r="K2703" s="2" t="s">
        <v>635</v>
      </c>
      <c r="L2703" s="8" t="s">
        <v>636</v>
      </c>
      <c r="M2703" s="8" t="s">
        <v>27</v>
      </c>
      <c r="N2703" s="2" t="s">
        <v>14367</v>
      </c>
      <c r="O2703" s="8" t="s">
        <v>1013</v>
      </c>
      <c r="P2703" s="8" t="s">
        <v>401</v>
      </c>
      <c r="Q2703" s="12" t="s">
        <v>14368</v>
      </c>
      <c r="R2703" s="8" t="s">
        <v>100</v>
      </c>
      <c r="S2703" s="7" t="s">
        <v>28</v>
      </c>
      <c r="T2703" s="6"/>
      <c r="U2703" s="8"/>
      <c r="V2703" s="8"/>
      <c r="W2703" s="8"/>
      <c r="X2703" s="8"/>
    </row>
    <row r="2704" spans="1:49" ht="13" customHeight="1">
      <c r="A2704" s="8" t="s">
        <v>14361</v>
      </c>
      <c r="B2704" s="16">
        <v>35</v>
      </c>
      <c r="C2704" s="8" t="s">
        <v>20</v>
      </c>
      <c r="D2704" s="8" t="s">
        <v>30</v>
      </c>
      <c r="F2704" s="17">
        <v>41524</v>
      </c>
      <c r="G2704" s="8" t="s">
        <v>14362</v>
      </c>
      <c r="H2704" s="8" t="s">
        <v>1074</v>
      </c>
      <c r="I2704" s="8" t="s">
        <v>45</v>
      </c>
      <c r="K2704" s="2" t="s">
        <v>14363</v>
      </c>
      <c r="L2704" s="8" t="s">
        <v>736</v>
      </c>
      <c r="M2704" s="8" t="s">
        <v>5665</v>
      </c>
      <c r="P2704" s="8" t="s">
        <v>401</v>
      </c>
      <c r="Q2704" s="12" t="s">
        <v>14364</v>
      </c>
      <c r="S2704" s="7" t="s">
        <v>28</v>
      </c>
      <c r="T2704" s="6"/>
      <c r="U2704" s="8"/>
    </row>
    <row r="2705" spans="1:49" ht="13" customHeight="1">
      <c r="A2705" s="8" t="s">
        <v>14369</v>
      </c>
      <c r="B2705" s="16">
        <v>29</v>
      </c>
      <c r="C2705" s="8" t="s">
        <v>20</v>
      </c>
      <c r="D2705" s="8" t="s">
        <v>37</v>
      </c>
      <c r="E2705" s="8" t="s">
        <v>14370</v>
      </c>
      <c r="F2705" s="17">
        <v>41524</v>
      </c>
      <c r="G2705" s="8" t="s">
        <v>14371</v>
      </c>
      <c r="H2705" s="8" t="s">
        <v>5135</v>
      </c>
      <c r="I2705" s="8" t="s">
        <v>319</v>
      </c>
      <c r="J2705" s="16" t="s">
        <v>14372</v>
      </c>
      <c r="K2705" s="2" t="s">
        <v>420</v>
      </c>
      <c r="L2705" s="8" t="s">
        <v>14373</v>
      </c>
      <c r="M2705" s="8" t="s">
        <v>27</v>
      </c>
      <c r="N2705" s="2" t="s">
        <v>14374</v>
      </c>
      <c r="O2705" s="8" t="s">
        <v>4714</v>
      </c>
      <c r="P2705" s="8" t="s">
        <v>401</v>
      </c>
      <c r="Q2705" s="12" t="s">
        <v>14375</v>
      </c>
      <c r="R2705" s="8" t="s">
        <v>100</v>
      </c>
      <c r="S2705" s="7" t="s">
        <v>28</v>
      </c>
      <c r="T2705" s="6"/>
      <c r="U2705" s="8"/>
    </row>
    <row r="2706" spans="1:49" ht="13" customHeight="1">
      <c r="A2706" s="8" t="s">
        <v>14376</v>
      </c>
      <c r="B2706" s="16">
        <v>46</v>
      </c>
      <c r="C2706" s="8" t="s">
        <v>20</v>
      </c>
      <c r="D2706" s="8" t="s">
        <v>37</v>
      </c>
      <c r="E2706" s="8" t="s">
        <v>14377</v>
      </c>
      <c r="F2706" s="17">
        <v>41524</v>
      </c>
      <c r="G2706" s="8" t="s">
        <v>14378</v>
      </c>
      <c r="H2706" s="8" t="s">
        <v>2314</v>
      </c>
      <c r="I2706" s="8" t="s">
        <v>62</v>
      </c>
      <c r="J2706" s="16" t="s">
        <v>14379</v>
      </c>
      <c r="K2706" s="2" t="s">
        <v>2316</v>
      </c>
      <c r="L2706" s="8" t="s">
        <v>14154</v>
      </c>
      <c r="M2706" s="8" t="s">
        <v>27</v>
      </c>
      <c r="N2706" s="2" t="s">
        <v>14380</v>
      </c>
      <c r="O2706" s="8" t="s">
        <v>550</v>
      </c>
      <c r="P2706" s="8" t="s">
        <v>401</v>
      </c>
      <c r="Q2706" s="12" t="s">
        <v>14381</v>
      </c>
      <c r="R2706" s="8" t="s">
        <v>100</v>
      </c>
      <c r="S2706" s="7" t="s">
        <v>28</v>
      </c>
      <c r="T2706" s="6"/>
      <c r="U2706" s="8"/>
    </row>
    <row r="2707" spans="1:49" s="1" customFormat="1" ht="13" customHeight="1">
      <c r="A2707" s="8" t="s">
        <v>14382</v>
      </c>
      <c r="B2707" s="16">
        <v>21</v>
      </c>
      <c r="C2707" s="8" t="s">
        <v>20</v>
      </c>
      <c r="D2707" s="8" t="s">
        <v>37</v>
      </c>
      <c r="E2707" s="8"/>
      <c r="F2707" s="17">
        <v>41524</v>
      </c>
      <c r="G2707" s="8" t="s">
        <v>14383</v>
      </c>
      <c r="H2707" s="8" t="s">
        <v>3250</v>
      </c>
      <c r="I2707" s="8" t="s">
        <v>45</v>
      </c>
      <c r="J2707" s="30" t="s">
        <v>14384</v>
      </c>
      <c r="K2707" s="31" t="s">
        <v>3250</v>
      </c>
      <c r="L2707" s="21" t="s">
        <v>14385</v>
      </c>
      <c r="M2707" s="8" t="s">
        <v>27</v>
      </c>
      <c r="N2707" s="2" t="s">
        <v>14386</v>
      </c>
      <c r="O2707" s="8" t="s">
        <v>1013</v>
      </c>
      <c r="P2707" s="8" t="s">
        <v>401</v>
      </c>
      <c r="Q2707" s="32" t="s">
        <v>14387</v>
      </c>
      <c r="R2707" s="34" t="s">
        <v>100</v>
      </c>
      <c r="S2707" s="38" t="s">
        <v>18</v>
      </c>
      <c r="T2707" s="22"/>
      <c r="U2707" s="21"/>
      <c r="V2707" s="31"/>
      <c r="W2707" s="31"/>
      <c r="X2707" s="31"/>
      <c r="Y2707" s="31"/>
      <c r="Z2707" s="31"/>
      <c r="AA2707" s="31"/>
      <c r="AB2707" s="31"/>
      <c r="AC2707" s="2"/>
      <c r="AD2707" s="2"/>
      <c r="AE2707" s="2"/>
      <c r="AF2707" s="2"/>
      <c r="AG2707" s="2"/>
      <c r="AH2707" s="2"/>
      <c r="AI2707" s="2"/>
      <c r="AJ2707" s="2"/>
      <c r="AK2707" s="2"/>
      <c r="AL2707" s="2"/>
      <c r="AM2707" s="2"/>
      <c r="AN2707" s="2"/>
      <c r="AO2707" s="2"/>
      <c r="AP2707" s="2"/>
      <c r="AQ2707" s="2"/>
      <c r="AR2707" s="2"/>
      <c r="AS2707" s="2"/>
      <c r="AT2707" s="2"/>
      <c r="AU2707" s="2"/>
      <c r="AV2707" s="2"/>
      <c r="AW2707" s="2"/>
    </row>
    <row r="2708" spans="1:49" ht="13" customHeight="1">
      <c r="A2708" s="8" t="s">
        <v>14388</v>
      </c>
      <c r="B2708" s="16">
        <v>24</v>
      </c>
      <c r="C2708" s="8" t="s">
        <v>20</v>
      </c>
      <c r="D2708" s="8" t="s">
        <v>85</v>
      </c>
      <c r="E2708" s="8" t="s">
        <v>14389</v>
      </c>
      <c r="F2708" s="17">
        <v>41523</v>
      </c>
      <c r="G2708" s="8" t="s">
        <v>14390</v>
      </c>
      <c r="H2708" s="8" t="s">
        <v>1571</v>
      </c>
      <c r="I2708" s="8" t="s">
        <v>62</v>
      </c>
      <c r="J2708" s="16" t="s">
        <v>14391</v>
      </c>
      <c r="K2708" s="2" t="s">
        <v>640</v>
      </c>
      <c r="L2708" s="8" t="s">
        <v>641</v>
      </c>
      <c r="M2708" s="8" t="s">
        <v>27</v>
      </c>
      <c r="N2708" s="2" t="s">
        <v>14392</v>
      </c>
      <c r="O2708" s="8" t="s">
        <v>550</v>
      </c>
      <c r="P2708" s="8" t="s">
        <v>401</v>
      </c>
      <c r="Q2708" s="12" t="s">
        <v>14393</v>
      </c>
      <c r="R2708" s="8" t="s">
        <v>100</v>
      </c>
      <c r="S2708" s="7" t="s">
        <v>28</v>
      </c>
      <c r="T2708" s="6"/>
      <c r="U2708" s="8"/>
    </row>
    <row r="2709" spans="1:49" ht="13" customHeight="1">
      <c r="A2709" s="8" t="s">
        <v>14394</v>
      </c>
      <c r="B2709" s="16">
        <v>37</v>
      </c>
      <c r="C2709" s="8" t="s">
        <v>20</v>
      </c>
      <c r="D2709" s="8" t="s">
        <v>85</v>
      </c>
      <c r="E2709" s="8" t="s">
        <v>14395</v>
      </c>
      <c r="F2709" s="17">
        <v>41523</v>
      </c>
      <c r="G2709" s="8" t="s">
        <v>14396</v>
      </c>
      <c r="H2709" s="8" t="s">
        <v>14070</v>
      </c>
      <c r="I2709" s="8" t="s">
        <v>94</v>
      </c>
      <c r="J2709" s="16" t="s">
        <v>14397</v>
      </c>
      <c r="K2709" s="2" t="s">
        <v>14070</v>
      </c>
      <c r="L2709" s="8" t="s">
        <v>14398</v>
      </c>
      <c r="M2709" s="8" t="s">
        <v>27</v>
      </c>
      <c r="N2709" s="2" t="s">
        <v>14399</v>
      </c>
      <c r="O2709" s="8" t="s">
        <v>1013</v>
      </c>
      <c r="P2709" s="8" t="s">
        <v>401</v>
      </c>
      <c r="Q2709" s="12" t="s">
        <v>14400</v>
      </c>
      <c r="R2709" s="8" t="s">
        <v>100</v>
      </c>
      <c r="S2709" s="7" t="s">
        <v>28</v>
      </c>
      <c r="T2709" s="6"/>
      <c r="U2709" s="8"/>
    </row>
    <row r="2710" spans="1:49" ht="13" customHeight="1">
      <c r="A2710" s="8" t="s">
        <v>14401</v>
      </c>
      <c r="B2710" s="16">
        <v>32</v>
      </c>
      <c r="C2710" s="8" t="s">
        <v>20</v>
      </c>
      <c r="D2710" s="8" t="s">
        <v>37</v>
      </c>
      <c r="E2710" s="8" t="s">
        <v>14402</v>
      </c>
      <c r="F2710" s="17">
        <v>41523</v>
      </c>
      <c r="G2710" s="8" t="s">
        <v>14403</v>
      </c>
      <c r="H2710" s="8" t="s">
        <v>285</v>
      </c>
      <c r="I2710" s="8" t="s">
        <v>73</v>
      </c>
      <c r="J2710" s="16" t="s">
        <v>7665</v>
      </c>
      <c r="K2710" s="2" t="s">
        <v>285</v>
      </c>
      <c r="L2710" s="8" t="s">
        <v>286</v>
      </c>
      <c r="M2710" s="8" t="s">
        <v>27</v>
      </c>
      <c r="N2710" s="2" t="s">
        <v>14404</v>
      </c>
      <c r="O2710" s="8" t="s">
        <v>1013</v>
      </c>
      <c r="P2710" s="8" t="s">
        <v>401</v>
      </c>
      <c r="Q2710" s="12" t="s">
        <v>14405</v>
      </c>
      <c r="R2710" s="8" t="s">
        <v>29</v>
      </c>
      <c r="S2710" s="7" t="s">
        <v>28</v>
      </c>
      <c r="T2710" s="6"/>
      <c r="U2710" s="8"/>
    </row>
    <row r="2711" spans="1:49" ht="13" customHeight="1">
      <c r="A2711" s="8" t="s">
        <v>14414</v>
      </c>
      <c r="B2711" s="16">
        <v>53</v>
      </c>
      <c r="C2711" s="8" t="s">
        <v>20</v>
      </c>
      <c r="D2711" s="8" t="s">
        <v>37</v>
      </c>
      <c r="E2711" s="8" t="s">
        <v>14407</v>
      </c>
      <c r="F2711" s="17">
        <v>41523</v>
      </c>
      <c r="G2711" s="8" t="s">
        <v>14415</v>
      </c>
      <c r="H2711" s="8" t="s">
        <v>14409</v>
      </c>
      <c r="I2711" s="8" t="s">
        <v>45</v>
      </c>
      <c r="J2711" s="16" t="s">
        <v>14410</v>
      </c>
      <c r="K2711" s="2" t="s">
        <v>3250</v>
      </c>
      <c r="L2711" s="8" t="s">
        <v>14411</v>
      </c>
      <c r="M2711" s="8" t="s">
        <v>27</v>
      </c>
      <c r="N2711" s="2" t="s">
        <v>14416</v>
      </c>
      <c r="O2711" s="8" t="s">
        <v>1013</v>
      </c>
      <c r="P2711" s="8" t="s">
        <v>401</v>
      </c>
      <c r="Q2711" s="12" t="s">
        <v>14417</v>
      </c>
      <c r="R2711" s="8" t="s">
        <v>100</v>
      </c>
      <c r="S2711" s="7" t="s">
        <v>28</v>
      </c>
      <c r="T2711" s="6"/>
      <c r="U2711" s="8"/>
    </row>
    <row r="2712" spans="1:49" ht="13" customHeight="1">
      <c r="A2712" s="8" t="s">
        <v>14406</v>
      </c>
      <c r="B2712" s="16">
        <v>53</v>
      </c>
      <c r="C2712" s="8" t="s">
        <v>20</v>
      </c>
      <c r="D2712" s="8" t="s">
        <v>37</v>
      </c>
      <c r="E2712" s="8" t="s">
        <v>14407</v>
      </c>
      <c r="F2712" s="17">
        <v>41523</v>
      </c>
      <c r="G2712" s="8" t="s">
        <v>14408</v>
      </c>
      <c r="H2712" s="8" t="s">
        <v>14409</v>
      </c>
      <c r="I2712" s="8" t="s">
        <v>45</v>
      </c>
      <c r="J2712" s="16" t="s">
        <v>14410</v>
      </c>
      <c r="K2712" s="2" t="s">
        <v>3250</v>
      </c>
      <c r="L2712" s="8" t="s">
        <v>14411</v>
      </c>
      <c r="M2712" s="8" t="s">
        <v>27</v>
      </c>
      <c r="N2712" s="2" t="s">
        <v>14412</v>
      </c>
      <c r="O2712" s="8" t="s">
        <v>400</v>
      </c>
      <c r="P2712" s="8" t="s">
        <v>401</v>
      </c>
      <c r="Q2712" s="12" t="s">
        <v>14413</v>
      </c>
      <c r="R2712" s="8" t="s">
        <v>100</v>
      </c>
      <c r="S2712" s="7" t="s">
        <v>28</v>
      </c>
      <c r="T2712" s="6"/>
      <c r="U2712" s="8"/>
    </row>
    <row r="2713" spans="1:49" ht="13" customHeight="1">
      <c r="A2713" s="8" t="s">
        <v>14418</v>
      </c>
      <c r="B2713" s="16">
        <v>29</v>
      </c>
      <c r="C2713" s="8" t="s">
        <v>20</v>
      </c>
      <c r="D2713" s="8" t="s">
        <v>85</v>
      </c>
      <c r="F2713" s="17">
        <v>41522</v>
      </c>
      <c r="G2713" s="8" t="s">
        <v>14419</v>
      </c>
      <c r="H2713" s="8" t="s">
        <v>726</v>
      </c>
      <c r="I2713" s="8" t="s">
        <v>73</v>
      </c>
      <c r="J2713" s="16" t="s">
        <v>14420</v>
      </c>
      <c r="K2713" s="2" t="s">
        <v>558</v>
      </c>
      <c r="L2713" s="8" t="s">
        <v>559</v>
      </c>
      <c r="M2713" s="8" t="s">
        <v>27</v>
      </c>
      <c r="N2713" s="2" t="s">
        <v>14421</v>
      </c>
      <c r="O2713" s="8" t="s">
        <v>4714</v>
      </c>
      <c r="P2713" s="8" t="s">
        <v>401</v>
      </c>
      <c r="Q2713" s="12" t="s">
        <v>14422</v>
      </c>
      <c r="R2713" s="8" t="s">
        <v>100</v>
      </c>
      <c r="S2713" s="7" t="s">
        <v>28</v>
      </c>
      <c r="T2713" s="6"/>
      <c r="U2713" s="8"/>
    </row>
    <row r="2714" spans="1:49" ht="13" customHeight="1">
      <c r="A2714" s="8" t="s">
        <v>14429</v>
      </c>
      <c r="B2714" s="16">
        <v>36</v>
      </c>
      <c r="C2714" s="8" t="s">
        <v>20</v>
      </c>
      <c r="D2714" s="8" t="s">
        <v>85</v>
      </c>
      <c r="E2714" s="8" t="s">
        <v>14430</v>
      </c>
      <c r="F2714" s="17">
        <v>41522</v>
      </c>
      <c r="G2714" s="8" t="s">
        <v>14431</v>
      </c>
      <c r="H2714" s="8" t="s">
        <v>14070</v>
      </c>
      <c r="I2714" s="8" t="s">
        <v>94</v>
      </c>
      <c r="J2714" s="16" t="s">
        <v>14432</v>
      </c>
      <c r="K2714" s="2" t="s">
        <v>14070</v>
      </c>
      <c r="L2714" s="8" t="s">
        <v>14398</v>
      </c>
      <c r="M2714" s="8" t="s">
        <v>27</v>
      </c>
      <c r="N2714" s="2" t="s">
        <v>14433</v>
      </c>
      <c r="O2714" s="8" t="s">
        <v>1013</v>
      </c>
      <c r="P2714" s="8" t="s">
        <v>401</v>
      </c>
      <c r="Q2714" s="12" t="s">
        <v>14434</v>
      </c>
      <c r="R2714" s="8" t="s">
        <v>100</v>
      </c>
      <c r="S2714" s="7" t="s">
        <v>28</v>
      </c>
      <c r="T2714" s="6"/>
      <c r="U2714" s="8"/>
    </row>
    <row r="2715" spans="1:49" ht="13" customHeight="1">
      <c r="A2715" s="8" t="s">
        <v>14423</v>
      </c>
      <c r="B2715" s="16">
        <v>30</v>
      </c>
      <c r="C2715" s="8" t="s">
        <v>20</v>
      </c>
      <c r="D2715" s="8" t="s">
        <v>85</v>
      </c>
      <c r="E2715" s="8" t="s">
        <v>14424</v>
      </c>
      <c r="F2715" s="17">
        <v>41522</v>
      </c>
      <c r="G2715" s="8" t="s">
        <v>14425</v>
      </c>
      <c r="H2715" s="8" t="s">
        <v>1275</v>
      </c>
      <c r="I2715" s="8" t="s">
        <v>46</v>
      </c>
      <c r="J2715" s="16" t="s">
        <v>14426</v>
      </c>
      <c r="K2715" s="2" t="s">
        <v>528</v>
      </c>
      <c r="L2715" s="8" t="s">
        <v>1276</v>
      </c>
      <c r="M2715" s="8" t="s">
        <v>27</v>
      </c>
      <c r="N2715" s="2" t="s">
        <v>14427</v>
      </c>
      <c r="O2715" s="8" t="s">
        <v>550</v>
      </c>
      <c r="P2715" s="8" t="s">
        <v>401</v>
      </c>
      <c r="Q2715" s="12" t="s">
        <v>14428</v>
      </c>
      <c r="R2715" s="8" t="s">
        <v>100</v>
      </c>
      <c r="S2715" s="7" t="s">
        <v>35</v>
      </c>
      <c r="T2715" s="6"/>
      <c r="U2715" s="8"/>
    </row>
    <row r="2716" spans="1:49" ht="13" customHeight="1">
      <c r="A2716" s="8" t="s">
        <v>3267</v>
      </c>
      <c r="B2716" s="16" t="s">
        <v>29</v>
      </c>
      <c r="C2716" s="8" t="s">
        <v>20</v>
      </c>
      <c r="D2716" s="8" t="s">
        <v>30</v>
      </c>
      <c r="F2716" s="17">
        <v>41522</v>
      </c>
      <c r="G2716" s="8" t="s">
        <v>14435</v>
      </c>
      <c r="H2716" s="8" t="s">
        <v>1919</v>
      </c>
      <c r="I2716" s="8" t="s">
        <v>173</v>
      </c>
      <c r="J2716" s="16" t="s">
        <v>8271</v>
      </c>
      <c r="K2716" s="2" t="s">
        <v>1560</v>
      </c>
      <c r="L2716" s="8" t="s">
        <v>14436</v>
      </c>
      <c r="M2716" s="8" t="s">
        <v>27</v>
      </c>
      <c r="N2716" s="2" t="s">
        <v>14437</v>
      </c>
      <c r="O2716" s="8" t="s">
        <v>1013</v>
      </c>
      <c r="P2716" s="8" t="s">
        <v>401</v>
      </c>
      <c r="Q2716" s="12" t="s">
        <v>14438</v>
      </c>
      <c r="R2716" s="8" t="s">
        <v>100</v>
      </c>
      <c r="S2716" s="7" t="s">
        <v>28</v>
      </c>
      <c r="T2716" s="6"/>
      <c r="U2716" s="8"/>
    </row>
    <row r="2717" spans="1:49" ht="13" customHeight="1">
      <c r="A2717" s="8" t="s">
        <v>14439</v>
      </c>
      <c r="B2717" s="16">
        <v>25</v>
      </c>
      <c r="C2717" s="8" t="s">
        <v>20</v>
      </c>
      <c r="D2717" s="8" t="s">
        <v>85</v>
      </c>
      <c r="E2717" s="8" t="s">
        <v>14440</v>
      </c>
      <c r="F2717" s="17">
        <v>41521</v>
      </c>
      <c r="G2717" s="8" t="s">
        <v>14441</v>
      </c>
      <c r="H2717" s="8" t="s">
        <v>1596</v>
      </c>
      <c r="I2717" s="8" t="s">
        <v>52</v>
      </c>
      <c r="J2717" s="16" t="s">
        <v>14442</v>
      </c>
      <c r="K2717" s="2" t="s">
        <v>4727</v>
      </c>
      <c r="L2717" s="8" t="s">
        <v>2782</v>
      </c>
      <c r="M2717" s="8" t="s">
        <v>27</v>
      </c>
      <c r="N2717" s="2" t="s">
        <v>14443</v>
      </c>
      <c r="O2717" s="8" t="s">
        <v>4714</v>
      </c>
      <c r="P2717" s="8" t="s">
        <v>401</v>
      </c>
      <c r="Q2717" s="12" t="s">
        <v>14444</v>
      </c>
      <c r="R2717" s="8" t="s">
        <v>100</v>
      </c>
      <c r="S2717" s="7" t="s">
        <v>18</v>
      </c>
      <c r="T2717" s="6"/>
      <c r="U2717" s="8"/>
    </row>
    <row r="2718" spans="1:49" ht="13" customHeight="1">
      <c r="A2718" s="8" t="s">
        <v>14445</v>
      </c>
      <c r="B2718" s="16">
        <v>34</v>
      </c>
      <c r="C2718" s="8" t="s">
        <v>20</v>
      </c>
      <c r="D2718" s="8" t="s">
        <v>48</v>
      </c>
      <c r="E2718" s="8" t="s">
        <v>14446</v>
      </c>
      <c r="F2718" s="17">
        <v>41521</v>
      </c>
      <c r="G2718" s="8" t="s">
        <v>14447</v>
      </c>
      <c r="H2718" s="8" t="s">
        <v>774</v>
      </c>
      <c r="I2718" s="8" t="s">
        <v>45</v>
      </c>
      <c r="J2718" s="16" t="s">
        <v>9435</v>
      </c>
      <c r="K2718" s="2" t="s">
        <v>609</v>
      </c>
      <c r="L2718" s="8" t="s">
        <v>14448</v>
      </c>
      <c r="M2718" s="8" t="s">
        <v>27</v>
      </c>
      <c r="N2718" s="2" t="s">
        <v>14449</v>
      </c>
      <c r="O2718" s="8" t="s">
        <v>550</v>
      </c>
      <c r="P2718" s="8" t="s">
        <v>401</v>
      </c>
      <c r="Q2718" s="12" t="s">
        <v>14450</v>
      </c>
      <c r="R2718" s="8" t="s">
        <v>14451</v>
      </c>
      <c r="S2718" s="7" t="s">
        <v>18</v>
      </c>
      <c r="T2718" s="6"/>
      <c r="U2718" s="8"/>
    </row>
    <row r="2719" spans="1:49" ht="13" customHeight="1">
      <c r="A2719" s="8" t="s">
        <v>14452</v>
      </c>
      <c r="B2719" s="16">
        <v>44</v>
      </c>
      <c r="C2719" s="8" t="s">
        <v>20</v>
      </c>
      <c r="D2719" s="8" t="s">
        <v>85</v>
      </c>
      <c r="E2719" s="8" t="s">
        <v>14453</v>
      </c>
      <c r="F2719" s="17">
        <v>41520</v>
      </c>
      <c r="G2719" s="8" t="s">
        <v>14454</v>
      </c>
      <c r="H2719" s="8" t="s">
        <v>216</v>
      </c>
      <c r="I2719" s="8" t="s">
        <v>217</v>
      </c>
      <c r="J2719" s="16" t="s">
        <v>13717</v>
      </c>
      <c r="K2719" s="2" t="s">
        <v>420</v>
      </c>
      <c r="L2719" s="8" t="s">
        <v>218</v>
      </c>
      <c r="M2719" s="8" t="s">
        <v>3386</v>
      </c>
      <c r="N2719" s="2" t="s">
        <v>14455</v>
      </c>
      <c r="O2719" s="8" t="s">
        <v>1013</v>
      </c>
      <c r="P2719" s="8" t="s">
        <v>401</v>
      </c>
      <c r="Q2719" s="12" t="s">
        <v>14456</v>
      </c>
      <c r="R2719" s="8" t="s">
        <v>100</v>
      </c>
      <c r="S2719" s="7" t="s">
        <v>18</v>
      </c>
      <c r="T2719" s="6"/>
      <c r="U2719" s="8"/>
    </row>
    <row r="2720" spans="1:49" ht="13" customHeight="1">
      <c r="A2720" s="8" t="s">
        <v>14463</v>
      </c>
      <c r="B2720" s="16">
        <v>53</v>
      </c>
      <c r="C2720" s="8" t="s">
        <v>20</v>
      </c>
      <c r="D2720" s="8" t="s">
        <v>30</v>
      </c>
      <c r="F2720" s="17">
        <v>41520</v>
      </c>
      <c r="G2720" s="8" t="s">
        <v>14464</v>
      </c>
      <c r="H2720" s="8" t="s">
        <v>745</v>
      </c>
      <c r="I2720" s="8" t="s">
        <v>404</v>
      </c>
      <c r="J2720" s="16" t="s">
        <v>14465</v>
      </c>
      <c r="K2720" s="2" t="s">
        <v>1608</v>
      </c>
      <c r="L2720" s="8" t="s">
        <v>14466</v>
      </c>
      <c r="M2720" s="8" t="s">
        <v>27</v>
      </c>
      <c r="N2720" s="2" t="s">
        <v>14467</v>
      </c>
      <c r="O2720" s="8" t="s">
        <v>1013</v>
      </c>
      <c r="P2720" s="8" t="s">
        <v>401</v>
      </c>
      <c r="Q2720" s="12" t="s">
        <v>14468</v>
      </c>
      <c r="R2720" s="8" t="s">
        <v>100</v>
      </c>
      <c r="S2720" s="7" t="s">
        <v>28</v>
      </c>
      <c r="T2720" s="6"/>
      <c r="U2720" s="8"/>
    </row>
    <row r="2721" spans="1:34" ht="13" customHeight="1">
      <c r="A2721" s="8" t="s">
        <v>14457</v>
      </c>
      <c r="B2721" s="16">
        <v>31</v>
      </c>
      <c r="C2721" s="8" t="s">
        <v>20</v>
      </c>
      <c r="D2721" s="8" t="s">
        <v>30</v>
      </c>
      <c r="F2721" s="17">
        <v>41520</v>
      </c>
      <c r="G2721" s="8" t="s">
        <v>14458</v>
      </c>
      <c r="H2721" s="8" t="s">
        <v>14459</v>
      </c>
      <c r="I2721" s="8" t="s">
        <v>671</v>
      </c>
      <c r="J2721" s="16" t="s">
        <v>14460</v>
      </c>
      <c r="K2721" s="2" t="s">
        <v>5575</v>
      </c>
      <c r="L2721" s="8" t="s">
        <v>14461</v>
      </c>
      <c r="M2721" s="8" t="s">
        <v>27</v>
      </c>
      <c r="N2721" s="2" t="s">
        <v>14462</v>
      </c>
      <c r="O2721" s="8" t="s">
        <v>550</v>
      </c>
      <c r="P2721" s="8" t="s">
        <v>401</v>
      </c>
      <c r="Q2721" s="59" t="str">
        <f>HYPERLINK("http://www.wtva.com/news/national/story/Grand-jury-no-indictments-in-officer-involved/EE5Am7KlmUmIECC8X0k4Wg.cspx","http://www.wtva.com/news/national/story/Grand-jury-no-indictments-in-officer-involved/EE5Am7KlmUmIECC8X0k4Wg.cspx")</f>
        <v>http://www.wtva.com/news/national/story/Grand-jury-no-indictments-in-officer-involved/EE5Am7KlmUmIECC8X0k4Wg.cspx</v>
      </c>
      <c r="R2721" s="8" t="s">
        <v>100</v>
      </c>
      <c r="S2721" s="7" t="s">
        <v>18</v>
      </c>
      <c r="T2721" s="6"/>
      <c r="U2721" s="8"/>
    </row>
    <row r="2722" spans="1:34" ht="13" customHeight="1">
      <c r="A2722" s="8" t="s">
        <v>14469</v>
      </c>
      <c r="B2722" s="16">
        <v>52</v>
      </c>
      <c r="C2722" s="8" t="s">
        <v>20</v>
      </c>
      <c r="D2722" s="8" t="s">
        <v>37</v>
      </c>
      <c r="F2722" s="17">
        <v>41520</v>
      </c>
      <c r="G2722" s="8" t="s">
        <v>14470</v>
      </c>
      <c r="H2722" s="8" t="s">
        <v>14471</v>
      </c>
      <c r="I2722" s="8" t="s">
        <v>404</v>
      </c>
      <c r="J2722" s="16" t="s">
        <v>14472</v>
      </c>
      <c r="K2722" s="2" t="s">
        <v>1639</v>
      </c>
      <c r="L2722" s="8" t="s">
        <v>14473</v>
      </c>
      <c r="M2722" s="8" t="s">
        <v>14474</v>
      </c>
      <c r="N2722" s="2" t="s">
        <v>14475</v>
      </c>
      <c r="O2722" s="8" t="s">
        <v>4714</v>
      </c>
      <c r="P2722" s="8" t="s">
        <v>401</v>
      </c>
      <c r="Q2722" s="12" t="s">
        <v>14476</v>
      </c>
      <c r="R2722" s="8" t="s">
        <v>100</v>
      </c>
      <c r="S2722" s="7" t="s">
        <v>18</v>
      </c>
      <c r="T2722" s="6"/>
      <c r="U2722" s="8"/>
    </row>
    <row r="2723" spans="1:34" ht="13" customHeight="1">
      <c r="A2723" s="8" t="s">
        <v>3267</v>
      </c>
      <c r="B2723" s="16">
        <v>43</v>
      </c>
      <c r="C2723" s="8" t="s">
        <v>20</v>
      </c>
      <c r="D2723" s="8" t="s">
        <v>30</v>
      </c>
      <c r="F2723" s="17">
        <v>41519</v>
      </c>
      <c r="G2723" s="8" t="s">
        <v>14477</v>
      </c>
      <c r="H2723" s="8" t="s">
        <v>14478</v>
      </c>
      <c r="I2723" s="8" t="s">
        <v>45</v>
      </c>
      <c r="J2723" s="16" t="s">
        <v>14479</v>
      </c>
      <c r="K2723" s="2" t="s">
        <v>1427</v>
      </c>
      <c r="L2723" s="8" t="s">
        <v>14480</v>
      </c>
      <c r="M2723" s="8" t="s">
        <v>27</v>
      </c>
      <c r="N2723" s="2" t="s">
        <v>14481</v>
      </c>
      <c r="O2723" s="8" t="s">
        <v>1013</v>
      </c>
      <c r="P2723" s="8" t="s">
        <v>401</v>
      </c>
      <c r="Q2723" s="12" t="s">
        <v>14482</v>
      </c>
      <c r="R2723" s="8" t="s">
        <v>100</v>
      </c>
      <c r="S2723" s="7" t="s">
        <v>28</v>
      </c>
      <c r="T2723" s="6"/>
      <c r="U2723" s="8"/>
    </row>
    <row r="2724" spans="1:34" ht="13" customHeight="1">
      <c r="A2724" s="8" t="s">
        <v>14483</v>
      </c>
      <c r="B2724" s="16">
        <v>47</v>
      </c>
      <c r="C2724" s="8" t="s">
        <v>20</v>
      </c>
      <c r="D2724" s="8" t="s">
        <v>30</v>
      </c>
      <c r="F2724" s="17">
        <v>41519</v>
      </c>
      <c r="G2724" s="8" t="s">
        <v>14484</v>
      </c>
      <c r="H2724" s="8" t="s">
        <v>14485</v>
      </c>
      <c r="I2724" s="8" t="s">
        <v>404</v>
      </c>
      <c r="J2724" s="16" t="s">
        <v>14486</v>
      </c>
      <c r="K2724" s="2" t="s">
        <v>1291</v>
      </c>
      <c r="L2724" s="8" t="s">
        <v>9400</v>
      </c>
      <c r="M2724" s="8" t="s">
        <v>27</v>
      </c>
      <c r="N2724" s="2" t="s">
        <v>14487</v>
      </c>
      <c r="O2724" s="8" t="s">
        <v>550</v>
      </c>
      <c r="P2724" s="8" t="s">
        <v>401</v>
      </c>
      <c r="Q2724" s="12" t="s">
        <v>14488</v>
      </c>
      <c r="R2724" s="8" t="s">
        <v>555</v>
      </c>
      <c r="S2724" s="7" t="s">
        <v>28</v>
      </c>
      <c r="T2724" s="6"/>
      <c r="U2724" s="8"/>
    </row>
    <row r="2725" spans="1:34" ht="13" customHeight="1">
      <c r="A2725" s="8" t="s">
        <v>14512</v>
      </c>
      <c r="B2725" s="16">
        <v>23</v>
      </c>
      <c r="C2725" s="8" t="s">
        <v>20</v>
      </c>
      <c r="D2725" s="8" t="s">
        <v>37</v>
      </c>
      <c r="E2725" s="8" t="s">
        <v>14513</v>
      </c>
      <c r="F2725" s="17">
        <v>41519</v>
      </c>
      <c r="G2725" s="8" t="s">
        <v>14514</v>
      </c>
      <c r="H2725" s="8" t="s">
        <v>13531</v>
      </c>
      <c r="I2725" s="8" t="s">
        <v>62</v>
      </c>
      <c r="J2725" s="16" t="s">
        <v>14379</v>
      </c>
      <c r="K2725" s="2" t="s">
        <v>2316</v>
      </c>
      <c r="L2725" s="8" t="s">
        <v>14154</v>
      </c>
      <c r="M2725" s="8" t="s">
        <v>27</v>
      </c>
      <c r="N2725" s="2" t="s">
        <v>14515</v>
      </c>
      <c r="O2725" s="8" t="s">
        <v>550</v>
      </c>
      <c r="P2725" s="8" t="s">
        <v>401</v>
      </c>
      <c r="Q2725" s="12" t="s">
        <v>14516</v>
      </c>
      <c r="R2725" s="8" t="s">
        <v>29</v>
      </c>
      <c r="S2725" s="7" t="s">
        <v>28</v>
      </c>
      <c r="T2725" s="6"/>
      <c r="U2725" s="8"/>
    </row>
    <row r="2726" spans="1:34" ht="13" customHeight="1">
      <c r="A2726" s="8" t="s">
        <v>14489</v>
      </c>
      <c r="B2726" s="16">
        <v>44</v>
      </c>
      <c r="C2726" s="8" t="s">
        <v>20</v>
      </c>
      <c r="D2726" s="8" t="s">
        <v>37</v>
      </c>
      <c r="E2726" s="8" t="s">
        <v>14490</v>
      </c>
      <c r="F2726" s="17">
        <v>41519</v>
      </c>
      <c r="G2726" s="8" t="s">
        <v>14491</v>
      </c>
      <c r="H2726" s="8" t="s">
        <v>14492</v>
      </c>
      <c r="I2726" s="8" t="s">
        <v>315</v>
      </c>
      <c r="J2726" s="16" t="s">
        <v>14493</v>
      </c>
      <c r="K2726" s="2" t="s">
        <v>2692</v>
      </c>
      <c r="L2726" s="8" t="s">
        <v>2693</v>
      </c>
      <c r="M2726" s="8" t="s">
        <v>27</v>
      </c>
      <c r="N2726" s="2" t="s">
        <v>14494</v>
      </c>
      <c r="O2726" s="8" t="s">
        <v>1013</v>
      </c>
      <c r="P2726" s="8" t="s">
        <v>401</v>
      </c>
      <c r="Q2726" s="12" t="s">
        <v>14495</v>
      </c>
      <c r="R2726" s="8" t="s">
        <v>100</v>
      </c>
      <c r="S2726" s="7" t="s">
        <v>28</v>
      </c>
      <c r="T2726" s="6"/>
      <c r="U2726" s="8"/>
    </row>
    <row r="2727" spans="1:34" ht="13" customHeight="1">
      <c r="A2727" s="8" t="s">
        <v>14496</v>
      </c>
      <c r="B2727" s="16">
        <v>40</v>
      </c>
      <c r="C2727" s="8" t="s">
        <v>20</v>
      </c>
      <c r="D2727" s="8" t="s">
        <v>37</v>
      </c>
      <c r="E2727" s="8" t="s">
        <v>14497</v>
      </c>
      <c r="F2727" s="17">
        <v>41519</v>
      </c>
      <c r="G2727" s="8" t="s">
        <v>14498</v>
      </c>
      <c r="H2727" s="8" t="s">
        <v>14499</v>
      </c>
      <c r="I2727" s="8" t="s">
        <v>41</v>
      </c>
      <c r="J2727" s="16" t="s">
        <v>14500</v>
      </c>
      <c r="K2727" s="2" t="s">
        <v>852</v>
      </c>
      <c r="L2727" s="8" t="s">
        <v>14501</v>
      </c>
      <c r="M2727" s="8" t="s">
        <v>391</v>
      </c>
      <c r="N2727" s="2" t="s">
        <v>14502</v>
      </c>
      <c r="O2727" s="8" t="s">
        <v>29</v>
      </c>
      <c r="P2727" s="8" t="s">
        <v>401</v>
      </c>
      <c r="Q2727" s="12" t="s">
        <v>14503</v>
      </c>
      <c r="R2727" s="8" t="s">
        <v>555</v>
      </c>
      <c r="S2727" s="7" t="s">
        <v>18</v>
      </c>
      <c r="T2727" s="6"/>
      <c r="U2727" s="8"/>
    </row>
    <row r="2728" spans="1:34" ht="13" customHeight="1">
      <c r="A2728" s="8" t="s">
        <v>14504</v>
      </c>
      <c r="B2728" s="16">
        <v>43</v>
      </c>
      <c r="C2728" s="8" t="s">
        <v>20</v>
      </c>
      <c r="D2728" s="8" t="s">
        <v>37</v>
      </c>
      <c r="E2728" s="8" t="s">
        <v>14505</v>
      </c>
      <c r="F2728" s="17">
        <v>41519</v>
      </c>
      <c r="G2728" s="8" t="s">
        <v>14506</v>
      </c>
      <c r="H2728" s="8" t="s">
        <v>14507</v>
      </c>
      <c r="I2728" s="8" t="s">
        <v>62</v>
      </c>
      <c r="J2728" s="16" t="s">
        <v>14508</v>
      </c>
      <c r="K2728" s="2" t="s">
        <v>161</v>
      </c>
      <c r="L2728" s="8" t="s">
        <v>14509</v>
      </c>
      <c r="M2728" s="8" t="s">
        <v>391</v>
      </c>
      <c r="N2728" s="2" t="s">
        <v>14510</v>
      </c>
      <c r="O2728" s="8" t="s">
        <v>1013</v>
      </c>
      <c r="P2728" s="8" t="s">
        <v>401</v>
      </c>
      <c r="Q2728" s="12" t="s">
        <v>14511</v>
      </c>
      <c r="R2728" s="8" t="s">
        <v>967</v>
      </c>
      <c r="S2728" s="7" t="s">
        <v>18</v>
      </c>
      <c r="T2728" s="6"/>
      <c r="U2728" s="8"/>
    </row>
    <row r="2729" spans="1:34" ht="13" customHeight="1">
      <c r="A2729" s="8" t="s">
        <v>14517</v>
      </c>
      <c r="B2729" s="16">
        <v>27</v>
      </c>
      <c r="C2729" s="8" t="s">
        <v>20</v>
      </c>
      <c r="D2729" s="8" t="s">
        <v>48</v>
      </c>
      <c r="E2729" s="8" t="s">
        <v>14518</v>
      </c>
      <c r="F2729" s="17">
        <v>41518</v>
      </c>
      <c r="G2729" s="8" t="s">
        <v>14519</v>
      </c>
      <c r="H2729" s="8" t="s">
        <v>7124</v>
      </c>
      <c r="I2729" s="8" t="s">
        <v>217</v>
      </c>
      <c r="J2729" s="16" t="s">
        <v>7125</v>
      </c>
      <c r="K2729" s="2" t="s">
        <v>7124</v>
      </c>
      <c r="L2729" s="8" t="s">
        <v>7126</v>
      </c>
      <c r="M2729" s="8" t="s">
        <v>27</v>
      </c>
      <c r="N2729" s="2" t="s">
        <v>14520</v>
      </c>
      <c r="O2729" s="8" t="s">
        <v>550</v>
      </c>
      <c r="P2729" s="8" t="s">
        <v>401</v>
      </c>
      <c r="Q2729" s="12" t="s">
        <v>14521</v>
      </c>
      <c r="R2729" s="8" t="s">
        <v>29</v>
      </c>
      <c r="S2729" s="7" t="s">
        <v>28</v>
      </c>
      <c r="T2729" s="6"/>
      <c r="U2729" s="8"/>
    </row>
    <row r="2730" spans="1:34" ht="13" customHeight="1">
      <c r="A2730" s="8" t="s">
        <v>3267</v>
      </c>
      <c r="B2730" s="16">
        <v>28</v>
      </c>
      <c r="C2730" s="8" t="s">
        <v>20</v>
      </c>
      <c r="D2730" s="8" t="s">
        <v>48</v>
      </c>
      <c r="F2730" s="17">
        <v>41518</v>
      </c>
      <c r="G2730" s="8" t="s">
        <v>14522</v>
      </c>
      <c r="H2730" s="8" t="s">
        <v>726</v>
      </c>
      <c r="I2730" s="8" t="s">
        <v>73</v>
      </c>
      <c r="J2730" s="16" t="s">
        <v>6875</v>
      </c>
      <c r="K2730" s="2" t="s">
        <v>558</v>
      </c>
      <c r="L2730" s="8" t="s">
        <v>727</v>
      </c>
      <c r="M2730" s="8" t="s">
        <v>27</v>
      </c>
      <c r="N2730" s="2" t="s">
        <v>14523</v>
      </c>
      <c r="O2730" s="8" t="s">
        <v>550</v>
      </c>
      <c r="P2730" s="8" t="s">
        <v>401</v>
      </c>
      <c r="Q2730" s="12" t="s">
        <v>14524</v>
      </c>
      <c r="R2730" s="8" t="s">
        <v>100</v>
      </c>
      <c r="S2730" s="7" t="s">
        <v>28</v>
      </c>
      <c r="T2730" s="6"/>
      <c r="U2730" s="8"/>
    </row>
    <row r="2731" spans="1:34" ht="13" customHeight="1">
      <c r="A2731" s="8" t="s">
        <v>14530</v>
      </c>
      <c r="B2731" s="16">
        <v>46</v>
      </c>
      <c r="C2731" s="8" t="s">
        <v>20</v>
      </c>
      <c r="D2731" s="8" t="s">
        <v>48</v>
      </c>
      <c r="E2731" s="8" t="s">
        <v>14531</v>
      </c>
      <c r="F2731" s="17">
        <v>41518</v>
      </c>
      <c r="G2731" s="8" t="s">
        <v>14532</v>
      </c>
      <c r="H2731" s="8" t="s">
        <v>1956</v>
      </c>
      <c r="I2731" s="8" t="s">
        <v>45</v>
      </c>
      <c r="J2731" s="16" t="s">
        <v>14533</v>
      </c>
      <c r="K2731" s="2" t="s">
        <v>1956</v>
      </c>
      <c r="L2731" s="8" t="s">
        <v>14534</v>
      </c>
      <c r="M2731" s="8" t="s">
        <v>27</v>
      </c>
      <c r="N2731" s="2" t="s">
        <v>14535</v>
      </c>
      <c r="O2731" s="8" t="s">
        <v>550</v>
      </c>
      <c r="P2731" s="8" t="s">
        <v>401</v>
      </c>
      <c r="Q2731" s="12" t="s">
        <v>14536</v>
      </c>
      <c r="R2731" s="8" t="s">
        <v>555</v>
      </c>
      <c r="S2731" s="7" t="s">
        <v>28</v>
      </c>
      <c r="T2731" s="6"/>
      <c r="U2731" s="8"/>
    </row>
    <row r="2732" spans="1:34" ht="13" customHeight="1">
      <c r="A2732" s="8" t="s">
        <v>14525</v>
      </c>
      <c r="B2732" s="16">
        <v>35</v>
      </c>
      <c r="C2732" s="8" t="s">
        <v>20</v>
      </c>
      <c r="D2732" s="8" t="s">
        <v>48</v>
      </c>
      <c r="E2732" s="8" t="s">
        <v>14526</v>
      </c>
      <c r="F2732" s="17">
        <v>41518</v>
      </c>
      <c r="G2732" s="8" t="s">
        <v>14527</v>
      </c>
      <c r="H2732" s="8" t="s">
        <v>4381</v>
      </c>
      <c r="I2732" s="8" t="s">
        <v>303</v>
      </c>
      <c r="J2732" s="16" t="s">
        <v>4382</v>
      </c>
      <c r="K2732" s="2" t="s">
        <v>1291</v>
      </c>
      <c r="L2732" s="8" t="s">
        <v>4383</v>
      </c>
      <c r="M2732" s="8" t="s">
        <v>3386</v>
      </c>
      <c r="N2732" s="2" t="s">
        <v>14528</v>
      </c>
      <c r="O2732" s="8" t="s">
        <v>550</v>
      </c>
      <c r="P2732" s="8" t="s">
        <v>401</v>
      </c>
      <c r="Q2732" s="12" t="s">
        <v>14529</v>
      </c>
      <c r="R2732" s="8" t="s">
        <v>29</v>
      </c>
      <c r="S2732" s="7" t="s">
        <v>18</v>
      </c>
      <c r="T2732" s="6"/>
      <c r="U2732" s="8"/>
    </row>
    <row r="2733" spans="1:34" ht="13" customHeight="1">
      <c r="A2733" s="8" t="s">
        <v>14537</v>
      </c>
      <c r="B2733" s="16">
        <v>25</v>
      </c>
      <c r="C2733" s="8" t="s">
        <v>20</v>
      </c>
      <c r="D2733" s="8" t="s">
        <v>945</v>
      </c>
      <c r="E2733" s="8" t="s">
        <v>14538</v>
      </c>
      <c r="F2733" s="17">
        <v>41518</v>
      </c>
      <c r="G2733" s="8" t="s">
        <v>14539</v>
      </c>
      <c r="H2733" s="8" t="s">
        <v>2497</v>
      </c>
      <c r="I2733" s="8" t="s">
        <v>395</v>
      </c>
      <c r="J2733" s="16" t="s">
        <v>6846</v>
      </c>
      <c r="K2733" s="2" t="s">
        <v>2497</v>
      </c>
      <c r="L2733" s="8" t="s">
        <v>2048</v>
      </c>
      <c r="M2733" s="8" t="s">
        <v>27</v>
      </c>
      <c r="N2733" s="2" t="s">
        <v>21489</v>
      </c>
      <c r="O2733" s="8" t="s">
        <v>400</v>
      </c>
      <c r="P2733" s="8" t="s">
        <v>401</v>
      </c>
      <c r="Q2733" s="12" t="s">
        <v>14540</v>
      </c>
      <c r="R2733" s="8" t="s">
        <v>100</v>
      </c>
      <c r="S2733" s="7" t="s">
        <v>35</v>
      </c>
      <c r="T2733" s="6"/>
      <c r="U2733" s="8"/>
    </row>
    <row r="2734" spans="1:34" ht="13" customHeight="1">
      <c r="A2734" s="8" t="s">
        <v>14541</v>
      </c>
      <c r="B2734" s="16">
        <v>34</v>
      </c>
      <c r="C2734" s="8" t="s">
        <v>20</v>
      </c>
      <c r="D2734" s="8" t="s">
        <v>37</v>
      </c>
      <c r="E2734" s="8" t="s">
        <v>14542</v>
      </c>
      <c r="F2734" s="17">
        <v>41518</v>
      </c>
      <c r="G2734" s="8" t="s">
        <v>14543</v>
      </c>
      <c r="H2734" s="8" t="s">
        <v>252</v>
      </c>
      <c r="I2734" s="8" t="s">
        <v>32</v>
      </c>
      <c r="J2734" s="16" t="s">
        <v>14544</v>
      </c>
      <c r="K2734" s="2" t="s">
        <v>252</v>
      </c>
      <c r="L2734" s="8" t="s">
        <v>12518</v>
      </c>
      <c r="M2734" s="8" t="s">
        <v>27</v>
      </c>
      <c r="N2734" s="2" t="s">
        <v>14545</v>
      </c>
      <c r="O2734" s="8" t="s">
        <v>550</v>
      </c>
      <c r="P2734" s="8" t="s">
        <v>401</v>
      </c>
      <c r="Q2734" s="12" t="s">
        <v>14546</v>
      </c>
      <c r="R2734" s="8" t="s">
        <v>555</v>
      </c>
      <c r="S2734" s="7" t="s">
        <v>28</v>
      </c>
      <c r="T2734" s="6"/>
      <c r="U2734" s="8"/>
      <c r="Y2734" s="8"/>
      <c r="Z2734" s="8"/>
      <c r="AA2734" s="8"/>
      <c r="AB2734" s="8"/>
      <c r="AC2734" s="8"/>
      <c r="AD2734" s="8"/>
      <c r="AE2734" s="8"/>
      <c r="AF2734" s="8"/>
      <c r="AG2734" s="8"/>
      <c r="AH2734" s="8"/>
    </row>
    <row r="2735" spans="1:34" ht="13" customHeight="1">
      <c r="A2735" s="8" t="s">
        <v>14547</v>
      </c>
      <c r="B2735" s="16">
        <v>28</v>
      </c>
      <c r="C2735" s="8" t="s">
        <v>20</v>
      </c>
      <c r="D2735" s="8" t="s">
        <v>85</v>
      </c>
      <c r="E2735" s="8" t="s">
        <v>14548</v>
      </c>
      <c r="F2735" s="17">
        <v>41517</v>
      </c>
      <c r="G2735" s="8" t="s">
        <v>14549</v>
      </c>
      <c r="H2735" s="8" t="s">
        <v>87</v>
      </c>
      <c r="I2735" s="8" t="s">
        <v>44</v>
      </c>
      <c r="J2735" s="16" t="s">
        <v>5330</v>
      </c>
      <c r="K2735" s="2" t="s">
        <v>88</v>
      </c>
      <c r="L2735" s="8" t="s">
        <v>89</v>
      </c>
      <c r="M2735" s="8" t="s">
        <v>27</v>
      </c>
      <c r="N2735" s="2" t="s">
        <v>14550</v>
      </c>
      <c r="O2735" s="8" t="s">
        <v>1013</v>
      </c>
      <c r="P2735" s="8" t="s">
        <v>401</v>
      </c>
      <c r="Q2735" s="12" t="s">
        <v>21490</v>
      </c>
      <c r="R2735" s="8" t="s">
        <v>29</v>
      </c>
      <c r="S2735" s="7" t="s">
        <v>35</v>
      </c>
      <c r="T2735" s="6"/>
      <c r="U2735" s="8"/>
    </row>
    <row r="2736" spans="1:34" ht="13" customHeight="1">
      <c r="A2736" s="8" t="s">
        <v>14551</v>
      </c>
      <c r="B2736" s="16">
        <v>46</v>
      </c>
      <c r="C2736" s="8" t="s">
        <v>20</v>
      </c>
      <c r="D2736" s="8" t="s">
        <v>48</v>
      </c>
      <c r="E2736" s="8" t="s">
        <v>14552</v>
      </c>
      <c r="F2736" s="17">
        <v>41517</v>
      </c>
      <c r="G2736" s="8" t="s">
        <v>14553</v>
      </c>
      <c r="H2736" s="8" t="s">
        <v>13640</v>
      </c>
      <c r="I2736" s="8" t="s">
        <v>45</v>
      </c>
      <c r="J2736" s="16" t="s">
        <v>13641</v>
      </c>
      <c r="K2736" s="2" t="s">
        <v>604</v>
      </c>
      <c r="L2736" s="8" t="s">
        <v>13642</v>
      </c>
      <c r="M2736" s="8" t="s">
        <v>27</v>
      </c>
      <c r="N2736" s="2" t="s">
        <v>14554</v>
      </c>
      <c r="O2736" s="8" t="s">
        <v>29</v>
      </c>
      <c r="P2736" s="8" t="s">
        <v>401</v>
      </c>
      <c r="Q2736" s="12" t="s">
        <v>14555</v>
      </c>
      <c r="R2736" s="8" t="s">
        <v>555</v>
      </c>
      <c r="S2736" s="7" t="s">
        <v>28</v>
      </c>
      <c r="T2736" s="6"/>
      <c r="U2736" s="8"/>
    </row>
    <row r="2737" spans="1:34" ht="13" customHeight="1">
      <c r="A2737" s="8" t="s">
        <v>14556</v>
      </c>
      <c r="B2737" s="16">
        <v>29</v>
      </c>
      <c r="C2737" s="8" t="s">
        <v>20</v>
      </c>
      <c r="D2737" s="8" t="s">
        <v>37</v>
      </c>
      <c r="E2737" s="8" t="s">
        <v>14557</v>
      </c>
      <c r="F2737" s="17">
        <v>41517</v>
      </c>
      <c r="G2737" s="8" t="s">
        <v>14558</v>
      </c>
      <c r="H2737" s="8" t="s">
        <v>575</v>
      </c>
      <c r="I2737" s="8" t="s">
        <v>73</v>
      </c>
      <c r="J2737" s="16" t="s">
        <v>14559</v>
      </c>
      <c r="K2737" s="2" t="s">
        <v>576</v>
      </c>
      <c r="L2737" s="8" t="s">
        <v>585</v>
      </c>
      <c r="M2737" s="8" t="s">
        <v>27</v>
      </c>
      <c r="N2737" s="2" t="s">
        <v>14560</v>
      </c>
      <c r="O2737" s="8" t="s">
        <v>1790</v>
      </c>
      <c r="P2737" s="8" t="s">
        <v>1162</v>
      </c>
      <c r="Q2737" s="12" t="s">
        <v>14561</v>
      </c>
      <c r="R2737" s="8" t="s">
        <v>100</v>
      </c>
      <c r="S2737" s="7" t="s">
        <v>18</v>
      </c>
      <c r="T2737" s="6"/>
      <c r="U2737" s="8"/>
    </row>
    <row r="2738" spans="1:34" ht="13" customHeight="1">
      <c r="A2738" s="8" t="s">
        <v>14562</v>
      </c>
      <c r="B2738" s="16" t="s">
        <v>13755</v>
      </c>
      <c r="C2738" s="8" t="s">
        <v>20</v>
      </c>
      <c r="D2738" s="8" t="s">
        <v>48</v>
      </c>
      <c r="E2738" s="8" t="s">
        <v>14563</v>
      </c>
      <c r="F2738" s="17">
        <v>41516</v>
      </c>
      <c r="G2738" s="8" t="s">
        <v>14564</v>
      </c>
      <c r="H2738" s="8" t="s">
        <v>12272</v>
      </c>
      <c r="I2738" s="8" t="s">
        <v>209</v>
      </c>
      <c r="J2738" s="16" t="s">
        <v>12273</v>
      </c>
      <c r="K2738" s="2" t="s">
        <v>1927</v>
      </c>
      <c r="L2738" s="8" t="s">
        <v>12274</v>
      </c>
      <c r="M2738" s="8" t="s">
        <v>27</v>
      </c>
      <c r="N2738" s="2" t="s">
        <v>14565</v>
      </c>
      <c r="O2738" s="8" t="s">
        <v>29</v>
      </c>
      <c r="P2738" s="8" t="s">
        <v>401</v>
      </c>
      <c r="Q2738" s="12" t="s">
        <v>14566</v>
      </c>
      <c r="R2738" s="8" t="s">
        <v>967</v>
      </c>
      <c r="S2738" s="7" t="s">
        <v>28</v>
      </c>
      <c r="T2738" s="6"/>
      <c r="U2738" s="8"/>
    </row>
    <row r="2739" spans="1:34" ht="13" customHeight="1">
      <c r="A2739" s="8" t="s">
        <v>14567</v>
      </c>
      <c r="B2739" s="16">
        <v>47</v>
      </c>
      <c r="C2739" s="8" t="s">
        <v>20</v>
      </c>
      <c r="D2739" s="8" t="s">
        <v>30</v>
      </c>
      <c r="F2739" s="17">
        <v>41516</v>
      </c>
      <c r="G2739" s="8" t="s">
        <v>14568</v>
      </c>
      <c r="H2739" s="8" t="s">
        <v>987</v>
      </c>
      <c r="I2739" s="8" t="s">
        <v>69</v>
      </c>
      <c r="J2739" s="16" t="s">
        <v>6091</v>
      </c>
      <c r="K2739" s="2" t="s">
        <v>105</v>
      </c>
      <c r="L2739" s="8" t="s">
        <v>14569</v>
      </c>
      <c r="M2739" s="8" t="s">
        <v>27</v>
      </c>
      <c r="N2739" s="2" t="s">
        <v>14570</v>
      </c>
      <c r="O2739" s="8" t="s">
        <v>1013</v>
      </c>
      <c r="P2739" s="8" t="s">
        <v>401</v>
      </c>
      <c r="Q2739" s="12" t="s">
        <v>14571</v>
      </c>
      <c r="R2739" s="8" t="s">
        <v>100</v>
      </c>
      <c r="S2739" s="7" t="s">
        <v>28</v>
      </c>
      <c r="T2739" s="6"/>
      <c r="U2739" s="8"/>
    </row>
    <row r="2740" spans="1:34" ht="13" customHeight="1">
      <c r="A2740" s="8" t="s">
        <v>14572</v>
      </c>
      <c r="B2740" s="16">
        <v>34</v>
      </c>
      <c r="C2740" s="8" t="s">
        <v>20</v>
      </c>
      <c r="D2740" s="8" t="s">
        <v>37</v>
      </c>
      <c r="F2740" s="17">
        <v>41516</v>
      </c>
      <c r="G2740" s="8" t="s">
        <v>14573</v>
      </c>
      <c r="H2740" s="8" t="s">
        <v>14574</v>
      </c>
      <c r="I2740" s="8" t="s">
        <v>117</v>
      </c>
      <c r="J2740" s="16" t="s">
        <v>14575</v>
      </c>
      <c r="K2740" s="2" t="s">
        <v>12985</v>
      </c>
      <c r="L2740" s="8" t="s">
        <v>2055</v>
      </c>
      <c r="M2740" s="8" t="s">
        <v>27</v>
      </c>
      <c r="N2740" s="2" t="s">
        <v>14576</v>
      </c>
      <c r="O2740" s="8" t="s">
        <v>1013</v>
      </c>
      <c r="P2740" s="8" t="s">
        <v>401</v>
      </c>
      <c r="Q2740" s="12" t="s">
        <v>14577</v>
      </c>
      <c r="R2740" s="8" t="s">
        <v>100</v>
      </c>
      <c r="S2740" s="7" t="s">
        <v>28</v>
      </c>
      <c r="T2740" s="6"/>
      <c r="U2740" s="8"/>
    </row>
    <row r="2741" spans="1:34" ht="13" customHeight="1">
      <c r="A2741" s="8" t="s">
        <v>14578</v>
      </c>
      <c r="B2741" s="16">
        <v>34</v>
      </c>
      <c r="C2741" s="8" t="s">
        <v>20</v>
      </c>
      <c r="D2741" s="8" t="s">
        <v>85</v>
      </c>
      <c r="E2741" s="8" t="s">
        <v>14579</v>
      </c>
      <c r="F2741" s="17">
        <v>41515</v>
      </c>
      <c r="G2741" s="8" t="s">
        <v>14580</v>
      </c>
      <c r="H2741" s="8" t="s">
        <v>14581</v>
      </c>
      <c r="I2741" s="8" t="s">
        <v>117</v>
      </c>
      <c r="J2741" s="16" t="s">
        <v>14582</v>
      </c>
      <c r="K2741" s="2" t="s">
        <v>14583</v>
      </c>
      <c r="L2741" s="8" t="s">
        <v>2055</v>
      </c>
      <c r="M2741" s="8" t="s">
        <v>27</v>
      </c>
      <c r="N2741" s="2" t="s">
        <v>14584</v>
      </c>
      <c r="O2741" s="8" t="s">
        <v>550</v>
      </c>
      <c r="P2741" s="8" t="s">
        <v>401</v>
      </c>
      <c r="Q2741" s="12" t="s">
        <v>14585</v>
      </c>
      <c r="R2741" s="8" t="s">
        <v>100</v>
      </c>
      <c r="S2741" s="7" t="s">
        <v>28</v>
      </c>
      <c r="T2741" s="6"/>
      <c r="U2741" s="8"/>
    </row>
    <row r="2742" spans="1:34" ht="13" customHeight="1">
      <c r="A2742" s="8" t="s">
        <v>14592</v>
      </c>
      <c r="B2742" s="16">
        <v>42</v>
      </c>
      <c r="C2742" s="8" t="s">
        <v>20</v>
      </c>
      <c r="D2742" s="8" t="s">
        <v>30</v>
      </c>
      <c r="F2742" s="17">
        <v>41515</v>
      </c>
      <c r="G2742" s="8" t="s">
        <v>14593</v>
      </c>
      <c r="H2742" s="8" t="s">
        <v>929</v>
      </c>
      <c r="I2742" s="8" t="s">
        <v>73</v>
      </c>
      <c r="J2742" s="16" t="s">
        <v>12962</v>
      </c>
      <c r="K2742" s="2" t="s">
        <v>74</v>
      </c>
      <c r="L2742" s="8" t="s">
        <v>14594</v>
      </c>
      <c r="M2742" s="8" t="s">
        <v>27</v>
      </c>
      <c r="N2742" s="2" t="s">
        <v>14595</v>
      </c>
      <c r="O2742" s="8" t="s">
        <v>550</v>
      </c>
      <c r="P2742" s="8" t="s">
        <v>401</v>
      </c>
      <c r="Q2742" s="12" t="s">
        <v>14596</v>
      </c>
      <c r="R2742" s="8" t="s">
        <v>100</v>
      </c>
      <c r="S2742" s="7" t="s">
        <v>28</v>
      </c>
      <c r="T2742" s="6"/>
      <c r="U2742" s="8"/>
    </row>
    <row r="2743" spans="1:34" ht="13" customHeight="1">
      <c r="A2743" s="8" t="s">
        <v>14586</v>
      </c>
      <c r="B2743" s="16">
        <v>73</v>
      </c>
      <c r="C2743" s="8" t="s">
        <v>20</v>
      </c>
      <c r="D2743" s="8" t="s">
        <v>30</v>
      </c>
      <c r="F2743" s="17">
        <v>41515</v>
      </c>
      <c r="G2743" s="8" t="s">
        <v>14587</v>
      </c>
      <c r="H2743" s="8" t="s">
        <v>14588</v>
      </c>
      <c r="I2743" s="8" t="s">
        <v>173</v>
      </c>
      <c r="J2743" s="16" t="s">
        <v>14589</v>
      </c>
      <c r="K2743" s="2" t="s">
        <v>1328</v>
      </c>
      <c r="L2743" s="8" t="s">
        <v>1329</v>
      </c>
      <c r="M2743" s="8" t="s">
        <v>27</v>
      </c>
      <c r="N2743" s="2" t="s">
        <v>14590</v>
      </c>
      <c r="O2743" s="8" t="s">
        <v>550</v>
      </c>
      <c r="P2743" s="8" t="s">
        <v>401</v>
      </c>
      <c r="Q2743" s="12" t="s">
        <v>14591</v>
      </c>
      <c r="R2743" s="8" t="s">
        <v>100</v>
      </c>
      <c r="S2743" s="7" t="s">
        <v>28</v>
      </c>
      <c r="T2743" s="6"/>
      <c r="U2743" s="8"/>
    </row>
    <row r="2744" spans="1:34" ht="13" customHeight="1">
      <c r="A2744" s="8" t="s">
        <v>14597</v>
      </c>
      <c r="B2744" s="16" t="s">
        <v>13573</v>
      </c>
      <c r="C2744" s="8" t="s">
        <v>20</v>
      </c>
      <c r="D2744" s="8" t="s">
        <v>37</v>
      </c>
      <c r="E2744" s="8" t="s">
        <v>14598</v>
      </c>
      <c r="F2744" s="17">
        <v>41515</v>
      </c>
      <c r="G2744" s="8" t="s">
        <v>14599</v>
      </c>
      <c r="H2744" s="8" t="s">
        <v>4209</v>
      </c>
      <c r="I2744" s="8" t="s">
        <v>244</v>
      </c>
      <c r="J2744" s="16" t="s">
        <v>14600</v>
      </c>
      <c r="K2744" s="2" t="s">
        <v>4440</v>
      </c>
      <c r="L2744" s="8" t="s">
        <v>13363</v>
      </c>
      <c r="M2744" s="8" t="s">
        <v>27</v>
      </c>
      <c r="N2744" s="2" t="s">
        <v>21491</v>
      </c>
      <c r="O2744" s="8" t="s">
        <v>1161</v>
      </c>
      <c r="P2744" s="8" t="s">
        <v>1162</v>
      </c>
      <c r="Q2744" s="12" t="str">
        <f>HYPERLINK("http://www.washingtonpost.com/blogs/local/wp/2014/07/08/ten-months-of-silence-in-the-fairfax-police-shooting-death-of-john-geer/","http://www.washingtonpost.com/blogs/local/wp/2014/07/08/ten-months-of-silence-in-the-fairfax-police-shooting-death-of-john-geer/")</f>
        <v>http://www.washingtonpost.com/blogs/local/wp/2014/07/08/ten-months-of-silence-in-the-fairfax-police-shooting-death-of-john-geer/</v>
      </c>
      <c r="R2744" s="8" t="s">
        <v>100</v>
      </c>
      <c r="S2744" s="7" t="s">
        <v>18</v>
      </c>
      <c r="T2744" s="6"/>
      <c r="U2744" s="8"/>
    </row>
    <row r="2745" spans="1:34" ht="13" customHeight="1">
      <c r="A2745" s="8" t="s">
        <v>14601</v>
      </c>
      <c r="B2745" s="16">
        <v>25</v>
      </c>
      <c r="C2745" s="8" t="s">
        <v>20</v>
      </c>
      <c r="D2745" s="8" t="s">
        <v>85</v>
      </c>
      <c r="E2745" s="8" t="s">
        <v>14602</v>
      </c>
      <c r="F2745" s="17">
        <v>41514</v>
      </c>
      <c r="G2745" s="8" t="s">
        <v>14603</v>
      </c>
      <c r="H2745" s="8" t="s">
        <v>14604</v>
      </c>
      <c r="I2745" s="8" t="s">
        <v>52</v>
      </c>
      <c r="J2745" s="16" t="s">
        <v>14605</v>
      </c>
      <c r="K2745" s="2" t="s">
        <v>1596</v>
      </c>
      <c r="L2745" s="8" t="s">
        <v>231</v>
      </c>
      <c r="M2745" s="8" t="s">
        <v>27</v>
      </c>
      <c r="N2745" s="2" t="s">
        <v>14606</v>
      </c>
      <c r="O2745" s="8" t="s">
        <v>4714</v>
      </c>
      <c r="P2745" s="8" t="s">
        <v>401</v>
      </c>
      <c r="Q2745" s="12" t="s">
        <v>14607</v>
      </c>
      <c r="R2745" s="8" t="s">
        <v>100</v>
      </c>
      <c r="S2745" s="7" t="s">
        <v>28</v>
      </c>
      <c r="T2745" s="6"/>
      <c r="U2745" s="8"/>
    </row>
    <row r="2746" spans="1:34" ht="13" customHeight="1">
      <c r="A2746" s="8" t="s">
        <v>14608</v>
      </c>
      <c r="B2746" s="16">
        <v>27</v>
      </c>
      <c r="C2746" s="8" t="s">
        <v>20</v>
      </c>
      <c r="D2746" s="8" t="s">
        <v>85</v>
      </c>
      <c r="E2746" s="8" t="s">
        <v>14609</v>
      </c>
      <c r="F2746" s="17">
        <v>41514</v>
      </c>
      <c r="G2746" s="8" t="s">
        <v>14610</v>
      </c>
      <c r="H2746" s="8" t="s">
        <v>2201</v>
      </c>
      <c r="I2746" s="8" t="s">
        <v>62</v>
      </c>
      <c r="J2746" s="16" t="s">
        <v>2202</v>
      </c>
      <c r="K2746" s="2" t="s">
        <v>1127</v>
      </c>
      <c r="L2746" s="8" t="s">
        <v>4412</v>
      </c>
      <c r="M2746" s="8" t="s">
        <v>27</v>
      </c>
      <c r="N2746" s="2" t="s">
        <v>14611</v>
      </c>
      <c r="O2746" s="8" t="s">
        <v>1013</v>
      </c>
      <c r="P2746" s="8" t="s">
        <v>401</v>
      </c>
      <c r="Q2746" s="12" t="s">
        <v>14612</v>
      </c>
      <c r="R2746" s="8" t="s">
        <v>100</v>
      </c>
      <c r="S2746" s="7" t="s">
        <v>28</v>
      </c>
      <c r="T2746" s="6"/>
      <c r="U2746" s="8"/>
    </row>
    <row r="2747" spans="1:34" ht="13" customHeight="1">
      <c r="A2747" s="8" t="s">
        <v>3267</v>
      </c>
      <c r="C2747" s="8" t="s">
        <v>20</v>
      </c>
      <c r="D2747" s="8" t="s">
        <v>48</v>
      </c>
      <c r="F2747" s="17">
        <v>41514</v>
      </c>
      <c r="G2747" s="8" t="s">
        <v>14613</v>
      </c>
      <c r="H2747" s="8" t="s">
        <v>5227</v>
      </c>
      <c r="I2747" s="8" t="s">
        <v>45</v>
      </c>
      <c r="J2747" s="16" t="s">
        <v>14614</v>
      </c>
      <c r="K2747" s="2" t="s">
        <v>98</v>
      </c>
      <c r="L2747" s="8" t="s">
        <v>414</v>
      </c>
      <c r="M2747" s="8" t="s">
        <v>27</v>
      </c>
      <c r="N2747" s="2" t="s">
        <v>14615</v>
      </c>
      <c r="O2747" s="8" t="s">
        <v>1013</v>
      </c>
      <c r="P2747" s="8" t="s">
        <v>401</v>
      </c>
      <c r="Q2747" s="12" t="s">
        <v>14616</v>
      </c>
      <c r="R2747" s="8" t="s">
        <v>100</v>
      </c>
      <c r="S2747" s="7" t="s">
        <v>28</v>
      </c>
      <c r="T2747" s="6"/>
      <c r="U2747" s="8"/>
    </row>
    <row r="2748" spans="1:34" ht="13" customHeight="1">
      <c r="A2748" s="8" t="s">
        <v>14617</v>
      </c>
      <c r="B2748" s="16">
        <v>17</v>
      </c>
      <c r="C2748" s="8" t="s">
        <v>20</v>
      </c>
      <c r="D2748" s="8" t="s">
        <v>48</v>
      </c>
      <c r="F2748" s="17">
        <v>41514</v>
      </c>
      <c r="G2748" s="8" t="s">
        <v>14618</v>
      </c>
      <c r="H2748" s="8" t="s">
        <v>5227</v>
      </c>
      <c r="I2748" s="8" t="s">
        <v>45</v>
      </c>
      <c r="J2748" s="16" t="s">
        <v>14614</v>
      </c>
      <c r="K2748" s="2" t="s">
        <v>98</v>
      </c>
      <c r="L2748" s="8" t="s">
        <v>14218</v>
      </c>
      <c r="M2748" s="8" t="s">
        <v>27</v>
      </c>
      <c r="N2748" s="2" t="s">
        <v>14619</v>
      </c>
      <c r="O2748" s="8" t="s">
        <v>1013</v>
      </c>
      <c r="P2748" s="8" t="s">
        <v>401</v>
      </c>
      <c r="Q2748" s="12" t="str">
        <f>HYPERLINK("http://homicide.latimes.com/post/dennis-hakeen-vasquez/","http://homicide.latimes.com/post/dennis-hakeen-vasquez/")</f>
        <v>http://homicide.latimes.com/post/dennis-hakeen-vasquez/</v>
      </c>
      <c r="R2748" s="8" t="s">
        <v>29</v>
      </c>
      <c r="S2748" s="7" t="s">
        <v>35</v>
      </c>
      <c r="T2748" s="6"/>
      <c r="U2748" s="8"/>
    </row>
    <row r="2749" spans="1:34" ht="13" customHeight="1">
      <c r="A2749" s="8" t="s">
        <v>3267</v>
      </c>
      <c r="C2749" s="8" t="s">
        <v>20</v>
      </c>
      <c r="D2749" s="8" t="s">
        <v>30</v>
      </c>
      <c r="F2749" s="17">
        <v>41514</v>
      </c>
      <c r="G2749" s="8" t="s">
        <v>14620</v>
      </c>
      <c r="H2749" s="8" t="s">
        <v>98</v>
      </c>
      <c r="I2749" s="8" t="s">
        <v>45</v>
      </c>
      <c r="J2749" s="16" t="s">
        <v>14621</v>
      </c>
      <c r="K2749" s="2" t="s">
        <v>98</v>
      </c>
      <c r="L2749" s="8" t="s">
        <v>99</v>
      </c>
      <c r="M2749" s="8" t="s">
        <v>27</v>
      </c>
      <c r="N2749" s="2" t="s">
        <v>14622</v>
      </c>
      <c r="O2749" s="8" t="s">
        <v>1013</v>
      </c>
      <c r="P2749" s="8" t="s">
        <v>401</v>
      </c>
      <c r="Q2749" s="12" t="s">
        <v>14623</v>
      </c>
      <c r="R2749" s="8" t="s">
        <v>100</v>
      </c>
      <c r="S2749" s="7" t="s">
        <v>28</v>
      </c>
      <c r="T2749" s="6"/>
      <c r="U2749" s="8"/>
    </row>
    <row r="2750" spans="1:34" ht="13" customHeight="1">
      <c r="A2750" s="8" t="s">
        <v>14624</v>
      </c>
      <c r="B2750" s="16">
        <v>24</v>
      </c>
      <c r="C2750" s="8" t="s">
        <v>20</v>
      </c>
      <c r="D2750" s="8" t="s">
        <v>85</v>
      </c>
      <c r="E2750" s="8" t="s">
        <v>14625</v>
      </c>
      <c r="F2750" s="17">
        <v>41513</v>
      </c>
      <c r="G2750" s="8" t="s">
        <v>14626</v>
      </c>
      <c r="H2750" s="8" t="s">
        <v>881</v>
      </c>
      <c r="I2750" s="8" t="s">
        <v>45</v>
      </c>
      <c r="J2750" s="16" t="s">
        <v>14627</v>
      </c>
      <c r="K2750" s="2" t="s">
        <v>4529</v>
      </c>
      <c r="L2750" s="8" t="s">
        <v>14628</v>
      </c>
      <c r="M2750" s="8" t="s">
        <v>27</v>
      </c>
      <c r="N2750" s="2" t="s">
        <v>14629</v>
      </c>
      <c r="O2750" s="8" t="s">
        <v>29</v>
      </c>
      <c r="P2750" s="8" t="s">
        <v>401</v>
      </c>
      <c r="Q2750" s="12" t="s">
        <v>14630</v>
      </c>
      <c r="R2750" s="8" t="s">
        <v>100</v>
      </c>
      <c r="S2750" s="7" t="s">
        <v>28</v>
      </c>
      <c r="T2750" s="6"/>
      <c r="U2750" s="8"/>
      <c r="Y2750" s="8"/>
      <c r="Z2750" s="8"/>
      <c r="AA2750" s="8"/>
      <c r="AB2750" s="8"/>
      <c r="AC2750" s="8"/>
      <c r="AD2750" s="8"/>
      <c r="AE2750" s="8"/>
      <c r="AF2750" s="8"/>
      <c r="AG2750" s="8"/>
      <c r="AH2750" s="8"/>
    </row>
    <row r="2751" spans="1:34" ht="13" customHeight="1">
      <c r="A2751" s="8" t="s">
        <v>3267</v>
      </c>
      <c r="B2751" s="16">
        <v>17</v>
      </c>
      <c r="C2751" s="8" t="s">
        <v>20</v>
      </c>
      <c r="D2751" s="8" t="s">
        <v>30</v>
      </c>
      <c r="F2751" s="17">
        <v>41512</v>
      </c>
      <c r="G2751" s="8" t="s">
        <v>14631</v>
      </c>
      <c r="H2751" s="8" t="s">
        <v>14632</v>
      </c>
      <c r="I2751" s="8" t="s">
        <v>57</v>
      </c>
      <c r="J2751" s="16" t="s">
        <v>14633</v>
      </c>
      <c r="K2751" s="2" t="s">
        <v>603</v>
      </c>
      <c r="L2751" s="8" t="s">
        <v>2182</v>
      </c>
      <c r="M2751" s="8" t="s">
        <v>27</v>
      </c>
      <c r="N2751" s="2" t="s">
        <v>14634</v>
      </c>
      <c r="O2751" s="8" t="s">
        <v>1013</v>
      </c>
      <c r="P2751" s="8" t="s">
        <v>401</v>
      </c>
      <c r="Q2751" s="12" t="s">
        <v>14635</v>
      </c>
      <c r="R2751" s="8" t="s">
        <v>100</v>
      </c>
      <c r="S2751" s="7" t="s">
        <v>28</v>
      </c>
      <c r="T2751" s="6"/>
      <c r="U2751" s="8"/>
    </row>
    <row r="2752" spans="1:34" ht="13" customHeight="1">
      <c r="A2752" s="8" t="s">
        <v>14636</v>
      </c>
      <c r="B2752" s="16">
        <v>28</v>
      </c>
      <c r="C2752" s="8" t="s">
        <v>20</v>
      </c>
      <c r="D2752" s="8" t="s">
        <v>30</v>
      </c>
      <c r="F2752" s="17">
        <v>41512</v>
      </c>
      <c r="G2752" s="8" t="s">
        <v>14637</v>
      </c>
      <c r="H2752" s="8" t="s">
        <v>14638</v>
      </c>
      <c r="I2752" s="8" t="s">
        <v>4399</v>
      </c>
      <c r="J2752" s="16" t="s">
        <v>14639</v>
      </c>
      <c r="K2752" s="2" t="s">
        <v>4401</v>
      </c>
      <c r="L2752" s="8" t="s">
        <v>14640</v>
      </c>
      <c r="M2752" s="8" t="s">
        <v>379</v>
      </c>
      <c r="N2752" s="2" t="s">
        <v>14641</v>
      </c>
      <c r="O2752" s="8" t="s">
        <v>1013</v>
      </c>
      <c r="P2752" s="8" t="s">
        <v>401</v>
      </c>
      <c r="Q2752" s="12" t="s">
        <v>14642</v>
      </c>
      <c r="R2752" s="8" t="s">
        <v>100</v>
      </c>
      <c r="S2752" s="7" t="s">
        <v>379</v>
      </c>
      <c r="T2752" s="6"/>
      <c r="U2752" s="8"/>
    </row>
    <row r="2753" spans="1:21" ht="13" customHeight="1">
      <c r="A2753" s="8" t="s">
        <v>14643</v>
      </c>
      <c r="B2753" s="16">
        <v>58</v>
      </c>
      <c r="C2753" s="8" t="s">
        <v>20</v>
      </c>
      <c r="D2753" s="8" t="s">
        <v>30</v>
      </c>
      <c r="F2753" s="17">
        <v>41511</v>
      </c>
      <c r="G2753" s="8" t="s">
        <v>14644</v>
      </c>
      <c r="H2753" s="8" t="s">
        <v>14645</v>
      </c>
      <c r="I2753" s="8" t="s">
        <v>173</v>
      </c>
      <c r="J2753" s="16" t="s">
        <v>14646</v>
      </c>
      <c r="K2753" s="2" t="s">
        <v>51</v>
      </c>
      <c r="L2753" s="8" t="s">
        <v>14647</v>
      </c>
      <c r="M2753" s="8" t="s">
        <v>27</v>
      </c>
      <c r="N2753" s="2" t="s">
        <v>14648</v>
      </c>
      <c r="O2753" s="8" t="s">
        <v>4714</v>
      </c>
      <c r="P2753" s="8" t="s">
        <v>401</v>
      </c>
      <c r="Q2753" s="12" t="s">
        <v>14649</v>
      </c>
      <c r="R2753" s="8" t="s">
        <v>100</v>
      </c>
      <c r="S2753" s="7" t="s">
        <v>28</v>
      </c>
      <c r="T2753" s="6"/>
      <c r="U2753" s="8"/>
    </row>
    <row r="2754" spans="1:21" ht="13" customHeight="1">
      <c r="A2754" s="8" t="s">
        <v>14650</v>
      </c>
      <c r="B2754" s="16" t="s">
        <v>13480</v>
      </c>
      <c r="C2754" s="8" t="s">
        <v>20</v>
      </c>
      <c r="D2754" s="8" t="s">
        <v>37</v>
      </c>
      <c r="E2754" s="8" t="s">
        <v>14651</v>
      </c>
      <c r="F2754" s="17">
        <v>41511</v>
      </c>
      <c r="G2754" s="8" t="s">
        <v>14652</v>
      </c>
      <c r="H2754" s="8" t="s">
        <v>14653</v>
      </c>
      <c r="I2754" s="8" t="s">
        <v>793</v>
      </c>
      <c r="J2754" s="16" t="s">
        <v>14654</v>
      </c>
      <c r="K2754" s="2" t="s">
        <v>9423</v>
      </c>
      <c r="L2754" s="8" t="s">
        <v>14655</v>
      </c>
      <c r="M2754" s="8" t="s">
        <v>27</v>
      </c>
      <c r="N2754" s="2" t="s">
        <v>14656</v>
      </c>
      <c r="O2754" s="8" t="s">
        <v>29</v>
      </c>
      <c r="P2754" s="8" t="s">
        <v>401</v>
      </c>
      <c r="Q2754" s="12" t="s">
        <v>14657</v>
      </c>
      <c r="R2754" s="8" t="s">
        <v>100</v>
      </c>
      <c r="S2754" s="7" t="s">
        <v>28</v>
      </c>
      <c r="T2754" s="6"/>
      <c r="U2754" s="8"/>
    </row>
    <row r="2755" spans="1:21" ht="13" customHeight="1">
      <c r="A2755" s="8" t="s">
        <v>14658</v>
      </c>
      <c r="B2755" s="16">
        <v>44</v>
      </c>
      <c r="C2755" s="8" t="s">
        <v>20</v>
      </c>
      <c r="D2755" s="8" t="s">
        <v>30</v>
      </c>
      <c r="F2755" s="17">
        <v>41510</v>
      </c>
      <c r="G2755" s="8" t="s">
        <v>14659</v>
      </c>
      <c r="H2755" s="8" t="s">
        <v>14660</v>
      </c>
      <c r="I2755" s="8" t="s">
        <v>45</v>
      </c>
      <c r="J2755" s="16" t="s">
        <v>14661</v>
      </c>
      <c r="K2755" s="2" t="s">
        <v>156</v>
      </c>
      <c r="L2755" s="8" t="s">
        <v>2120</v>
      </c>
      <c r="M2755" s="8" t="s">
        <v>27</v>
      </c>
      <c r="N2755" s="2" t="s">
        <v>14662</v>
      </c>
      <c r="O2755" s="8" t="s">
        <v>1013</v>
      </c>
      <c r="P2755" s="8" t="s">
        <v>401</v>
      </c>
      <c r="Q2755" s="12" t="s">
        <v>14663</v>
      </c>
      <c r="R2755" s="8" t="s">
        <v>967</v>
      </c>
      <c r="S2755" s="7" t="s">
        <v>28</v>
      </c>
      <c r="T2755" s="6"/>
      <c r="U2755" s="8"/>
    </row>
    <row r="2756" spans="1:21" ht="13" customHeight="1">
      <c r="A2756" s="8" t="s">
        <v>14664</v>
      </c>
      <c r="B2756" s="16">
        <v>29</v>
      </c>
      <c r="C2756" s="8" t="s">
        <v>20</v>
      </c>
      <c r="D2756" s="8" t="s">
        <v>37</v>
      </c>
      <c r="E2756" s="8" t="s">
        <v>14665</v>
      </c>
      <c r="F2756" s="17">
        <v>41510</v>
      </c>
      <c r="G2756" s="8" t="s">
        <v>14666</v>
      </c>
      <c r="H2756" s="8" t="s">
        <v>14667</v>
      </c>
      <c r="I2756" s="8" t="s">
        <v>45</v>
      </c>
      <c r="J2756" s="16" t="s">
        <v>14668</v>
      </c>
      <c r="K2756" s="2" t="s">
        <v>3250</v>
      </c>
      <c r="L2756" s="8" t="s">
        <v>14669</v>
      </c>
      <c r="M2756" s="8" t="s">
        <v>27</v>
      </c>
      <c r="N2756" s="2" t="s">
        <v>14670</v>
      </c>
      <c r="O2756" s="8" t="s">
        <v>1013</v>
      </c>
      <c r="P2756" s="8" t="s">
        <v>401</v>
      </c>
      <c r="Q2756" s="12" t="s">
        <v>14671</v>
      </c>
      <c r="R2756" s="8" t="s">
        <v>555</v>
      </c>
      <c r="S2756" s="7" t="s">
        <v>28</v>
      </c>
      <c r="T2756" s="6"/>
      <c r="U2756" s="8"/>
    </row>
    <row r="2757" spans="1:21" ht="13" customHeight="1">
      <c r="A2757" s="8" t="s">
        <v>14672</v>
      </c>
      <c r="B2757" s="16">
        <v>24</v>
      </c>
      <c r="C2757" s="8" t="s">
        <v>20</v>
      </c>
      <c r="D2757" s="8" t="s">
        <v>85</v>
      </c>
      <c r="E2757" s="8" t="s">
        <v>14673</v>
      </c>
      <c r="F2757" s="17">
        <v>41509</v>
      </c>
      <c r="G2757" s="8" t="s">
        <v>14674</v>
      </c>
      <c r="H2757" s="8" t="s">
        <v>4856</v>
      </c>
      <c r="I2757" s="8" t="s">
        <v>133</v>
      </c>
      <c r="J2757" s="16" t="s">
        <v>4857</v>
      </c>
      <c r="K2757" s="2" t="s">
        <v>1075</v>
      </c>
      <c r="L2757" s="8" t="s">
        <v>14675</v>
      </c>
      <c r="M2757" s="8" t="s">
        <v>27</v>
      </c>
      <c r="N2757" s="2" t="s">
        <v>14676</v>
      </c>
      <c r="O2757" s="8" t="s">
        <v>550</v>
      </c>
      <c r="P2757" s="8" t="s">
        <v>401</v>
      </c>
      <c r="Q2757" s="12" t="s">
        <v>14677</v>
      </c>
      <c r="R2757" s="8" t="s">
        <v>100</v>
      </c>
      <c r="S2757" s="7" t="s">
        <v>28</v>
      </c>
      <c r="T2757" s="6"/>
      <c r="U2757" s="8"/>
    </row>
    <row r="2758" spans="1:21" ht="13" customHeight="1">
      <c r="A2758" s="8" t="s">
        <v>14685</v>
      </c>
      <c r="B2758" s="16">
        <v>27</v>
      </c>
      <c r="C2758" s="8" t="s">
        <v>20</v>
      </c>
      <c r="D2758" s="8" t="s">
        <v>30</v>
      </c>
      <c r="F2758" s="17">
        <v>41509</v>
      </c>
      <c r="G2758" s="8" t="s">
        <v>14686</v>
      </c>
      <c r="H2758" s="8" t="s">
        <v>634</v>
      </c>
      <c r="I2758" s="8" t="s">
        <v>123</v>
      </c>
      <c r="J2758" s="16" t="s">
        <v>14687</v>
      </c>
      <c r="K2758" s="2" t="s">
        <v>635</v>
      </c>
      <c r="L2758" s="8" t="s">
        <v>1433</v>
      </c>
      <c r="M2758" s="8" t="s">
        <v>27</v>
      </c>
      <c r="N2758" s="2" t="s">
        <v>14688</v>
      </c>
      <c r="O2758" s="8" t="s">
        <v>1013</v>
      </c>
      <c r="P2758" s="8" t="s">
        <v>401</v>
      </c>
      <c r="Q2758" s="12" t="s">
        <v>14689</v>
      </c>
      <c r="R2758" s="8" t="s">
        <v>100</v>
      </c>
      <c r="S2758" s="7" t="s">
        <v>28</v>
      </c>
      <c r="T2758" s="6"/>
      <c r="U2758" s="8"/>
    </row>
    <row r="2759" spans="1:21" ht="13" customHeight="1">
      <c r="A2759" s="8" t="s">
        <v>14678</v>
      </c>
      <c r="B2759" s="16">
        <v>37</v>
      </c>
      <c r="C2759" s="8" t="s">
        <v>20</v>
      </c>
      <c r="D2759" s="8" t="s">
        <v>30</v>
      </c>
      <c r="F2759" s="17">
        <v>41509</v>
      </c>
      <c r="G2759" s="8" t="s">
        <v>14679</v>
      </c>
      <c r="H2759" s="8" t="s">
        <v>14680</v>
      </c>
      <c r="I2759" s="8" t="s">
        <v>46</v>
      </c>
      <c r="J2759" s="16" t="s">
        <v>14681</v>
      </c>
      <c r="K2759" s="2" t="s">
        <v>528</v>
      </c>
      <c r="L2759" s="8" t="s">
        <v>14682</v>
      </c>
      <c r="M2759" s="8" t="s">
        <v>27</v>
      </c>
      <c r="N2759" s="2" t="s">
        <v>14683</v>
      </c>
      <c r="O2759" s="8" t="s">
        <v>1013</v>
      </c>
      <c r="P2759" s="8" t="s">
        <v>401</v>
      </c>
      <c r="Q2759" s="12" t="s">
        <v>14684</v>
      </c>
      <c r="R2759" s="8" t="s">
        <v>100</v>
      </c>
      <c r="S2759" s="7" t="s">
        <v>28</v>
      </c>
      <c r="T2759" s="6"/>
      <c r="U2759" s="8"/>
    </row>
    <row r="2760" spans="1:21" ht="13" customHeight="1">
      <c r="A2760" s="8" t="s">
        <v>14698</v>
      </c>
      <c r="B2760" s="16">
        <v>29</v>
      </c>
      <c r="C2760" s="8" t="s">
        <v>20</v>
      </c>
      <c r="D2760" s="8" t="s">
        <v>37</v>
      </c>
      <c r="E2760" s="8" t="s">
        <v>14699</v>
      </c>
      <c r="F2760" s="17">
        <v>41509</v>
      </c>
      <c r="G2760" s="8" t="s">
        <v>14700</v>
      </c>
      <c r="H2760" s="8" t="s">
        <v>634</v>
      </c>
      <c r="I2760" s="8" t="s">
        <v>123</v>
      </c>
      <c r="J2760" s="16" t="s">
        <v>14701</v>
      </c>
      <c r="K2760" s="2" t="s">
        <v>635</v>
      </c>
      <c r="L2760" s="8" t="s">
        <v>1433</v>
      </c>
      <c r="M2760" s="8" t="s">
        <v>27</v>
      </c>
      <c r="N2760" s="2" t="s">
        <v>14702</v>
      </c>
      <c r="O2760" s="8" t="s">
        <v>1013</v>
      </c>
      <c r="P2760" s="8" t="s">
        <v>401</v>
      </c>
      <c r="Q2760" s="12" t="s">
        <v>14689</v>
      </c>
      <c r="R2760" s="8" t="s">
        <v>100</v>
      </c>
      <c r="S2760" s="7" t="s">
        <v>28</v>
      </c>
      <c r="T2760" s="6"/>
      <c r="U2760" s="8"/>
    </row>
    <row r="2761" spans="1:21" ht="13" customHeight="1">
      <c r="A2761" s="8" t="s">
        <v>14690</v>
      </c>
      <c r="B2761" s="16">
        <v>30</v>
      </c>
      <c r="C2761" s="8" t="s">
        <v>20</v>
      </c>
      <c r="D2761" s="8" t="s">
        <v>37</v>
      </c>
      <c r="E2761" s="8" t="s">
        <v>14691</v>
      </c>
      <c r="F2761" s="17">
        <v>41509</v>
      </c>
      <c r="G2761" s="8" t="s">
        <v>14692</v>
      </c>
      <c r="H2761" s="8" t="s">
        <v>14693</v>
      </c>
      <c r="I2761" s="8" t="s">
        <v>209</v>
      </c>
      <c r="J2761" s="16" t="s">
        <v>14694</v>
      </c>
      <c r="K2761" s="2" t="s">
        <v>5453</v>
      </c>
      <c r="L2761" s="8" t="s">
        <v>14695</v>
      </c>
      <c r="M2761" s="8" t="s">
        <v>391</v>
      </c>
      <c r="N2761" s="2" t="s">
        <v>14696</v>
      </c>
      <c r="O2761" s="8" t="s">
        <v>1013</v>
      </c>
      <c r="P2761" s="8" t="s">
        <v>401</v>
      </c>
      <c r="Q2761" s="12" t="s">
        <v>14697</v>
      </c>
      <c r="R2761" s="8" t="s">
        <v>100</v>
      </c>
      <c r="S2761" s="7" t="s">
        <v>18</v>
      </c>
      <c r="T2761" s="6"/>
      <c r="U2761" s="8"/>
    </row>
    <row r="2762" spans="1:21" ht="13" customHeight="1">
      <c r="A2762" s="8" t="s">
        <v>14703</v>
      </c>
      <c r="B2762" s="16">
        <v>24</v>
      </c>
      <c r="C2762" s="8" t="s">
        <v>20</v>
      </c>
      <c r="D2762" s="8" t="s">
        <v>48</v>
      </c>
      <c r="E2762" s="8" t="s">
        <v>14704</v>
      </c>
      <c r="F2762" s="17">
        <v>41508</v>
      </c>
      <c r="G2762" s="8" t="s">
        <v>14705</v>
      </c>
      <c r="H2762" s="8" t="s">
        <v>14706</v>
      </c>
      <c r="I2762" s="8" t="s">
        <v>45</v>
      </c>
      <c r="J2762" s="16" t="s">
        <v>14707</v>
      </c>
      <c r="K2762" s="2" t="s">
        <v>786</v>
      </c>
      <c r="L2762" s="8" t="s">
        <v>14708</v>
      </c>
      <c r="M2762" s="8" t="s">
        <v>27</v>
      </c>
      <c r="N2762" s="2" t="s">
        <v>14709</v>
      </c>
      <c r="O2762" s="8" t="s">
        <v>550</v>
      </c>
      <c r="P2762" s="8" t="s">
        <v>401</v>
      </c>
      <c r="Q2762" s="12" t="s">
        <v>14710</v>
      </c>
      <c r="R2762" s="8" t="s">
        <v>100</v>
      </c>
      <c r="S2762" s="7" t="s">
        <v>28</v>
      </c>
      <c r="T2762" s="6"/>
      <c r="U2762" s="8"/>
    </row>
    <row r="2763" spans="1:21" ht="13" customHeight="1">
      <c r="A2763" s="8" t="s">
        <v>14711</v>
      </c>
      <c r="B2763" s="16">
        <v>33</v>
      </c>
      <c r="C2763" s="8" t="s">
        <v>20</v>
      </c>
      <c r="D2763" s="8" t="s">
        <v>37</v>
      </c>
      <c r="E2763" s="8" t="s">
        <v>14712</v>
      </c>
      <c r="F2763" s="17">
        <v>41508</v>
      </c>
      <c r="G2763" s="8" t="s">
        <v>14713</v>
      </c>
      <c r="H2763" s="8" t="s">
        <v>5529</v>
      </c>
      <c r="I2763" s="8" t="s">
        <v>45</v>
      </c>
      <c r="J2763" s="16" t="s">
        <v>6155</v>
      </c>
      <c r="K2763" s="2" t="s">
        <v>786</v>
      </c>
      <c r="L2763" s="8" t="s">
        <v>787</v>
      </c>
      <c r="M2763" s="8" t="s">
        <v>3169</v>
      </c>
      <c r="N2763" s="2" t="s">
        <v>14714</v>
      </c>
      <c r="O2763" s="8" t="s">
        <v>4714</v>
      </c>
      <c r="P2763" s="8" t="s">
        <v>401</v>
      </c>
      <c r="Q2763" s="59" t="str">
        <f>HYPERLINK("http://www.pe.com/articles/palmer-674426-deputies-phillips.html","http://www.pe.com/articles/palmer-674426-deputies-phillips.html")</f>
        <v>http://www.pe.com/articles/palmer-674426-deputies-phillips.html</v>
      </c>
      <c r="R2763" s="8" t="s">
        <v>555</v>
      </c>
      <c r="S2763" s="7" t="s">
        <v>18</v>
      </c>
      <c r="T2763" s="6"/>
      <c r="U2763" s="8"/>
    </row>
    <row r="2764" spans="1:21" ht="13" customHeight="1">
      <c r="A2764" s="8" t="s">
        <v>14715</v>
      </c>
      <c r="B2764" s="16">
        <v>40</v>
      </c>
      <c r="C2764" s="8" t="s">
        <v>20</v>
      </c>
      <c r="D2764" s="8" t="s">
        <v>37</v>
      </c>
      <c r="E2764" s="8" t="s">
        <v>14716</v>
      </c>
      <c r="F2764" s="17">
        <v>41508</v>
      </c>
      <c r="G2764" s="8" t="s">
        <v>14717</v>
      </c>
      <c r="H2764" s="8" t="s">
        <v>841</v>
      </c>
      <c r="I2764" s="8" t="s">
        <v>303</v>
      </c>
      <c r="J2764" s="16" t="s">
        <v>2356</v>
      </c>
      <c r="K2764" s="2" t="s">
        <v>841</v>
      </c>
      <c r="L2764" s="8" t="s">
        <v>842</v>
      </c>
      <c r="M2764" s="8" t="s">
        <v>27</v>
      </c>
      <c r="N2764" s="2" t="s">
        <v>14718</v>
      </c>
      <c r="O2764" s="8" t="s">
        <v>550</v>
      </c>
      <c r="P2764" s="8" t="s">
        <v>401</v>
      </c>
      <c r="Q2764" s="12" t="s">
        <v>14719</v>
      </c>
      <c r="R2764" s="8" t="s">
        <v>555</v>
      </c>
      <c r="S2764" s="7" t="s">
        <v>379</v>
      </c>
      <c r="T2764" s="6"/>
      <c r="U2764" s="8"/>
    </row>
    <row r="2765" spans="1:21" ht="13" customHeight="1">
      <c r="A2765" s="8" t="s">
        <v>14720</v>
      </c>
      <c r="B2765" s="16">
        <v>40</v>
      </c>
      <c r="C2765" s="8" t="s">
        <v>20</v>
      </c>
      <c r="D2765" s="8" t="s">
        <v>37</v>
      </c>
      <c r="E2765" s="8" t="s">
        <v>14721</v>
      </c>
      <c r="F2765" s="17">
        <v>41508</v>
      </c>
      <c r="G2765" s="8" t="s">
        <v>14722</v>
      </c>
      <c r="H2765" s="8" t="s">
        <v>841</v>
      </c>
      <c r="I2765" s="8" t="s">
        <v>303</v>
      </c>
      <c r="J2765" s="16" t="s">
        <v>2356</v>
      </c>
      <c r="K2765" s="2" t="s">
        <v>841</v>
      </c>
      <c r="L2765" s="8" t="s">
        <v>842</v>
      </c>
      <c r="M2765" s="8" t="s">
        <v>27</v>
      </c>
      <c r="N2765" s="2" t="s">
        <v>14723</v>
      </c>
      <c r="O2765" s="8" t="s">
        <v>1013</v>
      </c>
      <c r="P2765" s="8" t="s">
        <v>401</v>
      </c>
      <c r="Q2765" s="59" t="str">
        <f>HYPERLINK("http://www.khq.com/story/23228789/officer-involved-shooting-in-n-spokane","http://www.khq.com/story/23228789/officer-involved-shooting-in-n-spokane")</f>
        <v>http://www.khq.com/story/23228789/officer-involved-shooting-in-n-spokane</v>
      </c>
      <c r="R2765" s="8" t="s">
        <v>29</v>
      </c>
      <c r="S2765" s="7" t="s">
        <v>379</v>
      </c>
      <c r="T2765" s="6"/>
      <c r="U2765" s="8"/>
    </row>
    <row r="2766" spans="1:21" ht="13" customHeight="1">
      <c r="A2766" s="8" t="s">
        <v>14724</v>
      </c>
      <c r="B2766" s="16">
        <v>68</v>
      </c>
      <c r="C2766" s="8" t="s">
        <v>20</v>
      </c>
      <c r="D2766" s="8" t="s">
        <v>37</v>
      </c>
      <c r="E2766" s="8" t="s">
        <v>14725</v>
      </c>
      <c r="F2766" s="17">
        <v>41507</v>
      </c>
      <c r="G2766" s="8" t="s">
        <v>14726</v>
      </c>
      <c r="H2766" s="8" t="s">
        <v>893</v>
      </c>
      <c r="I2766" s="8" t="s">
        <v>319</v>
      </c>
      <c r="J2766" s="16" t="s">
        <v>14727</v>
      </c>
      <c r="K2766" s="2" t="s">
        <v>6329</v>
      </c>
      <c r="L2766" s="8" t="s">
        <v>14728</v>
      </c>
      <c r="M2766" s="8" t="s">
        <v>27</v>
      </c>
      <c r="N2766" s="2" t="s">
        <v>14729</v>
      </c>
      <c r="O2766" s="8" t="s">
        <v>550</v>
      </c>
      <c r="P2766" s="8" t="s">
        <v>401</v>
      </c>
      <c r="Q2766" s="12" t="s">
        <v>14730</v>
      </c>
      <c r="R2766" s="8" t="s">
        <v>100</v>
      </c>
      <c r="S2766" s="7" t="s">
        <v>28</v>
      </c>
      <c r="T2766" s="6"/>
      <c r="U2766" s="8"/>
    </row>
    <row r="2767" spans="1:21" ht="13" customHeight="1">
      <c r="A2767" s="8" t="s">
        <v>14731</v>
      </c>
      <c r="B2767" s="16">
        <v>37</v>
      </c>
      <c r="C2767" s="8" t="s">
        <v>20</v>
      </c>
      <c r="D2767" s="8" t="s">
        <v>37</v>
      </c>
      <c r="E2767" s="8" t="s">
        <v>14732</v>
      </c>
      <c r="F2767" s="17">
        <v>41507</v>
      </c>
      <c r="G2767" s="8" t="s">
        <v>14733</v>
      </c>
      <c r="H2767" s="8" t="s">
        <v>634</v>
      </c>
      <c r="I2767" s="8" t="s">
        <v>123</v>
      </c>
      <c r="J2767" s="16" t="s">
        <v>7488</v>
      </c>
      <c r="K2767" s="2" t="s">
        <v>635</v>
      </c>
      <c r="L2767" s="8" t="s">
        <v>636</v>
      </c>
      <c r="M2767" s="8" t="s">
        <v>27</v>
      </c>
      <c r="N2767" s="2" t="s">
        <v>14734</v>
      </c>
      <c r="O2767" s="8" t="s">
        <v>1013</v>
      </c>
      <c r="P2767" s="8" t="s">
        <v>401</v>
      </c>
      <c r="Q2767" s="12" t="s">
        <v>14735</v>
      </c>
      <c r="R2767" s="8" t="s">
        <v>100</v>
      </c>
      <c r="S2767" s="7" t="s">
        <v>379</v>
      </c>
      <c r="T2767" s="6"/>
      <c r="U2767" s="8"/>
    </row>
    <row r="2768" spans="1:21" ht="13" customHeight="1">
      <c r="A2768" s="8" t="s">
        <v>14740</v>
      </c>
      <c r="B2768" s="16">
        <v>52</v>
      </c>
      <c r="C2768" s="8" t="s">
        <v>20</v>
      </c>
      <c r="D2768" s="8" t="s">
        <v>85</v>
      </c>
      <c r="F2768" s="17">
        <v>41506</v>
      </c>
      <c r="G2768" s="8" t="s">
        <v>14741</v>
      </c>
      <c r="H2768" s="8" t="s">
        <v>665</v>
      </c>
      <c r="I2768" s="8" t="s">
        <v>69</v>
      </c>
      <c r="J2768" s="16" t="s">
        <v>12383</v>
      </c>
      <c r="K2768" s="2" t="s">
        <v>213</v>
      </c>
      <c r="L2768" s="8" t="s">
        <v>667</v>
      </c>
      <c r="M2768" s="8" t="s">
        <v>27</v>
      </c>
      <c r="N2768" s="2" t="s">
        <v>14742</v>
      </c>
      <c r="O2768" s="8" t="s">
        <v>1013</v>
      </c>
      <c r="P2768" s="8" t="s">
        <v>401</v>
      </c>
      <c r="Q2768" s="12" t="s">
        <v>14743</v>
      </c>
      <c r="R2768" s="8" t="s">
        <v>100</v>
      </c>
      <c r="S2768" s="7" t="s">
        <v>28</v>
      </c>
      <c r="T2768" s="6"/>
      <c r="U2768" s="8"/>
    </row>
    <row r="2769" spans="1:21" ht="13" customHeight="1">
      <c r="A2769" s="8" t="s">
        <v>3267</v>
      </c>
      <c r="B2769" s="16">
        <v>70</v>
      </c>
      <c r="C2769" s="8" t="s">
        <v>20</v>
      </c>
      <c r="D2769" s="8" t="s">
        <v>85</v>
      </c>
      <c r="F2769" s="17">
        <v>41506</v>
      </c>
      <c r="G2769" s="8" t="s">
        <v>14736</v>
      </c>
      <c r="H2769" s="8" t="s">
        <v>98</v>
      </c>
      <c r="I2769" s="8" t="s">
        <v>45</v>
      </c>
      <c r="J2769" s="16" t="s">
        <v>14737</v>
      </c>
      <c r="K2769" s="2" t="s">
        <v>98</v>
      </c>
      <c r="L2769" s="8" t="s">
        <v>99</v>
      </c>
      <c r="M2769" s="8" t="s">
        <v>27</v>
      </c>
      <c r="N2769" s="2" t="s">
        <v>14738</v>
      </c>
      <c r="O2769" s="8" t="s">
        <v>1013</v>
      </c>
      <c r="P2769" s="8" t="s">
        <v>401</v>
      </c>
      <c r="Q2769" s="12" t="s">
        <v>14739</v>
      </c>
      <c r="R2769" s="8" t="s">
        <v>100</v>
      </c>
      <c r="S2769" s="7" t="s">
        <v>28</v>
      </c>
      <c r="T2769" s="6"/>
      <c r="U2769" s="8"/>
    </row>
    <row r="2770" spans="1:21" ht="13" customHeight="1">
      <c r="A2770" s="8" t="s">
        <v>14748</v>
      </c>
      <c r="B2770" s="16">
        <v>19</v>
      </c>
      <c r="C2770" s="8" t="s">
        <v>20</v>
      </c>
      <c r="D2770" s="8" t="s">
        <v>30</v>
      </c>
      <c r="F2770" s="17">
        <v>41506</v>
      </c>
      <c r="G2770" s="8" t="s">
        <v>14749</v>
      </c>
      <c r="H2770" s="8" t="s">
        <v>1103</v>
      </c>
      <c r="I2770" s="8" t="s">
        <v>404</v>
      </c>
      <c r="J2770" s="16" t="s">
        <v>14745</v>
      </c>
      <c r="K2770" s="2" t="s">
        <v>1103</v>
      </c>
      <c r="L2770" s="8" t="s">
        <v>1104</v>
      </c>
      <c r="M2770" s="8" t="s">
        <v>27</v>
      </c>
      <c r="N2770" s="2" t="s">
        <v>14750</v>
      </c>
      <c r="O2770" s="8" t="s">
        <v>1013</v>
      </c>
      <c r="P2770" s="8" t="s">
        <v>401</v>
      </c>
      <c r="Q2770" s="12" t="s">
        <v>14751</v>
      </c>
      <c r="R2770" s="8" t="s">
        <v>100</v>
      </c>
      <c r="S2770" s="7" t="s">
        <v>28</v>
      </c>
      <c r="T2770" s="6"/>
      <c r="U2770" s="8"/>
    </row>
    <row r="2771" spans="1:21" ht="13" customHeight="1">
      <c r="A2771" s="8" t="s">
        <v>3267</v>
      </c>
      <c r="B2771" s="16">
        <v>19</v>
      </c>
      <c r="C2771" s="8" t="s">
        <v>20</v>
      </c>
      <c r="D2771" s="8" t="s">
        <v>30</v>
      </c>
      <c r="F2771" s="17">
        <v>41506</v>
      </c>
      <c r="G2771" s="8" t="s">
        <v>14744</v>
      </c>
      <c r="H2771" s="8" t="s">
        <v>1103</v>
      </c>
      <c r="I2771" s="8" t="s">
        <v>404</v>
      </c>
      <c r="J2771" s="16" t="s">
        <v>14745</v>
      </c>
      <c r="K2771" s="2" t="s">
        <v>1103</v>
      </c>
      <c r="L2771" s="8" t="s">
        <v>1104</v>
      </c>
      <c r="M2771" s="8" t="s">
        <v>27</v>
      </c>
      <c r="N2771" s="2" t="s">
        <v>14746</v>
      </c>
      <c r="O2771" s="8" t="s">
        <v>550</v>
      </c>
      <c r="P2771" s="8" t="s">
        <v>401</v>
      </c>
      <c r="Q2771" s="12" t="s">
        <v>14747</v>
      </c>
      <c r="R2771" s="8" t="s">
        <v>100</v>
      </c>
      <c r="S2771" s="7" t="s">
        <v>28</v>
      </c>
      <c r="T2771" s="6"/>
      <c r="U2771" s="8"/>
    </row>
    <row r="2772" spans="1:21" ht="13" customHeight="1">
      <c r="A2772" s="8" t="s">
        <v>14772</v>
      </c>
      <c r="B2772" s="16">
        <v>25</v>
      </c>
      <c r="C2772" s="8" t="s">
        <v>20</v>
      </c>
      <c r="D2772" s="8" t="s">
        <v>37</v>
      </c>
      <c r="E2772" s="8" t="s">
        <v>14773</v>
      </c>
      <c r="F2772" s="17">
        <v>41506</v>
      </c>
      <c r="G2772" s="8" t="s">
        <v>14774</v>
      </c>
      <c r="H2772" s="8" t="s">
        <v>14775</v>
      </c>
      <c r="I2772" s="8" t="s">
        <v>25</v>
      </c>
      <c r="J2772" s="16" t="s">
        <v>14776</v>
      </c>
      <c r="K2772" s="2" t="s">
        <v>6397</v>
      </c>
      <c r="L2772" s="8" t="s">
        <v>14777</v>
      </c>
      <c r="M2772" s="8" t="s">
        <v>3169</v>
      </c>
      <c r="N2772" s="2" t="s">
        <v>14778</v>
      </c>
      <c r="O2772" s="8" t="s">
        <v>1790</v>
      </c>
      <c r="P2772" s="8" t="s">
        <v>1162</v>
      </c>
      <c r="Q2772" s="12" t="s">
        <v>14779</v>
      </c>
      <c r="R2772" s="8" t="s">
        <v>100</v>
      </c>
      <c r="S2772" s="7" t="s">
        <v>18</v>
      </c>
      <c r="T2772" s="6"/>
      <c r="U2772" s="8"/>
    </row>
    <row r="2773" spans="1:21" ht="13" customHeight="1">
      <c r="A2773" s="8" t="s">
        <v>14752</v>
      </c>
      <c r="B2773" s="16">
        <v>40</v>
      </c>
      <c r="C2773" s="8" t="s">
        <v>20</v>
      </c>
      <c r="D2773" s="8" t="s">
        <v>37</v>
      </c>
      <c r="E2773" s="8" t="s">
        <v>14753</v>
      </c>
      <c r="F2773" s="17">
        <v>41506</v>
      </c>
      <c r="G2773" s="8" t="s">
        <v>14754</v>
      </c>
      <c r="H2773" s="8" t="s">
        <v>14755</v>
      </c>
      <c r="I2773" s="8" t="s">
        <v>423</v>
      </c>
      <c r="J2773" s="16" t="s">
        <v>14756</v>
      </c>
      <c r="K2773" s="2" t="s">
        <v>2473</v>
      </c>
      <c r="L2773" s="8" t="s">
        <v>14757</v>
      </c>
      <c r="M2773" s="8" t="s">
        <v>27</v>
      </c>
      <c r="N2773" s="2" t="s">
        <v>14758</v>
      </c>
      <c r="O2773" s="8" t="s">
        <v>550</v>
      </c>
      <c r="P2773" s="8" t="s">
        <v>401</v>
      </c>
      <c r="Q2773" s="12" t="s">
        <v>14759</v>
      </c>
      <c r="R2773" s="8" t="s">
        <v>100</v>
      </c>
      <c r="S2773" s="7" t="s">
        <v>28</v>
      </c>
      <c r="T2773" s="6"/>
      <c r="U2773" s="8"/>
    </row>
    <row r="2774" spans="1:21" ht="13" customHeight="1">
      <c r="A2774" s="8" t="s">
        <v>14760</v>
      </c>
      <c r="B2774" s="16">
        <v>63</v>
      </c>
      <c r="C2774" s="8" t="s">
        <v>20</v>
      </c>
      <c r="D2774" s="8" t="s">
        <v>37</v>
      </c>
      <c r="F2774" s="17">
        <v>41506</v>
      </c>
      <c r="G2774" s="8" t="s">
        <v>14761</v>
      </c>
      <c r="H2774" s="8" t="s">
        <v>1280</v>
      </c>
      <c r="I2774" s="8" t="s">
        <v>269</v>
      </c>
      <c r="J2774" s="16" t="s">
        <v>14762</v>
      </c>
      <c r="K2774" s="2" t="s">
        <v>570</v>
      </c>
      <c r="L2774" s="8" t="s">
        <v>1486</v>
      </c>
      <c r="M2774" s="8" t="s">
        <v>27</v>
      </c>
      <c r="N2774" s="2" t="s">
        <v>14763</v>
      </c>
      <c r="O2774" s="8" t="s">
        <v>550</v>
      </c>
      <c r="P2774" s="8" t="s">
        <v>401</v>
      </c>
      <c r="Q2774" s="12" t="s">
        <v>14764</v>
      </c>
      <c r="R2774" s="8" t="s">
        <v>100</v>
      </c>
      <c r="S2774" s="7" t="s">
        <v>28</v>
      </c>
      <c r="T2774" s="6"/>
      <c r="U2774" s="8"/>
    </row>
    <row r="2775" spans="1:21" ht="13" customHeight="1">
      <c r="A2775" s="8" t="s">
        <v>14765</v>
      </c>
      <c r="B2775" s="16">
        <v>52</v>
      </c>
      <c r="C2775" s="8" t="s">
        <v>20</v>
      </c>
      <c r="D2775" s="8" t="s">
        <v>37</v>
      </c>
      <c r="E2775" s="8" t="s">
        <v>14766</v>
      </c>
      <c r="F2775" s="17">
        <v>41506</v>
      </c>
      <c r="G2775" s="8" t="s">
        <v>14767</v>
      </c>
      <c r="H2775" s="8" t="s">
        <v>6039</v>
      </c>
      <c r="I2775" s="8" t="s">
        <v>117</v>
      </c>
      <c r="J2775" s="16" t="s">
        <v>14768</v>
      </c>
      <c r="K2775" s="2" t="s">
        <v>6041</v>
      </c>
      <c r="L2775" s="8" t="s">
        <v>14769</v>
      </c>
      <c r="M2775" s="8" t="s">
        <v>27</v>
      </c>
      <c r="N2775" s="2" t="s">
        <v>14770</v>
      </c>
      <c r="O2775" s="8" t="s">
        <v>550</v>
      </c>
      <c r="P2775" s="8" t="s">
        <v>401</v>
      </c>
      <c r="Q2775" s="12" t="s">
        <v>14771</v>
      </c>
      <c r="R2775" s="8" t="s">
        <v>100</v>
      </c>
      <c r="S2775" s="7" t="s">
        <v>18</v>
      </c>
      <c r="T2775" s="6"/>
      <c r="U2775" s="8"/>
    </row>
    <row r="2776" spans="1:21" ht="13" customHeight="1">
      <c r="A2776" s="8" t="s">
        <v>14780</v>
      </c>
      <c r="B2776" s="16">
        <v>22</v>
      </c>
      <c r="C2776" s="8" t="s">
        <v>20</v>
      </c>
      <c r="D2776" s="8" t="s">
        <v>85</v>
      </c>
      <c r="E2776" s="8" t="s">
        <v>14781</v>
      </c>
      <c r="F2776" s="17">
        <v>41505</v>
      </c>
      <c r="G2776" s="8" t="s">
        <v>14782</v>
      </c>
      <c r="H2776" s="8" t="s">
        <v>2221</v>
      </c>
      <c r="I2776" s="8" t="s">
        <v>32</v>
      </c>
      <c r="J2776" s="16" t="s">
        <v>3091</v>
      </c>
      <c r="K2776" s="2" t="s">
        <v>2221</v>
      </c>
      <c r="L2776" s="8" t="s">
        <v>14783</v>
      </c>
      <c r="M2776" s="8" t="s">
        <v>27</v>
      </c>
      <c r="N2776" s="2" t="s">
        <v>14784</v>
      </c>
      <c r="O2776" s="8" t="s">
        <v>1013</v>
      </c>
      <c r="P2776" s="8" t="s">
        <v>401</v>
      </c>
      <c r="Q2776" s="12" t="s">
        <v>14785</v>
      </c>
      <c r="R2776" s="8" t="s">
        <v>100</v>
      </c>
      <c r="S2776" s="7" t="s">
        <v>28</v>
      </c>
      <c r="T2776" s="6"/>
      <c r="U2776" s="8"/>
    </row>
    <row r="2777" spans="1:21" ht="13" customHeight="1">
      <c r="A2777" s="8" t="s">
        <v>14786</v>
      </c>
      <c r="B2777" s="16">
        <v>39</v>
      </c>
      <c r="C2777" s="8" t="s">
        <v>20</v>
      </c>
      <c r="D2777" s="8" t="s">
        <v>85</v>
      </c>
      <c r="E2777" s="8" t="s">
        <v>14787</v>
      </c>
      <c r="F2777" s="17">
        <v>41505</v>
      </c>
      <c r="G2777" s="8" t="s">
        <v>14788</v>
      </c>
      <c r="H2777" s="8" t="s">
        <v>681</v>
      </c>
      <c r="I2777" s="8" t="s">
        <v>45</v>
      </c>
      <c r="J2777" s="16" t="s">
        <v>6104</v>
      </c>
      <c r="K2777" s="2" t="s">
        <v>682</v>
      </c>
      <c r="L2777" s="8" t="s">
        <v>750</v>
      </c>
      <c r="M2777" s="8" t="s">
        <v>27</v>
      </c>
      <c r="N2777" s="2" t="s">
        <v>14789</v>
      </c>
      <c r="O2777" s="8" t="s">
        <v>4714</v>
      </c>
      <c r="P2777" s="8" t="s">
        <v>401</v>
      </c>
      <c r="Q2777" s="12" t="s">
        <v>21492</v>
      </c>
      <c r="R2777" s="8" t="s">
        <v>967</v>
      </c>
      <c r="S2777" s="7" t="s">
        <v>18</v>
      </c>
      <c r="T2777" s="6"/>
      <c r="U2777" s="8"/>
    </row>
    <row r="2778" spans="1:21" ht="13" customHeight="1">
      <c r="A2778" s="8" t="s">
        <v>14790</v>
      </c>
      <c r="B2778" s="16">
        <v>30</v>
      </c>
      <c r="C2778" s="8" t="s">
        <v>20</v>
      </c>
      <c r="D2778" s="8" t="s">
        <v>48</v>
      </c>
      <c r="F2778" s="17">
        <v>41505</v>
      </c>
      <c r="G2778" s="8" t="s">
        <v>14791</v>
      </c>
      <c r="H2778" s="8" t="s">
        <v>7343</v>
      </c>
      <c r="I2778" s="8" t="s">
        <v>73</v>
      </c>
      <c r="J2778" s="16" t="s">
        <v>14792</v>
      </c>
      <c r="K2778" s="2" t="s">
        <v>7345</v>
      </c>
      <c r="L2778" s="8" t="s">
        <v>7346</v>
      </c>
      <c r="M2778" s="8" t="s">
        <v>27</v>
      </c>
      <c r="N2778" s="2" t="s">
        <v>21493</v>
      </c>
      <c r="O2778" s="8" t="s">
        <v>550</v>
      </c>
      <c r="P2778" s="8" t="s">
        <v>401</v>
      </c>
      <c r="Q2778" s="12" t="s">
        <v>14793</v>
      </c>
      <c r="R2778" s="8" t="s">
        <v>100</v>
      </c>
      <c r="S2778" s="7" t="s">
        <v>18</v>
      </c>
      <c r="T2778" s="6"/>
      <c r="U2778" s="8"/>
    </row>
    <row r="2779" spans="1:21" ht="13" customHeight="1">
      <c r="A2779" s="8" t="s">
        <v>14794</v>
      </c>
      <c r="B2779" s="16">
        <v>51</v>
      </c>
      <c r="C2779" s="8" t="s">
        <v>20</v>
      </c>
      <c r="D2779" s="8" t="s">
        <v>37</v>
      </c>
      <c r="E2779" s="8" t="s">
        <v>14795</v>
      </c>
      <c r="F2779" s="17">
        <v>41505</v>
      </c>
      <c r="G2779" s="8" t="s">
        <v>14796</v>
      </c>
      <c r="H2779" s="8" t="s">
        <v>14797</v>
      </c>
      <c r="I2779" s="8" t="s">
        <v>319</v>
      </c>
      <c r="J2779" s="16" t="s">
        <v>14798</v>
      </c>
      <c r="K2779" s="2" t="s">
        <v>1781</v>
      </c>
      <c r="L2779" s="8" t="s">
        <v>14799</v>
      </c>
      <c r="M2779" s="8" t="s">
        <v>27</v>
      </c>
      <c r="N2779" s="2" t="s">
        <v>14800</v>
      </c>
      <c r="O2779" s="8" t="s">
        <v>1013</v>
      </c>
      <c r="P2779" s="8" t="s">
        <v>401</v>
      </c>
      <c r="Q2779" s="12" t="s">
        <v>14801</v>
      </c>
      <c r="R2779" s="8" t="s">
        <v>100</v>
      </c>
      <c r="S2779" s="7" t="s">
        <v>28</v>
      </c>
      <c r="T2779" s="6"/>
      <c r="U2779" s="8"/>
    </row>
    <row r="2780" spans="1:21" ht="13" customHeight="1">
      <c r="A2780" s="8" t="s">
        <v>14802</v>
      </c>
      <c r="B2780" s="16">
        <v>31</v>
      </c>
      <c r="C2780" s="8" t="s">
        <v>20</v>
      </c>
      <c r="D2780" s="8" t="s">
        <v>48</v>
      </c>
      <c r="E2780" s="8" t="s">
        <v>14803</v>
      </c>
      <c r="F2780" s="17">
        <v>41504</v>
      </c>
      <c r="G2780" s="8" t="s">
        <v>14804</v>
      </c>
      <c r="H2780" s="8" t="s">
        <v>14805</v>
      </c>
      <c r="I2780" s="8" t="s">
        <v>45</v>
      </c>
      <c r="J2780" s="16" t="s">
        <v>14806</v>
      </c>
      <c r="K2780" s="2" t="s">
        <v>98</v>
      </c>
      <c r="L2780" s="8" t="s">
        <v>14807</v>
      </c>
      <c r="M2780" s="8" t="s">
        <v>27</v>
      </c>
      <c r="N2780" s="2" t="s">
        <v>14808</v>
      </c>
      <c r="O2780" s="8" t="s">
        <v>1013</v>
      </c>
      <c r="P2780" s="8" t="s">
        <v>401</v>
      </c>
      <c r="Q2780" s="12" t="s">
        <v>14809</v>
      </c>
      <c r="R2780" s="8" t="s">
        <v>967</v>
      </c>
      <c r="S2780" s="7" t="s">
        <v>28</v>
      </c>
      <c r="T2780" s="6"/>
      <c r="U2780" s="8"/>
    </row>
    <row r="2781" spans="1:21" ht="13" customHeight="1">
      <c r="A2781" s="8" t="s">
        <v>14816</v>
      </c>
      <c r="B2781" s="16">
        <v>44</v>
      </c>
      <c r="C2781" s="8" t="s">
        <v>20</v>
      </c>
      <c r="D2781" s="8" t="s">
        <v>37</v>
      </c>
      <c r="E2781" s="8" t="s">
        <v>14817</v>
      </c>
      <c r="F2781" s="17">
        <v>41504</v>
      </c>
      <c r="G2781" s="8" t="s">
        <v>14818</v>
      </c>
      <c r="H2781" s="8" t="s">
        <v>7188</v>
      </c>
      <c r="I2781" s="8" t="s">
        <v>173</v>
      </c>
      <c r="J2781" s="16" t="s">
        <v>7189</v>
      </c>
      <c r="K2781" s="2" t="s">
        <v>1867</v>
      </c>
      <c r="L2781" s="8" t="s">
        <v>14819</v>
      </c>
      <c r="M2781" s="8" t="s">
        <v>27</v>
      </c>
      <c r="N2781" s="2" t="s">
        <v>14820</v>
      </c>
      <c r="O2781" s="8" t="s">
        <v>1013</v>
      </c>
      <c r="P2781" s="8" t="s">
        <v>401</v>
      </c>
      <c r="Q2781" s="12" t="s">
        <v>14821</v>
      </c>
      <c r="R2781" s="8" t="s">
        <v>29</v>
      </c>
      <c r="S2781" s="7" t="s">
        <v>28</v>
      </c>
      <c r="T2781" s="6"/>
      <c r="U2781" s="8"/>
    </row>
    <row r="2782" spans="1:21" ht="13" customHeight="1">
      <c r="A2782" s="8" t="s">
        <v>14810</v>
      </c>
      <c r="B2782" s="16">
        <v>59</v>
      </c>
      <c r="C2782" s="8" t="s">
        <v>20</v>
      </c>
      <c r="D2782" s="8" t="s">
        <v>37</v>
      </c>
      <c r="E2782" s="8" t="s">
        <v>14811</v>
      </c>
      <c r="F2782" s="17">
        <v>41504</v>
      </c>
      <c r="G2782" s="8" t="s">
        <v>14812</v>
      </c>
      <c r="H2782" s="8" t="s">
        <v>2165</v>
      </c>
      <c r="I2782" s="8" t="s">
        <v>438</v>
      </c>
      <c r="J2782" s="16">
        <v>53711</v>
      </c>
      <c r="K2782" s="2" t="s">
        <v>9821</v>
      </c>
      <c r="L2782" s="8" t="s">
        <v>14813</v>
      </c>
      <c r="M2782" s="8" t="s">
        <v>27</v>
      </c>
      <c r="N2782" s="2" t="s">
        <v>14814</v>
      </c>
      <c r="O2782" s="8" t="s">
        <v>550</v>
      </c>
      <c r="P2782" s="8" t="s">
        <v>401</v>
      </c>
      <c r="Q2782" s="12" t="s">
        <v>14815</v>
      </c>
      <c r="R2782" s="8" t="s">
        <v>100</v>
      </c>
      <c r="S2782" s="7" t="s">
        <v>28</v>
      </c>
      <c r="T2782" s="6"/>
      <c r="U2782" s="8"/>
    </row>
    <row r="2783" spans="1:21" ht="13" customHeight="1">
      <c r="A2783" s="8" t="s">
        <v>14822</v>
      </c>
      <c r="B2783" s="16">
        <v>58</v>
      </c>
      <c r="C2783" s="8" t="s">
        <v>20</v>
      </c>
      <c r="D2783" s="8" t="s">
        <v>37</v>
      </c>
      <c r="E2783" s="8" t="s">
        <v>14823</v>
      </c>
      <c r="F2783" s="17">
        <v>41504</v>
      </c>
      <c r="G2783" s="8" t="s">
        <v>14824</v>
      </c>
      <c r="H2783" s="8" t="s">
        <v>14825</v>
      </c>
      <c r="I2783" s="8" t="s">
        <v>319</v>
      </c>
      <c r="J2783" s="16" t="s">
        <v>14826</v>
      </c>
      <c r="K2783" s="2" t="s">
        <v>2923</v>
      </c>
      <c r="L2783" s="8" t="s">
        <v>14827</v>
      </c>
      <c r="M2783" s="8" t="s">
        <v>27</v>
      </c>
      <c r="N2783" s="2" t="s">
        <v>14828</v>
      </c>
      <c r="O2783" s="8" t="s">
        <v>550</v>
      </c>
      <c r="P2783" s="8" t="s">
        <v>401</v>
      </c>
      <c r="Q2783" s="12" t="s">
        <v>14829</v>
      </c>
      <c r="R2783" s="8" t="s">
        <v>967</v>
      </c>
      <c r="S2783" s="7" t="s">
        <v>379</v>
      </c>
      <c r="T2783" s="6"/>
      <c r="U2783" s="8"/>
    </row>
    <row r="2784" spans="1:21" ht="13" customHeight="1">
      <c r="A2784" s="8" t="s">
        <v>14830</v>
      </c>
      <c r="B2784" s="16">
        <v>78</v>
      </c>
      <c r="C2784" s="8" t="s">
        <v>20</v>
      </c>
      <c r="D2784" s="8" t="s">
        <v>37</v>
      </c>
      <c r="E2784" s="8" t="s">
        <v>14831</v>
      </c>
      <c r="F2784" s="17">
        <v>41503</v>
      </c>
      <c r="G2784" s="8" t="s">
        <v>14832</v>
      </c>
      <c r="H2784" s="8" t="s">
        <v>14833</v>
      </c>
      <c r="I2784" s="8" t="s">
        <v>4399</v>
      </c>
      <c r="J2784" s="16" t="s">
        <v>14834</v>
      </c>
      <c r="K2784" s="2" t="s">
        <v>7029</v>
      </c>
      <c r="L2784" s="8" t="s">
        <v>14835</v>
      </c>
      <c r="M2784" s="8" t="s">
        <v>27</v>
      </c>
      <c r="N2784" s="2" t="s">
        <v>14836</v>
      </c>
      <c r="O2784" s="8" t="s">
        <v>550</v>
      </c>
      <c r="P2784" s="8" t="s">
        <v>401</v>
      </c>
      <c r="Q2784" s="12" t="s">
        <v>14837</v>
      </c>
      <c r="R2784" s="8" t="s">
        <v>100</v>
      </c>
      <c r="S2784" s="7" t="s">
        <v>28</v>
      </c>
      <c r="T2784" s="6"/>
      <c r="U2784" s="8"/>
    </row>
    <row r="2785" spans="1:21" ht="13" customHeight="1">
      <c r="A2785" s="8" t="s">
        <v>14838</v>
      </c>
      <c r="B2785" s="16">
        <v>19</v>
      </c>
      <c r="C2785" s="8" t="s">
        <v>20</v>
      </c>
      <c r="D2785" s="8" t="s">
        <v>37</v>
      </c>
      <c r="E2785" s="8" t="s">
        <v>14839</v>
      </c>
      <c r="F2785" s="17">
        <v>41503</v>
      </c>
      <c r="G2785" s="8" t="s">
        <v>14840</v>
      </c>
      <c r="H2785" s="8" t="s">
        <v>9772</v>
      </c>
      <c r="I2785" s="8" t="s">
        <v>52</v>
      </c>
      <c r="J2785" s="16" t="s">
        <v>14841</v>
      </c>
      <c r="K2785" s="2" t="s">
        <v>9774</v>
      </c>
      <c r="L2785" s="8" t="s">
        <v>14842</v>
      </c>
      <c r="M2785" s="8" t="s">
        <v>27</v>
      </c>
      <c r="N2785" s="2" t="s">
        <v>14843</v>
      </c>
      <c r="O2785" s="8" t="s">
        <v>1013</v>
      </c>
      <c r="P2785" s="8" t="s">
        <v>401</v>
      </c>
      <c r="Q2785" s="12" t="s">
        <v>14844</v>
      </c>
      <c r="R2785" s="8" t="s">
        <v>555</v>
      </c>
      <c r="S2785" s="7" t="s">
        <v>18</v>
      </c>
      <c r="T2785" s="6"/>
      <c r="U2785" s="8"/>
    </row>
    <row r="2786" spans="1:21" ht="13" customHeight="1">
      <c r="A2786" s="8" t="s">
        <v>14845</v>
      </c>
      <c r="B2786" s="16">
        <v>74</v>
      </c>
      <c r="C2786" s="8" t="s">
        <v>20</v>
      </c>
      <c r="D2786" s="8" t="s">
        <v>85</v>
      </c>
      <c r="F2786" s="17">
        <v>41502</v>
      </c>
      <c r="G2786" s="8" t="s">
        <v>14846</v>
      </c>
      <c r="H2786" s="8" t="s">
        <v>14847</v>
      </c>
      <c r="I2786" s="8" t="s">
        <v>45</v>
      </c>
      <c r="J2786" s="16" t="s">
        <v>14737</v>
      </c>
      <c r="K2786" s="2" t="s">
        <v>98</v>
      </c>
      <c r="L2786" s="8" t="s">
        <v>14218</v>
      </c>
      <c r="M2786" s="8" t="s">
        <v>27</v>
      </c>
      <c r="N2786" s="2" t="s">
        <v>14848</v>
      </c>
      <c r="O2786" s="8" t="s">
        <v>1013</v>
      </c>
      <c r="P2786" s="8" t="s">
        <v>401</v>
      </c>
      <c r="Q2786" s="12" t="s">
        <v>14849</v>
      </c>
      <c r="R2786" s="8" t="s">
        <v>29</v>
      </c>
      <c r="S2786" s="7" t="s">
        <v>35</v>
      </c>
      <c r="T2786" s="6"/>
      <c r="U2786" s="8"/>
    </row>
    <row r="2787" spans="1:21" ht="13" customHeight="1">
      <c r="A2787" s="8" t="s">
        <v>14850</v>
      </c>
      <c r="B2787" s="16">
        <v>21</v>
      </c>
      <c r="C2787" s="8" t="s">
        <v>20</v>
      </c>
      <c r="D2787" s="8" t="s">
        <v>945</v>
      </c>
      <c r="E2787" s="8" t="s">
        <v>14851</v>
      </c>
      <c r="F2787" s="17">
        <v>41502</v>
      </c>
      <c r="G2787" s="8" t="s">
        <v>14852</v>
      </c>
      <c r="H2787" s="8" t="s">
        <v>14853</v>
      </c>
      <c r="I2787" s="8" t="s">
        <v>873</v>
      </c>
      <c r="J2787" s="16" t="s">
        <v>14854</v>
      </c>
      <c r="K2787" s="2" t="s">
        <v>5170</v>
      </c>
      <c r="L2787" s="8" t="s">
        <v>5171</v>
      </c>
      <c r="M2787" s="8" t="s">
        <v>27</v>
      </c>
      <c r="N2787" s="2" t="s">
        <v>14855</v>
      </c>
      <c r="O2787" s="8" t="s">
        <v>550</v>
      </c>
      <c r="P2787" s="8" t="s">
        <v>401</v>
      </c>
      <c r="Q2787" s="12" t="s">
        <v>14856</v>
      </c>
      <c r="R2787" s="8" t="s">
        <v>100</v>
      </c>
      <c r="S2787" s="7" t="s">
        <v>28</v>
      </c>
      <c r="T2787" s="6"/>
      <c r="U2787" s="8"/>
    </row>
    <row r="2788" spans="1:21" ht="13" customHeight="1">
      <c r="A2788" s="8" t="s">
        <v>14864</v>
      </c>
      <c r="B2788" s="16">
        <v>42</v>
      </c>
      <c r="C2788" s="8" t="s">
        <v>20</v>
      </c>
      <c r="D2788" s="8" t="s">
        <v>37</v>
      </c>
      <c r="F2788" s="17">
        <v>41502</v>
      </c>
      <c r="G2788" s="8" t="s">
        <v>14865</v>
      </c>
      <c r="H2788" s="8" t="s">
        <v>14866</v>
      </c>
      <c r="I2788" s="8" t="s">
        <v>45</v>
      </c>
      <c r="J2788" s="16" t="s">
        <v>14867</v>
      </c>
      <c r="K2788" s="2" t="s">
        <v>98</v>
      </c>
      <c r="L2788" s="8" t="s">
        <v>14868</v>
      </c>
      <c r="M2788" s="8" t="s">
        <v>27</v>
      </c>
      <c r="N2788" s="2" t="s">
        <v>14869</v>
      </c>
      <c r="O2788" s="8" t="s">
        <v>1013</v>
      </c>
      <c r="P2788" s="8" t="s">
        <v>401</v>
      </c>
      <c r="Q2788" s="12" t="s">
        <v>14870</v>
      </c>
      <c r="R2788" s="8" t="s">
        <v>29</v>
      </c>
      <c r="S2788" s="7" t="s">
        <v>28</v>
      </c>
      <c r="T2788" s="6"/>
      <c r="U2788" s="8"/>
    </row>
    <row r="2789" spans="1:21" ht="13" customHeight="1">
      <c r="A2789" s="8" t="s">
        <v>14857</v>
      </c>
      <c r="B2789" s="16">
        <v>43</v>
      </c>
      <c r="C2789" s="8" t="s">
        <v>20</v>
      </c>
      <c r="D2789" s="8" t="s">
        <v>37</v>
      </c>
      <c r="E2789" s="8" t="s">
        <v>14858</v>
      </c>
      <c r="F2789" s="17">
        <v>41502</v>
      </c>
      <c r="G2789" s="8" t="s">
        <v>14859</v>
      </c>
      <c r="H2789" s="8" t="s">
        <v>3742</v>
      </c>
      <c r="I2789" s="8" t="s">
        <v>123</v>
      </c>
      <c r="J2789" s="16" t="s">
        <v>14860</v>
      </c>
      <c r="K2789" s="2" t="s">
        <v>5873</v>
      </c>
      <c r="L2789" s="8" t="s">
        <v>14861</v>
      </c>
      <c r="M2789" s="8" t="s">
        <v>27</v>
      </c>
      <c r="N2789" s="2" t="s">
        <v>14862</v>
      </c>
      <c r="O2789" s="8" t="s">
        <v>550</v>
      </c>
      <c r="P2789" s="8" t="s">
        <v>401</v>
      </c>
      <c r="Q2789" s="12" t="s">
        <v>14863</v>
      </c>
      <c r="R2789" s="8" t="s">
        <v>100</v>
      </c>
      <c r="S2789" s="7" t="s">
        <v>18</v>
      </c>
      <c r="T2789" s="6"/>
      <c r="U2789" s="8"/>
    </row>
    <row r="2790" spans="1:21" ht="13" customHeight="1">
      <c r="A2790" s="8" t="s">
        <v>14871</v>
      </c>
      <c r="B2790" s="16">
        <v>101</v>
      </c>
      <c r="C2790" s="8" t="s">
        <v>114</v>
      </c>
      <c r="D2790" s="8" t="s">
        <v>37</v>
      </c>
      <c r="E2790" s="8" t="s">
        <v>14872</v>
      </c>
      <c r="F2790" s="17">
        <v>41502</v>
      </c>
      <c r="G2790" s="8" t="s">
        <v>14873</v>
      </c>
      <c r="H2790" s="8" t="s">
        <v>221</v>
      </c>
      <c r="I2790" s="8" t="s">
        <v>133</v>
      </c>
      <c r="J2790" s="16" t="s">
        <v>14874</v>
      </c>
      <c r="K2790" s="2" t="s">
        <v>3615</v>
      </c>
      <c r="L2790" s="8" t="s">
        <v>4947</v>
      </c>
      <c r="M2790" s="8" t="s">
        <v>379</v>
      </c>
      <c r="N2790" s="2" t="s">
        <v>14875</v>
      </c>
      <c r="O2790" s="8" t="s">
        <v>1013</v>
      </c>
      <c r="P2790" s="8" t="s">
        <v>401</v>
      </c>
      <c r="Q2790" s="12" t="s">
        <v>14876</v>
      </c>
      <c r="R2790" s="8" t="s">
        <v>100</v>
      </c>
      <c r="S2790" s="7" t="s">
        <v>18</v>
      </c>
      <c r="T2790" s="6"/>
      <c r="U2790" s="8"/>
    </row>
    <row r="2791" spans="1:21" ht="13" customHeight="1">
      <c r="A2791" s="8" t="s">
        <v>14881</v>
      </c>
      <c r="B2791" s="16">
        <v>23</v>
      </c>
      <c r="C2791" s="8" t="s">
        <v>20</v>
      </c>
      <c r="D2791" s="8" t="s">
        <v>85</v>
      </c>
      <c r="E2791" s="8" t="s">
        <v>14882</v>
      </c>
      <c r="F2791" s="17">
        <v>41501</v>
      </c>
      <c r="G2791" s="8" t="s">
        <v>14883</v>
      </c>
      <c r="H2791" s="8" t="s">
        <v>2106</v>
      </c>
      <c r="I2791" s="8" t="s">
        <v>81</v>
      </c>
      <c r="J2791" s="16" t="s">
        <v>14884</v>
      </c>
      <c r="K2791" s="2" t="s">
        <v>2914</v>
      </c>
      <c r="L2791" s="8" t="s">
        <v>2108</v>
      </c>
      <c r="M2791" s="8" t="s">
        <v>27</v>
      </c>
      <c r="N2791" s="2" t="s">
        <v>14885</v>
      </c>
      <c r="O2791" s="8" t="s">
        <v>550</v>
      </c>
      <c r="P2791" s="8" t="s">
        <v>401</v>
      </c>
      <c r="Q2791" s="12" t="s">
        <v>14886</v>
      </c>
      <c r="R2791" s="8" t="s">
        <v>29</v>
      </c>
      <c r="S2791" s="7" t="s">
        <v>28</v>
      </c>
      <c r="T2791" s="6"/>
      <c r="U2791" s="8"/>
    </row>
    <row r="2792" spans="1:21" ht="13" customHeight="1">
      <c r="A2792" s="8" t="s">
        <v>14877</v>
      </c>
      <c r="B2792" s="16">
        <v>43</v>
      </c>
      <c r="C2792" s="8" t="s">
        <v>20</v>
      </c>
      <c r="D2792" s="8" t="s">
        <v>85</v>
      </c>
      <c r="F2792" s="17">
        <v>41501</v>
      </c>
      <c r="G2792" s="8" t="s">
        <v>14878</v>
      </c>
      <c r="H2792" s="8" t="s">
        <v>757</v>
      </c>
      <c r="I2792" s="8" t="s">
        <v>423</v>
      </c>
      <c r="J2792" s="16" t="s">
        <v>14879</v>
      </c>
      <c r="K2792" s="2" t="s">
        <v>1716</v>
      </c>
      <c r="L2792" s="8" t="s">
        <v>582</v>
      </c>
      <c r="M2792" s="8" t="s">
        <v>3386</v>
      </c>
      <c r="N2792" s="2" t="s">
        <v>21494</v>
      </c>
      <c r="O2792" s="8" t="s">
        <v>1013</v>
      </c>
      <c r="P2792" s="8" t="s">
        <v>401</v>
      </c>
      <c r="Q2792" s="12" t="s">
        <v>14880</v>
      </c>
      <c r="R2792" s="8" t="s">
        <v>100</v>
      </c>
      <c r="S2792" s="7" t="s">
        <v>18</v>
      </c>
      <c r="T2792" s="6"/>
      <c r="U2792" s="8"/>
    </row>
    <row r="2793" spans="1:21" ht="13" customHeight="1">
      <c r="A2793" s="8" t="s">
        <v>3267</v>
      </c>
      <c r="C2793" s="8" t="s">
        <v>20</v>
      </c>
      <c r="D2793" s="8" t="s">
        <v>30</v>
      </c>
      <c r="F2793" s="17">
        <v>41501</v>
      </c>
      <c r="G2793" s="8" t="s">
        <v>14887</v>
      </c>
      <c r="H2793" s="8" t="s">
        <v>893</v>
      </c>
      <c r="I2793" s="8" t="s">
        <v>315</v>
      </c>
      <c r="J2793" s="16" t="s">
        <v>14888</v>
      </c>
      <c r="K2793" s="2" t="s">
        <v>1781</v>
      </c>
      <c r="L2793" s="8" t="s">
        <v>894</v>
      </c>
      <c r="M2793" s="8" t="s">
        <v>27</v>
      </c>
      <c r="N2793" s="2" t="s">
        <v>14889</v>
      </c>
      <c r="O2793" s="8" t="s">
        <v>1013</v>
      </c>
      <c r="P2793" s="8" t="s">
        <v>401</v>
      </c>
      <c r="Q2793" s="12" t="s">
        <v>14890</v>
      </c>
      <c r="R2793" s="8" t="s">
        <v>29</v>
      </c>
      <c r="S2793" s="7" t="s">
        <v>28</v>
      </c>
      <c r="T2793" s="6"/>
      <c r="U2793" s="8"/>
    </row>
    <row r="2794" spans="1:21" ht="13" customHeight="1">
      <c r="A2794" s="8" t="s">
        <v>14898</v>
      </c>
      <c r="B2794" s="16">
        <v>43</v>
      </c>
      <c r="C2794" s="8" t="s">
        <v>20</v>
      </c>
      <c r="D2794" s="8" t="s">
        <v>37</v>
      </c>
      <c r="F2794" s="17">
        <v>41501</v>
      </c>
      <c r="G2794" s="8" t="s">
        <v>14899</v>
      </c>
      <c r="H2794" s="8" t="s">
        <v>14866</v>
      </c>
      <c r="I2794" s="8" t="s">
        <v>45</v>
      </c>
      <c r="J2794" s="16" t="s">
        <v>14867</v>
      </c>
      <c r="K2794" s="2" t="s">
        <v>98</v>
      </c>
      <c r="L2794" s="8" t="s">
        <v>14868</v>
      </c>
      <c r="M2794" s="8" t="s">
        <v>27</v>
      </c>
      <c r="N2794" s="2" t="s">
        <v>14900</v>
      </c>
      <c r="O2794" s="8" t="s">
        <v>1013</v>
      </c>
      <c r="P2794" s="8" t="s">
        <v>401</v>
      </c>
      <c r="Q2794" s="12" t="s">
        <v>14901</v>
      </c>
      <c r="R2794" s="8" t="s">
        <v>29</v>
      </c>
      <c r="S2794" s="7" t="s">
        <v>28</v>
      </c>
      <c r="T2794" s="6"/>
      <c r="U2794" s="8"/>
    </row>
    <row r="2795" spans="1:21" ht="13" customHeight="1">
      <c r="A2795" s="8" t="s">
        <v>14891</v>
      </c>
      <c r="B2795" s="16">
        <v>46</v>
      </c>
      <c r="C2795" s="8" t="s">
        <v>20</v>
      </c>
      <c r="D2795" s="8" t="s">
        <v>37</v>
      </c>
      <c r="F2795" s="17">
        <v>41501</v>
      </c>
      <c r="G2795" s="8" t="s">
        <v>14892</v>
      </c>
      <c r="H2795" s="8" t="s">
        <v>13517</v>
      </c>
      <c r="I2795" s="8" t="s">
        <v>315</v>
      </c>
      <c r="J2795" s="16" t="s">
        <v>14893</v>
      </c>
      <c r="K2795" s="2" t="s">
        <v>14894</v>
      </c>
      <c r="L2795" s="8" t="s">
        <v>14895</v>
      </c>
      <c r="M2795" s="8" t="s">
        <v>27</v>
      </c>
      <c r="N2795" s="2" t="s">
        <v>14896</v>
      </c>
      <c r="O2795" s="8" t="s">
        <v>29</v>
      </c>
      <c r="P2795" s="8" t="s">
        <v>401</v>
      </c>
      <c r="Q2795" s="12" t="s">
        <v>14897</v>
      </c>
      <c r="R2795" s="8" t="s">
        <v>100</v>
      </c>
      <c r="S2795" s="7" t="s">
        <v>28</v>
      </c>
      <c r="T2795" s="6"/>
      <c r="U2795" s="8"/>
    </row>
    <row r="2796" spans="1:21" ht="13" customHeight="1">
      <c r="A2796" s="8" t="s">
        <v>14902</v>
      </c>
      <c r="B2796" s="16">
        <v>33</v>
      </c>
      <c r="C2796" s="8" t="s">
        <v>20</v>
      </c>
      <c r="D2796" s="8" t="s">
        <v>85</v>
      </c>
      <c r="F2796" s="17">
        <v>41500</v>
      </c>
      <c r="G2796" s="8" t="s">
        <v>14903</v>
      </c>
      <c r="H2796" s="8" t="s">
        <v>757</v>
      </c>
      <c r="I2796" s="8" t="s">
        <v>423</v>
      </c>
      <c r="J2796" s="16" t="s">
        <v>2144</v>
      </c>
      <c r="K2796" s="2" t="s">
        <v>1716</v>
      </c>
      <c r="L2796" s="8" t="s">
        <v>582</v>
      </c>
      <c r="M2796" s="8" t="s">
        <v>379</v>
      </c>
      <c r="N2796" s="2" t="s">
        <v>14904</v>
      </c>
      <c r="O2796" s="8" t="s">
        <v>1013</v>
      </c>
      <c r="P2796" s="8" t="s">
        <v>401</v>
      </c>
      <c r="Q2796" s="12" t="s">
        <v>14905</v>
      </c>
      <c r="R2796" s="8" t="s">
        <v>100</v>
      </c>
      <c r="S2796" s="7" t="s">
        <v>379</v>
      </c>
      <c r="T2796" s="6"/>
      <c r="U2796" s="8"/>
    </row>
    <row r="2797" spans="1:21" ht="13" customHeight="1">
      <c r="A2797" s="8" t="s">
        <v>14928</v>
      </c>
      <c r="B2797" s="16">
        <v>20</v>
      </c>
      <c r="C2797" s="8" t="s">
        <v>20</v>
      </c>
      <c r="D2797" s="8" t="s">
        <v>37</v>
      </c>
      <c r="F2797" s="17">
        <v>41500</v>
      </c>
      <c r="G2797" s="8" t="s">
        <v>14929</v>
      </c>
      <c r="H2797" s="8" t="s">
        <v>14930</v>
      </c>
      <c r="I2797" s="8" t="s">
        <v>315</v>
      </c>
      <c r="J2797" s="16" t="s">
        <v>14931</v>
      </c>
      <c r="K2797" s="2" t="s">
        <v>8542</v>
      </c>
      <c r="L2797" s="8" t="s">
        <v>14932</v>
      </c>
      <c r="M2797" s="8" t="s">
        <v>27</v>
      </c>
      <c r="N2797" s="2" t="s">
        <v>14933</v>
      </c>
      <c r="O2797" s="8" t="s">
        <v>1013</v>
      </c>
      <c r="P2797" s="8" t="s">
        <v>401</v>
      </c>
      <c r="Q2797" s="12" t="s">
        <v>14934</v>
      </c>
      <c r="R2797" s="8" t="s">
        <v>100</v>
      </c>
      <c r="S2797" s="7" t="s">
        <v>28</v>
      </c>
      <c r="T2797" s="6"/>
      <c r="U2797" s="8"/>
    </row>
    <row r="2798" spans="1:21" ht="13" customHeight="1">
      <c r="A2798" s="8" t="s">
        <v>14922</v>
      </c>
      <c r="B2798" s="16">
        <v>37</v>
      </c>
      <c r="C2798" s="8" t="s">
        <v>20</v>
      </c>
      <c r="D2798" s="8" t="s">
        <v>37</v>
      </c>
      <c r="E2798" s="8" t="s">
        <v>14923</v>
      </c>
      <c r="F2798" s="17">
        <v>41500</v>
      </c>
      <c r="G2798" s="8" t="s">
        <v>14924</v>
      </c>
      <c r="H2798" s="8" t="s">
        <v>8765</v>
      </c>
      <c r="I2798" s="8" t="s">
        <v>45</v>
      </c>
      <c r="J2798" s="16" t="s">
        <v>14925</v>
      </c>
      <c r="K2798" s="2" t="s">
        <v>604</v>
      </c>
      <c r="L2798" s="8" t="s">
        <v>8767</v>
      </c>
      <c r="M2798" s="8" t="s">
        <v>27</v>
      </c>
      <c r="N2798" s="2" t="s">
        <v>14926</v>
      </c>
      <c r="O2798" s="8" t="s">
        <v>29</v>
      </c>
      <c r="P2798" s="8" t="s">
        <v>401</v>
      </c>
      <c r="Q2798" s="12" t="s">
        <v>14927</v>
      </c>
      <c r="R2798" s="8" t="s">
        <v>100</v>
      </c>
      <c r="S2798" s="7" t="s">
        <v>28</v>
      </c>
      <c r="T2798" s="6"/>
      <c r="U2798" s="8"/>
    </row>
    <row r="2799" spans="1:21" ht="13" customHeight="1">
      <c r="A2799" s="8" t="s">
        <v>14913</v>
      </c>
      <c r="B2799" s="16">
        <v>50</v>
      </c>
      <c r="C2799" s="8" t="s">
        <v>20</v>
      </c>
      <c r="D2799" s="8" t="s">
        <v>37</v>
      </c>
      <c r="E2799" s="8" t="s">
        <v>14914</v>
      </c>
      <c r="F2799" s="17">
        <v>41500</v>
      </c>
      <c r="G2799" s="8" t="s">
        <v>14915</v>
      </c>
      <c r="H2799" s="8" t="s">
        <v>14916</v>
      </c>
      <c r="I2799" s="8" t="s">
        <v>133</v>
      </c>
      <c r="J2799" s="16" t="s">
        <v>14917</v>
      </c>
      <c r="K2799" s="2" t="s">
        <v>14918</v>
      </c>
      <c r="L2799" s="8" t="s">
        <v>14919</v>
      </c>
      <c r="M2799" s="8" t="s">
        <v>27</v>
      </c>
      <c r="N2799" s="2" t="s">
        <v>14920</v>
      </c>
      <c r="O2799" s="8" t="s">
        <v>550</v>
      </c>
      <c r="P2799" s="8" t="s">
        <v>401</v>
      </c>
      <c r="Q2799" s="12" t="s">
        <v>14921</v>
      </c>
      <c r="R2799" s="8" t="s">
        <v>29</v>
      </c>
      <c r="S2799" s="7" t="s">
        <v>28</v>
      </c>
      <c r="T2799" s="6"/>
      <c r="U2799" s="8"/>
    </row>
    <row r="2800" spans="1:21" ht="13" customHeight="1">
      <c r="A2800" s="8" t="s">
        <v>14906</v>
      </c>
      <c r="B2800" s="16">
        <v>18</v>
      </c>
      <c r="C2800" s="8" t="s">
        <v>20</v>
      </c>
      <c r="D2800" s="8" t="s">
        <v>37</v>
      </c>
      <c r="E2800" s="8" t="s">
        <v>14907</v>
      </c>
      <c r="F2800" s="17">
        <v>41500</v>
      </c>
      <c r="G2800" s="8" t="s">
        <v>14908</v>
      </c>
      <c r="H2800" s="8" t="s">
        <v>5823</v>
      </c>
      <c r="I2800" s="8" t="s">
        <v>73</v>
      </c>
      <c r="J2800" s="16" t="s">
        <v>14909</v>
      </c>
      <c r="K2800" s="2" t="s">
        <v>285</v>
      </c>
      <c r="L2800" s="8" t="s">
        <v>14910</v>
      </c>
      <c r="M2800" s="8" t="s">
        <v>3386</v>
      </c>
      <c r="N2800" s="2" t="s">
        <v>14911</v>
      </c>
      <c r="O2800" s="8" t="s">
        <v>1013</v>
      </c>
      <c r="P2800" s="8" t="s">
        <v>401</v>
      </c>
      <c r="Q2800" s="12" t="s">
        <v>14912</v>
      </c>
      <c r="R2800" s="8" t="s">
        <v>967</v>
      </c>
      <c r="S2800" s="7" t="s">
        <v>18</v>
      </c>
      <c r="T2800" s="6"/>
      <c r="U2800" s="8"/>
    </row>
    <row r="2801" spans="1:39" ht="13" customHeight="1">
      <c r="A2801" s="8" t="s">
        <v>14935</v>
      </c>
      <c r="B2801" s="16">
        <v>20</v>
      </c>
      <c r="C2801" s="8" t="s">
        <v>20</v>
      </c>
      <c r="D2801" s="8" t="s">
        <v>21</v>
      </c>
      <c r="E2801" s="8" t="s">
        <v>14936</v>
      </c>
      <c r="F2801" s="17">
        <v>41499</v>
      </c>
      <c r="G2801" s="8" t="s">
        <v>14937</v>
      </c>
      <c r="H2801" s="8" t="s">
        <v>11206</v>
      </c>
      <c r="I2801" s="8" t="s">
        <v>25</v>
      </c>
      <c r="J2801" s="16" t="s">
        <v>14938</v>
      </c>
      <c r="K2801" s="2" t="s">
        <v>14939</v>
      </c>
      <c r="L2801" s="8" t="s">
        <v>14940</v>
      </c>
      <c r="M2801" s="8" t="s">
        <v>27</v>
      </c>
      <c r="N2801" s="2" t="s">
        <v>14941</v>
      </c>
      <c r="O2801" s="8" t="s">
        <v>550</v>
      </c>
      <c r="P2801" s="8" t="s">
        <v>401</v>
      </c>
      <c r="Q2801" s="12" t="s">
        <v>14942</v>
      </c>
      <c r="R2801" s="8" t="s">
        <v>555</v>
      </c>
      <c r="S2801" s="7" t="s">
        <v>28</v>
      </c>
      <c r="T2801" s="6"/>
      <c r="U2801" s="8"/>
      <c r="AI2801" s="8"/>
      <c r="AJ2801" s="8"/>
      <c r="AK2801" s="8"/>
      <c r="AL2801" s="8"/>
      <c r="AM2801" s="8"/>
    </row>
    <row r="2802" spans="1:39" ht="13" customHeight="1">
      <c r="A2802" s="8" t="s">
        <v>14943</v>
      </c>
      <c r="B2802" s="16">
        <v>23</v>
      </c>
      <c r="C2802" s="8" t="s">
        <v>20</v>
      </c>
      <c r="D2802" s="8" t="s">
        <v>85</v>
      </c>
      <c r="F2802" s="17">
        <v>41499</v>
      </c>
      <c r="G2802" s="8" t="s">
        <v>14944</v>
      </c>
      <c r="H2802" s="8" t="s">
        <v>1596</v>
      </c>
      <c r="I2802" s="8" t="s">
        <v>52</v>
      </c>
      <c r="J2802" s="16" t="s">
        <v>14945</v>
      </c>
      <c r="K2802" s="2" t="s">
        <v>1596</v>
      </c>
      <c r="L2802" s="8" t="s">
        <v>231</v>
      </c>
      <c r="M2802" s="8" t="s">
        <v>27</v>
      </c>
      <c r="N2802" s="2" t="s">
        <v>14946</v>
      </c>
      <c r="O2802" s="8" t="s">
        <v>29</v>
      </c>
      <c r="P2802" s="8" t="s">
        <v>401</v>
      </c>
      <c r="Q2802" s="12" t="s">
        <v>14947</v>
      </c>
      <c r="R2802" s="8" t="s">
        <v>100</v>
      </c>
      <c r="S2802" s="7" t="s">
        <v>379</v>
      </c>
      <c r="T2802" s="6"/>
      <c r="U2802" s="8"/>
    </row>
    <row r="2803" spans="1:39" ht="13" customHeight="1">
      <c r="A2803" s="8" t="s">
        <v>14948</v>
      </c>
      <c r="B2803" s="16">
        <v>35</v>
      </c>
      <c r="C2803" s="8" t="s">
        <v>20</v>
      </c>
      <c r="D2803" s="8" t="s">
        <v>48</v>
      </c>
      <c r="E2803" s="8" t="s">
        <v>14949</v>
      </c>
      <c r="F2803" s="17">
        <v>41499</v>
      </c>
      <c r="G2803" s="8" t="s">
        <v>14950</v>
      </c>
      <c r="H2803" s="8" t="s">
        <v>14951</v>
      </c>
      <c r="I2803" s="8" t="s">
        <v>506</v>
      </c>
      <c r="J2803" s="16" t="s">
        <v>14952</v>
      </c>
      <c r="K2803" s="2" t="s">
        <v>14953</v>
      </c>
      <c r="L2803" s="8" t="s">
        <v>14954</v>
      </c>
      <c r="M2803" s="8" t="s">
        <v>27</v>
      </c>
      <c r="N2803" s="2" t="s">
        <v>14955</v>
      </c>
      <c r="O2803" s="8" t="s">
        <v>550</v>
      </c>
      <c r="P2803" s="8" t="s">
        <v>401</v>
      </c>
      <c r="Q2803" s="12" t="s">
        <v>14956</v>
      </c>
      <c r="R2803" s="8" t="s">
        <v>100</v>
      </c>
      <c r="S2803" s="7" t="s">
        <v>18</v>
      </c>
      <c r="T2803" s="6"/>
      <c r="U2803" s="8"/>
    </row>
    <row r="2804" spans="1:39" ht="13" customHeight="1">
      <c r="A2804" s="8" t="s">
        <v>14957</v>
      </c>
      <c r="B2804" s="16">
        <v>63</v>
      </c>
      <c r="C2804" s="8" t="s">
        <v>20</v>
      </c>
      <c r="D2804" s="8" t="s">
        <v>30</v>
      </c>
      <c r="F2804" s="17">
        <v>41499</v>
      </c>
      <c r="G2804" s="8" t="s">
        <v>14958</v>
      </c>
      <c r="H2804" s="8" t="s">
        <v>1301</v>
      </c>
      <c r="I2804" s="8" t="s">
        <v>209</v>
      </c>
      <c r="J2804" s="16" t="s">
        <v>14959</v>
      </c>
      <c r="K2804" s="2" t="s">
        <v>1301</v>
      </c>
      <c r="L2804" s="8" t="s">
        <v>1302</v>
      </c>
      <c r="M2804" s="8" t="s">
        <v>27</v>
      </c>
      <c r="N2804" s="2" t="s">
        <v>14960</v>
      </c>
      <c r="O2804" s="8" t="s">
        <v>1013</v>
      </c>
      <c r="P2804" s="8" t="s">
        <v>401</v>
      </c>
      <c r="Q2804" s="12" t="s">
        <v>14961</v>
      </c>
      <c r="R2804" s="8" t="s">
        <v>100</v>
      </c>
      <c r="S2804" s="7" t="s">
        <v>28</v>
      </c>
      <c r="T2804" s="6"/>
      <c r="U2804" s="8"/>
    </row>
    <row r="2805" spans="1:39" ht="13" customHeight="1">
      <c r="A2805" s="8" t="s">
        <v>14962</v>
      </c>
      <c r="B2805" s="16">
        <v>33</v>
      </c>
      <c r="C2805" s="8" t="s">
        <v>20</v>
      </c>
      <c r="D2805" s="8" t="s">
        <v>30</v>
      </c>
      <c r="F2805" s="17">
        <v>41499</v>
      </c>
      <c r="G2805" s="8" t="s">
        <v>14963</v>
      </c>
      <c r="H2805" s="8" t="s">
        <v>14964</v>
      </c>
      <c r="I2805" s="8" t="s">
        <v>671</v>
      </c>
      <c r="J2805" s="16" t="s">
        <v>14965</v>
      </c>
      <c r="K2805" s="2" t="s">
        <v>14966</v>
      </c>
      <c r="L2805" s="8" t="s">
        <v>14967</v>
      </c>
      <c r="M2805" s="8" t="s">
        <v>391</v>
      </c>
      <c r="N2805" s="2" t="s">
        <v>14968</v>
      </c>
      <c r="O2805" s="8" t="s">
        <v>1013</v>
      </c>
      <c r="P2805" s="8" t="s">
        <v>401</v>
      </c>
      <c r="Q2805" s="12" t="str">
        <f>HYPERLINK("http://blog.gulflive.com/mississippi-press-news/2013/10/gloster_police_offer_reinstate.html","http://blog.gulflive.com/mississippi-press-news/2013/10/gloster_police_offer_reinstate.html")</f>
        <v>http://blog.gulflive.com/mississippi-press-news/2013/10/gloster_police_offer_reinstate.html</v>
      </c>
      <c r="R2805" s="8" t="s">
        <v>100</v>
      </c>
      <c r="S2805" s="7" t="s">
        <v>35</v>
      </c>
      <c r="T2805" s="6"/>
      <c r="U2805" s="8"/>
    </row>
    <row r="2806" spans="1:39" ht="13" customHeight="1">
      <c r="A2806" s="8" t="s">
        <v>14969</v>
      </c>
      <c r="B2806" s="16">
        <v>59</v>
      </c>
      <c r="C2806" s="8" t="s">
        <v>20</v>
      </c>
      <c r="D2806" s="8" t="s">
        <v>37</v>
      </c>
      <c r="E2806" s="8" t="s">
        <v>14970</v>
      </c>
      <c r="F2806" s="17">
        <v>41499</v>
      </c>
      <c r="G2806" s="8" t="s">
        <v>14971</v>
      </c>
      <c r="H2806" s="8" t="s">
        <v>547</v>
      </c>
      <c r="I2806" s="8" t="s">
        <v>69</v>
      </c>
      <c r="J2806" s="16" t="s">
        <v>14972</v>
      </c>
      <c r="K2806" s="2" t="s">
        <v>548</v>
      </c>
      <c r="L2806" s="8" t="s">
        <v>618</v>
      </c>
      <c r="M2806" s="8" t="s">
        <v>391</v>
      </c>
      <c r="N2806" s="2" t="s">
        <v>14973</v>
      </c>
      <c r="O2806" s="8" t="s">
        <v>1013</v>
      </c>
      <c r="P2806" s="8" t="s">
        <v>401</v>
      </c>
      <c r="Q2806" s="12" t="s">
        <v>14974</v>
      </c>
      <c r="R2806" s="8" t="s">
        <v>555</v>
      </c>
      <c r="S2806" s="7" t="s">
        <v>18</v>
      </c>
      <c r="T2806" s="6"/>
      <c r="U2806" s="8"/>
    </row>
    <row r="2807" spans="1:39" ht="13" customHeight="1">
      <c r="A2807" s="8" t="s">
        <v>14975</v>
      </c>
      <c r="B2807" s="16">
        <v>31</v>
      </c>
      <c r="C2807" s="8" t="s">
        <v>20</v>
      </c>
      <c r="D2807" s="8" t="s">
        <v>85</v>
      </c>
      <c r="E2807" s="8" t="s">
        <v>14976</v>
      </c>
      <c r="F2807" s="17">
        <v>41498</v>
      </c>
      <c r="G2807" s="8" t="s">
        <v>14977</v>
      </c>
      <c r="H2807" s="8" t="s">
        <v>1211</v>
      </c>
      <c r="I2807" s="8" t="s">
        <v>303</v>
      </c>
      <c r="J2807" s="16" t="s">
        <v>14978</v>
      </c>
      <c r="K2807" s="2" t="s">
        <v>1212</v>
      </c>
      <c r="L2807" s="8" t="s">
        <v>1213</v>
      </c>
      <c r="M2807" s="8" t="s">
        <v>27</v>
      </c>
      <c r="N2807" s="2" t="s">
        <v>14979</v>
      </c>
      <c r="O2807" s="8" t="s">
        <v>1013</v>
      </c>
      <c r="P2807" s="8" t="s">
        <v>401</v>
      </c>
      <c r="Q2807" s="12" t="s">
        <v>14980</v>
      </c>
      <c r="R2807" s="8" t="s">
        <v>29</v>
      </c>
      <c r="S2807" s="7" t="s">
        <v>28</v>
      </c>
      <c r="T2807" s="6"/>
      <c r="U2807" s="8"/>
    </row>
    <row r="2808" spans="1:39" ht="13" customHeight="1">
      <c r="A2808" s="8" t="s">
        <v>14981</v>
      </c>
      <c r="B2808" s="16">
        <v>44</v>
      </c>
      <c r="C2808" s="8" t="s">
        <v>114</v>
      </c>
      <c r="D2808" s="8" t="s">
        <v>30</v>
      </c>
      <c r="F2808" s="17">
        <v>41498</v>
      </c>
      <c r="G2808" s="8" t="s">
        <v>14982</v>
      </c>
      <c r="H2808" s="8" t="s">
        <v>6468</v>
      </c>
      <c r="I2808" s="8" t="s">
        <v>62</v>
      </c>
      <c r="J2808" s="16" t="s">
        <v>14983</v>
      </c>
      <c r="K2808" s="2" t="s">
        <v>1127</v>
      </c>
      <c r="L2808" s="8" t="s">
        <v>4412</v>
      </c>
      <c r="M2808" s="8" t="s">
        <v>27</v>
      </c>
      <c r="N2808" s="2" t="s">
        <v>14984</v>
      </c>
      <c r="O2808" s="8" t="s">
        <v>1013</v>
      </c>
      <c r="P2808" s="8" t="s">
        <v>401</v>
      </c>
      <c r="Q2808" s="12" t="s">
        <v>14985</v>
      </c>
      <c r="R2808" s="8" t="s">
        <v>29</v>
      </c>
      <c r="S2808" s="7" t="s">
        <v>28</v>
      </c>
      <c r="T2808" s="6"/>
      <c r="U2808" s="8"/>
    </row>
    <row r="2809" spans="1:39" ht="13" customHeight="1">
      <c r="A2809" s="8" t="s">
        <v>14986</v>
      </c>
      <c r="B2809" s="16">
        <v>46</v>
      </c>
      <c r="C2809" s="8" t="s">
        <v>20</v>
      </c>
      <c r="D2809" s="8" t="s">
        <v>37</v>
      </c>
      <c r="E2809" s="8" t="s">
        <v>14987</v>
      </c>
      <c r="F2809" s="17">
        <v>41498</v>
      </c>
      <c r="G2809" s="8" t="s">
        <v>14988</v>
      </c>
      <c r="H2809" s="8" t="s">
        <v>14989</v>
      </c>
      <c r="I2809" s="8" t="s">
        <v>404</v>
      </c>
      <c r="J2809" s="16" t="s">
        <v>14990</v>
      </c>
      <c r="K2809" s="2" t="s">
        <v>1496</v>
      </c>
      <c r="L2809" s="8" t="s">
        <v>14991</v>
      </c>
      <c r="M2809" s="8" t="s">
        <v>27</v>
      </c>
      <c r="N2809" s="2" t="s">
        <v>14992</v>
      </c>
      <c r="O2809" s="8" t="s">
        <v>550</v>
      </c>
      <c r="P2809" s="8" t="s">
        <v>401</v>
      </c>
      <c r="Q2809" s="12" t="s">
        <v>14993</v>
      </c>
      <c r="R2809" s="8" t="s">
        <v>29</v>
      </c>
      <c r="S2809" s="7" t="s">
        <v>18</v>
      </c>
      <c r="T2809" s="6"/>
      <c r="U2809" s="8"/>
    </row>
    <row r="2810" spans="1:39" ht="13" customHeight="1">
      <c r="A2810" s="8" t="s">
        <v>15001</v>
      </c>
      <c r="B2810" s="16">
        <v>23</v>
      </c>
      <c r="C2810" s="8" t="s">
        <v>20</v>
      </c>
      <c r="D2810" s="8" t="s">
        <v>85</v>
      </c>
      <c r="F2810" s="17">
        <v>41497</v>
      </c>
      <c r="G2810" s="8" t="s">
        <v>15002</v>
      </c>
      <c r="H2810" s="8" t="s">
        <v>4209</v>
      </c>
      <c r="I2810" s="8" t="s">
        <v>46</v>
      </c>
      <c r="J2810" s="16" t="s">
        <v>15003</v>
      </c>
      <c r="K2810" s="2" t="s">
        <v>8982</v>
      </c>
      <c r="L2810" s="8" t="s">
        <v>16633</v>
      </c>
      <c r="M2810" s="8" t="s">
        <v>27</v>
      </c>
      <c r="N2810" s="2" t="s">
        <v>15004</v>
      </c>
      <c r="O2810" s="8" t="s">
        <v>1013</v>
      </c>
      <c r="P2810" s="8" t="s">
        <v>401</v>
      </c>
      <c r="Q2810" s="12" t="s">
        <v>15005</v>
      </c>
      <c r="R2810" s="8" t="s">
        <v>100</v>
      </c>
      <c r="S2810" s="7" t="s">
        <v>28</v>
      </c>
      <c r="T2810" s="6"/>
      <c r="U2810" s="8"/>
    </row>
    <row r="2811" spans="1:39" ht="13" customHeight="1">
      <c r="A2811" s="8" t="s">
        <v>14994</v>
      </c>
      <c r="B2811" s="16">
        <v>44</v>
      </c>
      <c r="C2811" s="8" t="s">
        <v>20</v>
      </c>
      <c r="D2811" s="8" t="s">
        <v>85</v>
      </c>
      <c r="E2811" s="8" t="s">
        <v>14995</v>
      </c>
      <c r="F2811" s="17">
        <v>41497</v>
      </c>
      <c r="G2811" s="8" t="s">
        <v>14996</v>
      </c>
      <c r="H2811" s="8" t="s">
        <v>14997</v>
      </c>
      <c r="I2811" s="8" t="s">
        <v>44</v>
      </c>
      <c r="J2811" s="16" t="s">
        <v>14998</v>
      </c>
      <c r="K2811" s="2" t="s">
        <v>2865</v>
      </c>
      <c r="L2811" s="8" t="s">
        <v>10273</v>
      </c>
      <c r="M2811" s="8" t="s">
        <v>27</v>
      </c>
      <c r="N2811" s="2" t="s">
        <v>14999</v>
      </c>
      <c r="O2811" s="8" t="s">
        <v>550</v>
      </c>
      <c r="P2811" s="8" t="s">
        <v>401</v>
      </c>
      <c r="Q2811" s="12" t="s">
        <v>15000</v>
      </c>
      <c r="R2811" s="8" t="s">
        <v>100</v>
      </c>
      <c r="S2811" s="7" t="s">
        <v>28</v>
      </c>
      <c r="T2811" s="6"/>
      <c r="U2811" s="8"/>
    </row>
    <row r="2812" spans="1:39" ht="13" customHeight="1">
      <c r="A2812" s="8" t="s">
        <v>15014</v>
      </c>
      <c r="B2812" s="16">
        <v>31</v>
      </c>
      <c r="C2812" s="8" t="s">
        <v>20</v>
      </c>
      <c r="D2812" s="8" t="s">
        <v>37</v>
      </c>
      <c r="E2812" s="8" t="s">
        <v>15015</v>
      </c>
      <c r="F2812" s="17">
        <v>41496</v>
      </c>
      <c r="G2812" s="8" t="s">
        <v>15016</v>
      </c>
      <c r="H2812" s="8" t="s">
        <v>3311</v>
      </c>
      <c r="I2812" s="8" t="s">
        <v>94</v>
      </c>
      <c r="J2812" s="16" t="s">
        <v>15017</v>
      </c>
      <c r="K2812" s="2" t="s">
        <v>2763</v>
      </c>
      <c r="L2812" s="8" t="s">
        <v>15018</v>
      </c>
      <c r="M2812" s="8" t="s">
        <v>27</v>
      </c>
      <c r="N2812" s="2" t="s">
        <v>15019</v>
      </c>
      <c r="O2812" s="8" t="s">
        <v>550</v>
      </c>
      <c r="P2812" s="8" t="s">
        <v>401</v>
      </c>
      <c r="Q2812" s="12" t="s">
        <v>15020</v>
      </c>
      <c r="R2812" s="8" t="s">
        <v>100</v>
      </c>
      <c r="S2812" s="7" t="s">
        <v>28</v>
      </c>
      <c r="T2812" s="6"/>
      <c r="U2812" s="8"/>
    </row>
    <row r="2813" spans="1:39" ht="13" customHeight="1">
      <c r="A2813" s="8" t="s">
        <v>15006</v>
      </c>
      <c r="B2813" s="16" t="s">
        <v>9231</v>
      </c>
      <c r="C2813" s="8" t="s">
        <v>20</v>
      </c>
      <c r="D2813" s="8" t="s">
        <v>37</v>
      </c>
      <c r="E2813" s="8" t="s">
        <v>15007</v>
      </c>
      <c r="F2813" s="17">
        <v>41496</v>
      </c>
      <c r="G2813" s="8" t="s">
        <v>15008</v>
      </c>
      <c r="H2813" s="8" t="s">
        <v>15009</v>
      </c>
      <c r="I2813" s="8" t="s">
        <v>793</v>
      </c>
      <c r="J2813" s="16" t="s">
        <v>15010</v>
      </c>
      <c r="K2813" s="2" t="s">
        <v>15011</v>
      </c>
      <c r="L2813" s="8" t="s">
        <v>15012</v>
      </c>
      <c r="M2813" s="8" t="s">
        <v>27</v>
      </c>
      <c r="N2813" s="2" t="s">
        <v>15013</v>
      </c>
      <c r="O2813" s="8" t="s">
        <v>29</v>
      </c>
      <c r="P2813" s="8" t="s">
        <v>401</v>
      </c>
      <c r="Q2813" s="12" t="str">
        <f>HYPERLINK("http://www.huffingtonpost.com/2013/08/08/james-lee-dimaggio_n_3724734.html","http://www.huffingtonpost.com/2013/08/08/james-lee-dimaggio_n_3724734.html")</f>
        <v>http://www.huffingtonpost.com/2013/08/08/james-lee-dimaggio_n_3724734.html</v>
      </c>
      <c r="R2813" s="8" t="s">
        <v>100</v>
      </c>
      <c r="S2813" s="7" t="s">
        <v>28</v>
      </c>
      <c r="T2813" s="6"/>
      <c r="U2813" s="8"/>
      <c r="Y2813" s="8"/>
      <c r="Z2813" s="8"/>
      <c r="AA2813" s="8"/>
      <c r="AB2813" s="8"/>
      <c r="AC2813" s="8"/>
      <c r="AD2813" s="8"/>
      <c r="AE2813" s="8"/>
      <c r="AF2813" s="8"/>
      <c r="AG2813" s="8"/>
      <c r="AH2813" s="8"/>
    </row>
    <row r="2814" spans="1:39" ht="13" customHeight="1">
      <c r="A2814" s="8" t="s">
        <v>15027</v>
      </c>
      <c r="B2814" s="16">
        <v>21</v>
      </c>
      <c r="C2814" s="8" t="s">
        <v>20</v>
      </c>
      <c r="D2814" s="8" t="s">
        <v>37</v>
      </c>
      <c r="E2814" s="8" t="s">
        <v>15028</v>
      </c>
      <c r="F2814" s="17">
        <v>41495</v>
      </c>
      <c r="G2814" s="8" t="s">
        <v>15029</v>
      </c>
      <c r="H2814" s="8" t="s">
        <v>216</v>
      </c>
      <c r="I2814" s="8" t="s">
        <v>217</v>
      </c>
      <c r="J2814" s="16" t="s">
        <v>11356</v>
      </c>
      <c r="K2814" s="2" t="s">
        <v>420</v>
      </c>
      <c r="L2814" s="8" t="s">
        <v>218</v>
      </c>
      <c r="M2814" s="8" t="s">
        <v>27</v>
      </c>
      <c r="N2814" s="2" t="s">
        <v>15030</v>
      </c>
      <c r="O2814" s="8" t="s">
        <v>1013</v>
      </c>
      <c r="P2814" s="8" t="s">
        <v>401</v>
      </c>
      <c r="Q2814" s="12" t="s">
        <v>15031</v>
      </c>
      <c r="R2814" s="8" t="s">
        <v>100</v>
      </c>
      <c r="S2814" s="7" t="s">
        <v>28</v>
      </c>
      <c r="T2814" s="6"/>
      <c r="U2814" s="8"/>
    </row>
    <row r="2815" spans="1:39" ht="13" customHeight="1">
      <c r="A2815" s="8" t="s">
        <v>15032</v>
      </c>
      <c r="B2815" s="16">
        <v>31</v>
      </c>
      <c r="C2815" s="8" t="s">
        <v>20</v>
      </c>
      <c r="D2815" s="8" t="s">
        <v>37</v>
      </c>
      <c r="E2815" s="8" t="s">
        <v>15033</v>
      </c>
      <c r="F2815" s="17">
        <v>41495</v>
      </c>
      <c r="G2815" s="8" t="s">
        <v>15034</v>
      </c>
      <c r="H2815" s="8" t="s">
        <v>2084</v>
      </c>
      <c r="I2815" s="8" t="s">
        <v>244</v>
      </c>
      <c r="J2815" s="16" t="s">
        <v>15035</v>
      </c>
      <c r="K2815" s="2" t="s">
        <v>15036</v>
      </c>
      <c r="L2815" s="8" t="s">
        <v>15037</v>
      </c>
      <c r="M2815" s="8" t="s">
        <v>27</v>
      </c>
      <c r="N2815" s="2" t="s">
        <v>15038</v>
      </c>
      <c r="O2815" s="8" t="s">
        <v>1013</v>
      </c>
      <c r="P2815" s="8" t="s">
        <v>401</v>
      </c>
      <c r="Q2815" s="12" t="str">
        <f>HYPERLINK("http://hamptonroads.com/2013/08/man-killed-deputyinvolved-isle-wight-shooting","http://hamptonroads.com/2013/08/man-killed-deputyinvolved-isle-wight-shooting")</f>
        <v>http://hamptonroads.com/2013/08/man-killed-deputyinvolved-isle-wight-shooting</v>
      </c>
      <c r="R2815" s="8" t="s">
        <v>100</v>
      </c>
      <c r="S2815" s="7" t="s">
        <v>28</v>
      </c>
      <c r="T2815" s="6"/>
      <c r="U2815" s="8"/>
    </row>
    <row r="2816" spans="1:39" ht="13" customHeight="1">
      <c r="A2816" s="8" t="s">
        <v>15021</v>
      </c>
      <c r="B2816" s="16">
        <v>57</v>
      </c>
      <c r="C2816" s="8" t="s">
        <v>20</v>
      </c>
      <c r="D2816" s="8" t="s">
        <v>37</v>
      </c>
      <c r="E2816" s="8" t="s">
        <v>15022</v>
      </c>
      <c r="F2816" s="17">
        <v>41495</v>
      </c>
      <c r="G2816" s="8" t="s">
        <v>15023</v>
      </c>
      <c r="H2816" s="8" t="s">
        <v>2165</v>
      </c>
      <c r="I2816" s="8" t="s">
        <v>94</v>
      </c>
      <c r="J2816" s="16" t="s">
        <v>15024</v>
      </c>
      <c r="K2816" s="2" t="s">
        <v>2165</v>
      </c>
      <c r="L2816" s="8" t="s">
        <v>2166</v>
      </c>
      <c r="M2816" s="8" t="s">
        <v>27</v>
      </c>
      <c r="N2816" s="2" t="s">
        <v>15025</v>
      </c>
      <c r="O2816" s="8" t="s">
        <v>615</v>
      </c>
      <c r="P2816" s="8" t="s">
        <v>401</v>
      </c>
      <c r="Q2816" s="12" t="s">
        <v>15026</v>
      </c>
      <c r="R2816" s="8" t="s">
        <v>100</v>
      </c>
      <c r="S2816" s="7" t="s">
        <v>28</v>
      </c>
      <c r="T2816" s="6"/>
      <c r="U2816" s="8"/>
    </row>
    <row r="2817" spans="1:21" ht="13" customHeight="1">
      <c r="A2817" s="8" t="s">
        <v>15039</v>
      </c>
      <c r="B2817" s="16">
        <v>62</v>
      </c>
      <c r="C2817" s="8" t="s">
        <v>20</v>
      </c>
      <c r="D2817" s="8" t="s">
        <v>37</v>
      </c>
      <c r="E2817" s="8" t="s">
        <v>15040</v>
      </c>
      <c r="F2817" s="17">
        <v>41495</v>
      </c>
      <c r="G2817" s="8" t="s">
        <v>15041</v>
      </c>
      <c r="H2817" s="8" t="s">
        <v>9899</v>
      </c>
      <c r="I2817" s="8" t="s">
        <v>62</v>
      </c>
      <c r="J2817" s="16" t="s">
        <v>15042</v>
      </c>
      <c r="K2817" s="2" t="s">
        <v>4381</v>
      </c>
      <c r="L2817" s="8" t="s">
        <v>5436</v>
      </c>
      <c r="M2817" s="8" t="s">
        <v>27</v>
      </c>
      <c r="N2817" s="2" t="s">
        <v>15043</v>
      </c>
      <c r="O2817" s="8" t="s">
        <v>550</v>
      </c>
      <c r="P2817" s="8" t="s">
        <v>401</v>
      </c>
      <c r="Q2817" s="12" t="s">
        <v>15044</v>
      </c>
      <c r="R2817" s="8" t="s">
        <v>100</v>
      </c>
      <c r="S2817" s="7" t="s">
        <v>28</v>
      </c>
      <c r="T2817" s="6"/>
      <c r="U2817" s="8"/>
    </row>
    <row r="2818" spans="1:21" ht="13" customHeight="1">
      <c r="A2818" s="8" t="s">
        <v>15045</v>
      </c>
      <c r="B2818" s="16">
        <v>23</v>
      </c>
      <c r="C2818" s="8" t="s">
        <v>20</v>
      </c>
      <c r="D2818" s="8" t="s">
        <v>85</v>
      </c>
      <c r="E2818" s="8" t="s">
        <v>15046</v>
      </c>
      <c r="F2818" s="17">
        <v>41494</v>
      </c>
      <c r="G2818" s="8" t="s">
        <v>15047</v>
      </c>
      <c r="H2818" s="8" t="s">
        <v>7628</v>
      </c>
      <c r="I2818" s="8" t="s">
        <v>217</v>
      </c>
      <c r="J2818" s="16" t="s">
        <v>15048</v>
      </c>
      <c r="K2818" s="2" t="s">
        <v>1259</v>
      </c>
      <c r="L2818" s="8" t="s">
        <v>15049</v>
      </c>
      <c r="M2818" s="8" t="s">
        <v>27</v>
      </c>
      <c r="N2818" s="2" t="s">
        <v>15050</v>
      </c>
      <c r="O2818" s="8" t="s">
        <v>15051</v>
      </c>
      <c r="P2818" s="8" t="s">
        <v>21432</v>
      </c>
      <c r="Q2818" s="12" t="s">
        <v>21495</v>
      </c>
      <c r="R2818" s="8" t="s">
        <v>100</v>
      </c>
      <c r="S2818" s="7" t="s">
        <v>18</v>
      </c>
      <c r="T2818" s="6"/>
      <c r="U2818" s="8"/>
    </row>
    <row r="2819" spans="1:21" ht="13" customHeight="1">
      <c r="A2819" s="8" t="s">
        <v>15052</v>
      </c>
      <c r="B2819" s="16">
        <v>22</v>
      </c>
      <c r="C2819" s="8" t="s">
        <v>20</v>
      </c>
      <c r="D2819" s="8" t="s">
        <v>85</v>
      </c>
      <c r="E2819" s="8" t="s">
        <v>15053</v>
      </c>
      <c r="F2819" s="17">
        <v>41494</v>
      </c>
      <c r="G2819" s="8" t="s">
        <v>15054</v>
      </c>
      <c r="H2819" s="8" t="s">
        <v>216</v>
      </c>
      <c r="I2819" s="8" t="s">
        <v>217</v>
      </c>
      <c r="J2819" s="16" t="s">
        <v>1620</v>
      </c>
      <c r="K2819" s="2" t="s">
        <v>420</v>
      </c>
      <c r="L2819" s="8" t="s">
        <v>218</v>
      </c>
      <c r="M2819" s="8" t="s">
        <v>391</v>
      </c>
      <c r="N2819" s="2" t="s">
        <v>15055</v>
      </c>
      <c r="O2819" s="8" t="s">
        <v>1013</v>
      </c>
      <c r="P2819" s="8" t="s">
        <v>401</v>
      </c>
      <c r="Q2819" s="59" t="str">
        <f>HYPERLINK("http://www.theindychannel.com/news/local-news/impd-suspect-dies-while-being-arrested","http://www.theindychannel.com/news/local-news/impd-suspect-dies-while-being-arrested")</f>
        <v>http://www.theindychannel.com/news/local-news/impd-suspect-dies-while-being-arrested</v>
      </c>
      <c r="R2819" s="8" t="s">
        <v>100</v>
      </c>
      <c r="S2819" s="7" t="s">
        <v>18</v>
      </c>
      <c r="T2819" s="6"/>
      <c r="U2819" s="8"/>
    </row>
    <row r="2820" spans="1:21" ht="13" customHeight="1">
      <c r="A2820" s="8" t="s">
        <v>15056</v>
      </c>
      <c r="B2820" s="16">
        <v>68</v>
      </c>
      <c r="C2820" s="8" t="s">
        <v>20</v>
      </c>
      <c r="D2820" s="8" t="s">
        <v>37</v>
      </c>
      <c r="F2820" s="17">
        <v>41494</v>
      </c>
      <c r="G2820" s="8" t="s">
        <v>15057</v>
      </c>
      <c r="H2820" s="8" t="s">
        <v>774</v>
      </c>
      <c r="I2820" s="8" t="s">
        <v>45</v>
      </c>
      <c r="J2820" s="16" t="s">
        <v>9435</v>
      </c>
      <c r="K2820" s="2" t="s">
        <v>609</v>
      </c>
      <c r="L2820" s="8" t="s">
        <v>775</v>
      </c>
      <c r="M2820" s="8" t="s">
        <v>27</v>
      </c>
      <c r="N2820" s="2" t="s">
        <v>15058</v>
      </c>
      <c r="O2820" s="8" t="s">
        <v>550</v>
      </c>
      <c r="P2820" s="8" t="s">
        <v>401</v>
      </c>
      <c r="Q2820" s="12" t="s">
        <v>15059</v>
      </c>
      <c r="R2820" s="8" t="s">
        <v>100</v>
      </c>
      <c r="S2820" s="7" t="s">
        <v>28</v>
      </c>
      <c r="T2820" s="6"/>
      <c r="U2820" s="8"/>
    </row>
    <row r="2821" spans="1:21" ht="13" customHeight="1">
      <c r="A2821" s="8" t="s">
        <v>15060</v>
      </c>
      <c r="B2821" s="16">
        <v>44</v>
      </c>
      <c r="C2821" s="8" t="s">
        <v>20</v>
      </c>
      <c r="D2821" s="8" t="s">
        <v>37</v>
      </c>
      <c r="E2821" s="8" t="s">
        <v>15061</v>
      </c>
      <c r="F2821" s="17">
        <v>41494</v>
      </c>
      <c r="G2821" s="8" t="s">
        <v>15062</v>
      </c>
      <c r="H2821" s="8" t="s">
        <v>430</v>
      </c>
      <c r="I2821" s="8" t="s">
        <v>431</v>
      </c>
      <c r="J2821" s="16">
        <v>64105</v>
      </c>
      <c r="K2821" s="2" t="s">
        <v>433</v>
      </c>
      <c r="L2821" s="8" t="s">
        <v>2126</v>
      </c>
      <c r="M2821" s="8" t="s">
        <v>27</v>
      </c>
      <c r="N2821" s="2" t="s">
        <v>15063</v>
      </c>
      <c r="O2821" s="8" t="s">
        <v>29</v>
      </c>
      <c r="P2821" s="8" t="s">
        <v>401</v>
      </c>
      <c r="Q2821" s="12" t="s">
        <v>21496</v>
      </c>
      <c r="R2821" s="8" t="s">
        <v>100</v>
      </c>
      <c r="S2821" s="7" t="s">
        <v>18</v>
      </c>
      <c r="T2821" s="6"/>
      <c r="U2821" s="8"/>
    </row>
    <row r="2822" spans="1:21" ht="13" customHeight="1">
      <c r="A2822" s="8" t="s">
        <v>15064</v>
      </c>
      <c r="B2822" s="16">
        <v>21</v>
      </c>
      <c r="C2822" s="8" t="s">
        <v>20</v>
      </c>
      <c r="D2822" s="8" t="s">
        <v>85</v>
      </c>
      <c r="F2822" s="17">
        <v>41493</v>
      </c>
      <c r="G2822" s="8" t="s">
        <v>15065</v>
      </c>
      <c r="H2822" s="8" t="s">
        <v>1701</v>
      </c>
      <c r="I2822" s="8" t="s">
        <v>46</v>
      </c>
      <c r="J2822" s="16" t="s">
        <v>12729</v>
      </c>
      <c r="K2822" s="2" t="s">
        <v>1703</v>
      </c>
      <c r="L2822" s="8" t="s">
        <v>3245</v>
      </c>
      <c r="M2822" s="8" t="s">
        <v>27</v>
      </c>
      <c r="N2822" s="2" t="s">
        <v>15066</v>
      </c>
      <c r="O2822" s="8" t="s">
        <v>29</v>
      </c>
      <c r="P2822" s="8" t="s">
        <v>401</v>
      </c>
      <c r="Q2822" s="12" t="s">
        <v>15067</v>
      </c>
      <c r="R2822" s="8" t="s">
        <v>100</v>
      </c>
      <c r="S2822" s="7" t="s">
        <v>28</v>
      </c>
      <c r="T2822" s="6"/>
      <c r="U2822" s="8"/>
    </row>
    <row r="2823" spans="1:21" ht="13" customHeight="1">
      <c r="A2823" s="8" t="s">
        <v>15068</v>
      </c>
      <c r="B2823" s="16">
        <v>46</v>
      </c>
      <c r="C2823" s="8" t="s">
        <v>20</v>
      </c>
      <c r="D2823" s="8" t="s">
        <v>37</v>
      </c>
      <c r="E2823" s="8" t="s">
        <v>15069</v>
      </c>
      <c r="F2823" s="17">
        <v>41493</v>
      </c>
      <c r="G2823" s="8" t="s">
        <v>15070</v>
      </c>
      <c r="H2823" s="8" t="s">
        <v>8401</v>
      </c>
      <c r="I2823" s="8" t="s">
        <v>73</v>
      </c>
      <c r="J2823" s="16" t="s">
        <v>15071</v>
      </c>
      <c r="K2823" s="2" t="s">
        <v>15072</v>
      </c>
      <c r="L2823" s="8" t="s">
        <v>10350</v>
      </c>
      <c r="M2823" s="8" t="s">
        <v>27</v>
      </c>
      <c r="N2823" s="2" t="s">
        <v>15073</v>
      </c>
      <c r="O2823" s="8" t="s">
        <v>1013</v>
      </c>
      <c r="P2823" s="8" t="s">
        <v>401</v>
      </c>
      <c r="Q2823" s="12" t="s">
        <v>15074</v>
      </c>
      <c r="R2823" s="8" t="s">
        <v>100</v>
      </c>
      <c r="S2823" s="7" t="s">
        <v>28</v>
      </c>
      <c r="T2823" s="6"/>
      <c r="U2823" s="8"/>
    </row>
    <row r="2824" spans="1:21" ht="13" customHeight="1">
      <c r="A2824" s="8" t="s">
        <v>15075</v>
      </c>
      <c r="B2824" s="16">
        <v>61</v>
      </c>
      <c r="C2824" s="8" t="s">
        <v>20</v>
      </c>
      <c r="D2824" s="8" t="s">
        <v>48</v>
      </c>
      <c r="F2824" s="17">
        <v>41492</v>
      </c>
      <c r="G2824" s="8" t="s">
        <v>15076</v>
      </c>
      <c r="H2824" s="8" t="s">
        <v>9348</v>
      </c>
      <c r="I2824" s="8" t="s">
        <v>195</v>
      </c>
      <c r="J2824" s="16">
        <v>88220</v>
      </c>
      <c r="K2824" s="2" t="s">
        <v>9350</v>
      </c>
      <c r="L2824" s="8" t="s">
        <v>9351</v>
      </c>
      <c r="M2824" s="8" t="s">
        <v>27</v>
      </c>
      <c r="N2824" s="2" t="s">
        <v>15077</v>
      </c>
      <c r="O2824" s="8" t="s">
        <v>550</v>
      </c>
      <c r="P2824" s="8" t="s">
        <v>401</v>
      </c>
      <c r="Q2824" s="12" t="s">
        <v>15078</v>
      </c>
      <c r="R2824" s="8" t="s">
        <v>100</v>
      </c>
      <c r="S2824" s="7" t="s">
        <v>28</v>
      </c>
      <c r="T2824" s="6"/>
      <c r="U2824" s="8"/>
    </row>
    <row r="2825" spans="1:21" ht="13" customHeight="1">
      <c r="A2825" s="8" t="s">
        <v>15079</v>
      </c>
      <c r="B2825" s="16">
        <v>18</v>
      </c>
      <c r="C2825" s="8" t="s">
        <v>20</v>
      </c>
      <c r="D2825" s="8" t="s">
        <v>48</v>
      </c>
      <c r="E2825" s="8" t="s">
        <v>15080</v>
      </c>
      <c r="F2825" s="17">
        <v>41492</v>
      </c>
      <c r="G2825" s="8" t="s">
        <v>15081</v>
      </c>
      <c r="H2825" s="8" t="s">
        <v>1524</v>
      </c>
      <c r="I2825" s="8" t="s">
        <v>62</v>
      </c>
      <c r="J2825" s="16" t="s">
        <v>15082</v>
      </c>
      <c r="K2825" s="2" t="s">
        <v>161</v>
      </c>
      <c r="L2825" s="8" t="s">
        <v>162</v>
      </c>
      <c r="M2825" s="8" t="s">
        <v>391</v>
      </c>
      <c r="N2825" s="2" t="s">
        <v>15083</v>
      </c>
      <c r="O2825" s="8" t="s">
        <v>550</v>
      </c>
      <c r="P2825" s="8" t="s">
        <v>401</v>
      </c>
      <c r="Q2825" s="12" t="s">
        <v>15084</v>
      </c>
      <c r="R2825" s="8" t="s">
        <v>100</v>
      </c>
      <c r="S2825" s="7" t="s">
        <v>18</v>
      </c>
      <c r="T2825" s="6"/>
      <c r="U2825" s="8"/>
    </row>
    <row r="2826" spans="1:21" ht="13" customHeight="1">
      <c r="A2826" s="8" t="s">
        <v>3267</v>
      </c>
      <c r="B2826" s="16" t="s">
        <v>29</v>
      </c>
      <c r="C2826" s="8" t="s">
        <v>20</v>
      </c>
      <c r="D2826" s="8" t="s">
        <v>48</v>
      </c>
      <c r="F2826" s="17">
        <v>41491</v>
      </c>
      <c r="G2826" s="8" t="s">
        <v>15085</v>
      </c>
      <c r="H2826" s="8" t="s">
        <v>726</v>
      </c>
      <c r="I2826" s="8" t="s">
        <v>73</v>
      </c>
      <c r="J2826" s="16" t="s">
        <v>6875</v>
      </c>
      <c r="K2826" s="2" t="s">
        <v>558</v>
      </c>
      <c r="L2826" s="8" t="s">
        <v>727</v>
      </c>
      <c r="M2826" s="8" t="s">
        <v>27</v>
      </c>
      <c r="N2826" s="2" t="s">
        <v>15086</v>
      </c>
      <c r="O2826" s="8" t="s">
        <v>1013</v>
      </c>
      <c r="P2826" s="8" t="s">
        <v>401</v>
      </c>
      <c r="Q2826" s="12" t="s">
        <v>15087</v>
      </c>
      <c r="R2826" s="8" t="s">
        <v>100</v>
      </c>
      <c r="S2826" s="7" t="s">
        <v>28</v>
      </c>
      <c r="T2826" s="6"/>
      <c r="U2826" s="8"/>
    </row>
    <row r="2827" spans="1:21" ht="13" customHeight="1">
      <c r="A2827" s="8" t="s">
        <v>15088</v>
      </c>
      <c r="B2827" s="16">
        <v>35</v>
      </c>
      <c r="C2827" s="8" t="s">
        <v>20</v>
      </c>
      <c r="D2827" s="8" t="s">
        <v>30</v>
      </c>
      <c r="F2827" s="17">
        <v>41491</v>
      </c>
      <c r="G2827" s="8" t="s">
        <v>15089</v>
      </c>
      <c r="H2827" s="8" t="s">
        <v>634</v>
      </c>
      <c r="I2827" s="8" t="s">
        <v>123</v>
      </c>
      <c r="J2827" s="16" t="s">
        <v>15090</v>
      </c>
      <c r="K2827" s="2" t="s">
        <v>635</v>
      </c>
      <c r="L2827" s="8" t="s">
        <v>636</v>
      </c>
      <c r="M2827" s="8" t="s">
        <v>27</v>
      </c>
      <c r="N2827" s="2" t="s">
        <v>15091</v>
      </c>
      <c r="O2827" s="8" t="s">
        <v>1013</v>
      </c>
      <c r="P2827" s="8" t="s">
        <v>401</v>
      </c>
      <c r="Q2827" s="12" t="s">
        <v>15092</v>
      </c>
      <c r="R2827" s="8" t="s">
        <v>967</v>
      </c>
      <c r="S2827" s="7" t="s">
        <v>28</v>
      </c>
      <c r="T2827" s="6"/>
      <c r="U2827" s="8"/>
    </row>
    <row r="2828" spans="1:21" ht="13" customHeight="1">
      <c r="A2828" s="8" t="s">
        <v>15093</v>
      </c>
      <c r="B2828" s="16">
        <v>14</v>
      </c>
      <c r="C2828" s="8" t="s">
        <v>20</v>
      </c>
      <c r="D2828" s="8" t="s">
        <v>85</v>
      </c>
      <c r="E2828" s="8" t="s">
        <v>15094</v>
      </c>
      <c r="F2828" s="17">
        <v>41490</v>
      </c>
      <c r="G2828" s="8" t="s">
        <v>15095</v>
      </c>
      <c r="H2828" s="8" t="s">
        <v>1847</v>
      </c>
      <c r="I2828" s="8" t="s">
        <v>423</v>
      </c>
      <c r="J2828" s="16" t="s">
        <v>15096</v>
      </c>
      <c r="K2828" s="2" t="s">
        <v>581</v>
      </c>
      <c r="L2828" s="8" t="s">
        <v>582</v>
      </c>
      <c r="M2828" s="8" t="s">
        <v>27</v>
      </c>
      <c r="N2828" s="2" t="s">
        <v>15097</v>
      </c>
      <c r="O2828" s="8" t="s">
        <v>550</v>
      </c>
      <c r="P2828" s="8" t="s">
        <v>401</v>
      </c>
      <c r="Q2828" s="12" t="str">
        <f>HYPERLINK("http://www.huffingtonpost.com/2013/08/05/shaaliver-douse-shooting_n_3705623.html","http://www.huffingtonpost.com/2013/08/05/shaaliver-douse-shooting_n_3705623.html")</f>
        <v>http://www.huffingtonpost.com/2013/08/05/shaaliver-douse-shooting_n_3705623.html</v>
      </c>
      <c r="R2828" s="8" t="s">
        <v>100</v>
      </c>
      <c r="S2828" s="7" t="s">
        <v>28</v>
      </c>
      <c r="T2828" s="6"/>
      <c r="U2828" s="8"/>
    </row>
    <row r="2829" spans="1:21" ht="13" customHeight="1">
      <c r="A2829" s="8" t="s">
        <v>15098</v>
      </c>
      <c r="B2829" s="16">
        <v>54</v>
      </c>
      <c r="C2829" s="8" t="s">
        <v>20</v>
      </c>
      <c r="D2829" s="8" t="s">
        <v>48</v>
      </c>
      <c r="F2829" s="17">
        <v>41490</v>
      </c>
      <c r="G2829" s="8" t="s">
        <v>15099</v>
      </c>
      <c r="H2829" s="8" t="s">
        <v>15100</v>
      </c>
      <c r="I2829" s="8" t="s">
        <v>195</v>
      </c>
      <c r="J2829" s="16" t="s">
        <v>15101</v>
      </c>
      <c r="K2829" s="2" t="s">
        <v>467</v>
      </c>
      <c r="L2829" s="8" t="s">
        <v>8198</v>
      </c>
      <c r="M2829" s="8" t="s">
        <v>27</v>
      </c>
      <c r="N2829" s="2" t="s">
        <v>15102</v>
      </c>
      <c r="O2829" s="8" t="s">
        <v>1013</v>
      </c>
      <c r="P2829" s="8" t="s">
        <v>401</v>
      </c>
      <c r="Q2829" s="12" t="s">
        <v>15103</v>
      </c>
      <c r="R2829" s="8" t="s">
        <v>29</v>
      </c>
      <c r="S2829" s="7" t="s">
        <v>28</v>
      </c>
      <c r="T2829" s="6"/>
      <c r="U2829" s="8"/>
    </row>
    <row r="2830" spans="1:21" ht="13" customHeight="1">
      <c r="A2830" s="8" t="s">
        <v>15104</v>
      </c>
      <c r="B2830" s="16">
        <v>25</v>
      </c>
      <c r="C2830" s="8" t="s">
        <v>20</v>
      </c>
      <c r="D2830" s="8" t="s">
        <v>30</v>
      </c>
      <c r="F2830" s="17">
        <v>41490</v>
      </c>
      <c r="G2830" s="8" t="s">
        <v>15105</v>
      </c>
      <c r="H2830" s="8" t="s">
        <v>15106</v>
      </c>
      <c r="I2830" s="8" t="s">
        <v>857</v>
      </c>
      <c r="J2830" s="16" t="s">
        <v>15107</v>
      </c>
      <c r="K2830" s="2" t="s">
        <v>1781</v>
      </c>
      <c r="L2830" s="8" t="s">
        <v>15108</v>
      </c>
      <c r="M2830" s="8" t="s">
        <v>379</v>
      </c>
      <c r="N2830" s="2" t="s">
        <v>15109</v>
      </c>
      <c r="O2830" s="8" t="s">
        <v>1013</v>
      </c>
      <c r="P2830" s="8" t="s">
        <v>401</v>
      </c>
      <c r="Q2830" s="12" t="s">
        <v>15110</v>
      </c>
      <c r="R2830" s="8" t="s">
        <v>100</v>
      </c>
      <c r="S2830" s="7" t="s">
        <v>379</v>
      </c>
      <c r="T2830" s="6"/>
      <c r="U2830" s="8"/>
    </row>
    <row r="2831" spans="1:21" ht="13" customHeight="1">
      <c r="A2831" s="8" t="s">
        <v>15111</v>
      </c>
      <c r="B2831" s="16" t="s">
        <v>15112</v>
      </c>
      <c r="C2831" s="8" t="s">
        <v>20</v>
      </c>
      <c r="D2831" s="8" t="s">
        <v>37</v>
      </c>
      <c r="F2831" s="17">
        <v>41490</v>
      </c>
      <c r="G2831" s="8" t="s">
        <v>15113</v>
      </c>
      <c r="H2831" s="8" t="s">
        <v>1432</v>
      </c>
      <c r="I2831" s="8" t="s">
        <v>123</v>
      </c>
      <c r="J2831" s="16" t="s">
        <v>15114</v>
      </c>
      <c r="K2831" s="2" t="s">
        <v>635</v>
      </c>
      <c r="L2831" s="8" t="s">
        <v>1433</v>
      </c>
      <c r="M2831" s="8" t="s">
        <v>27</v>
      </c>
      <c r="N2831" s="2" t="s">
        <v>15115</v>
      </c>
      <c r="O2831" s="8" t="s">
        <v>29</v>
      </c>
      <c r="P2831" s="8" t="s">
        <v>401</v>
      </c>
      <c r="Q2831" s="12" t="s">
        <v>15116</v>
      </c>
      <c r="R2831" s="8" t="s">
        <v>100</v>
      </c>
      <c r="S2831" s="7" t="s">
        <v>28</v>
      </c>
      <c r="T2831" s="6"/>
      <c r="U2831" s="8"/>
    </row>
    <row r="2832" spans="1:21" ht="13" customHeight="1">
      <c r="A2832" s="8" t="s">
        <v>15117</v>
      </c>
      <c r="B2832" s="16">
        <v>26</v>
      </c>
      <c r="C2832" s="8" t="s">
        <v>20</v>
      </c>
      <c r="D2832" s="8" t="s">
        <v>48</v>
      </c>
      <c r="F2832" s="17">
        <v>41489</v>
      </c>
      <c r="G2832" s="8" t="s">
        <v>15118</v>
      </c>
      <c r="H2832" s="8" t="s">
        <v>6528</v>
      </c>
      <c r="I2832" s="8" t="s">
        <v>45</v>
      </c>
      <c r="J2832" s="16" t="s">
        <v>15119</v>
      </c>
      <c r="K2832" s="2" t="s">
        <v>1064</v>
      </c>
      <c r="L2832" s="8" t="s">
        <v>6530</v>
      </c>
      <c r="M2832" s="8" t="s">
        <v>27</v>
      </c>
      <c r="N2832" s="2" t="s">
        <v>15120</v>
      </c>
      <c r="O2832" s="8" t="s">
        <v>29</v>
      </c>
      <c r="P2832" s="8" t="s">
        <v>401</v>
      </c>
      <c r="Q2832" s="12" t="s">
        <v>15121</v>
      </c>
      <c r="R2832" s="8" t="s">
        <v>100</v>
      </c>
      <c r="S2832" s="7" t="s">
        <v>28</v>
      </c>
      <c r="T2832" s="6"/>
      <c r="U2832" s="8"/>
    </row>
    <row r="2833" spans="1:34" ht="13" customHeight="1">
      <c r="A2833" s="8" t="s">
        <v>15127</v>
      </c>
      <c r="B2833" s="16">
        <v>41</v>
      </c>
      <c r="C2833" s="8" t="s">
        <v>20</v>
      </c>
      <c r="D2833" s="8" t="s">
        <v>37</v>
      </c>
      <c r="E2833" s="8" t="s">
        <v>15128</v>
      </c>
      <c r="F2833" s="17">
        <v>41489</v>
      </c>
      <c r="G2833" s="8" t="s">
        <v>15129</v>
      </c>
      <c r="H2833" s="8" t="s">
        <v>561</v>
      </c>
      <c r="I2833" s="8" t="s">
        <v>123</v>
      </c>
      <c r="J2833" s="16" t="s">
        <v>6363</v>
      </c>
      <c r="K2833" s="2" t="s">
        <v>562</v>
      </c>
      <c r="L2833" s="8" t="s">
        <v>12807</v>
      </c>
      <c r="M2833" s="8" t="s">
        <v>27</v>
      </c>
      <c r="N2833" s="2" t="s">
        <v>15130</v>
      </c>
      <c r="O2833" s="8" t="s">
        <v>1013</v>
      </c>
      <c r="P2833" s="8" t="s">
        <v>401</v>
      </c>
      <c r="Q2833" s="12" t="s">
        <v>15131</v>
      </c>
      <c r="R2833" s="8" t="s">
        <v>100</v>
      </c>
      <c r="S2833" s="7" t="s">
        <v>28</v>
      </c>
      <c r="T2833" s="6"/>
      <c r="U2833" s="8"/>
    </row>
    <row r="2834" spans="1:34" ht="13" customHeight="1">
      <c r="A2834" s="8" t="s">
        <v>15122</v>
      </c>
      <c r="B2834" s="16">
        <v>28</v>
      </c>
      <c r="C2834" s="8" t="s">
        <v>20</v>
      </c>
      <c r="D2834" s="8" t="s">
        <v>37</v>
      </c>
      <c r="E2834" s="8" t="s">
        <v>15123</v>
      </c>
      <c r="F2834" s="17">
        <v>41489</v>
      </c>
      <c r="G2834" s="8" t="s">
        <v>15124</v>
      </c>
      <c r="H2834" s="8" t="s">
        <v>1097</v>
      </c>
      <c r="I2834" s="8" t="s">
        <v>395</v>
      </c>
      <c r="J2834" s="16" t="s">
        <v>4063</v>
      </c>
      <c r="K2834" s="2" t="s">
        <v>1098</v>
      </c>
      <c r="L2834" s="8" t="s">
        <v>1099</v>
      </c>
      <c r="M2834" s="8" t="s">
        <v>3386</v>
      </c>
      <c r="N2834" s="2" t="s">
        <v>15125</v>
      </c>
      <c r="O2834" s="8" t="s">
        <v>1013</v>
      </c>
      <c r="P2834" s="8" t="s">
        <v>401</v>
      </c>
      <c r="Q2834" s="12" t="s">
        <v>15126</v>
      </c>
      <c r="R2834" s="8" t="s">
        <v>967</v>
      </c>
      <c r="S2834" s="7" t="s">
        <v>18</v>
      </c>
      <c r="T2834" s="6"/>
      <c r="U2834" s="8"/>
    </row>
    <row r="2835" spans="1:34" ht="13" customHeight="1">
      <c r="A2835" s="8" t="s">
        <v>15132</v>
      </c>
      <c r="B2835" s="16" t="s">
        <v>13755</v>
      </c>
      <c r="C2835" s="8" t="s">
        <v>20</v>
      </c>
      <c r="D2835" s="8" t="s">
        <v>37</v>
      </c>
      <c r="E2835" s="8" t="s">
        <v>15133</v>
      </c>
      <c r="F2835" s="17">
        <v>41488</v>
      </c>
      <c r="G2835" s="8" t="s">
        <v>15134</v>
      </c>
      <c r="H2835" s="8" t="s">
        <v>1097</v>
      </c>
      <c r="I2835" s="8" t="s">
        <v>395</v>
      </c>
      <c r="J2835" s="16" t="s">
        <v>15135</v>
      </c>
      <c r="K2835" s="2" t="s">
        <v>15136</v>
      </c>
      <c r="L2835" s="8" t="s">
        <v>15137</v>
      </c>
      <c r="M2835" s="8" t="s">
        <v>27</v>
      </c>
      <c r="N2835" s="2" t="s">
        <v>15138</v>
      </c>
      <c r="O2835" s="8" t="s">
        <v>29</v>
      </c>
      <c r="P2835" s="8" t="s">
        <v>401</v>
      </c>
      <c r="Q2835" s="12" t="str">
        <f>HYPERLINK("http://kfor.com/2013/08/02/warr-acres-police-involved-in-chase-shooting-reported/","http://kfor.com/2013/08/02/warr-acres-police-involved-in-chase-shooting-reported/")</f>
        <v>http://kfor.com/2013/08/02/warr-acres-police-involved-in-chase-shooting-reported/</v>
      </c>
      <c r="R2835" s="8" t="s">
        <v>100</v>
      </c>
      <c r="S2835" s="7" t="s">
        <v>35</v>
      </c>
      <c r="T2835" s="6"/>
      <c r="U2835" s="8"/>
    </row>
    <row r="2836" spans="1:34" ht="13" customHeight="1">
      <c r="A2836" s="8" t="s">
        <v>15139</v>
      </c>
      <c r="B2836" s="16">
        <v>33</v>
      </c>
      <c r="C2836" s="8" t="s">
        <v>20</v>
      </c>
      <c r="D2836" s="8" t="s">
        <v>85</v>
      </c>
      <c r="E2836" s="8" t="s">
        <v>15140</v>
      </c>
      <c r="F2836" s="17">
        <v>41486</v>
      </c>
      <c r="G2836" s="8" t="s">
        <v>15141</v>
      </c>
      <c r="H2836" s="8" t="s">
        <v>2201</v>
      </c>
      <c r="I2836" s="8" t="s">
        <v>62</v>
      </c>
      <c r="J2836" s="16" t="s">
        <v>15142</v>
      </c>
      <c r="K2836" s="2" t="s">
        <v>1127</v>
      </c>
      <c r="L2836" s="8" t="s">
        <v>4412</v>
      </c>
      <c r="M2836" s="8" t="s">
        <v>27</v>
      </c>
      <c r="N2836" s="2" t="s">
        <v>15143</v>
      </c>
      <c r="O2836" s="8" t="s">
        <v>1013</v>
      </c>
      <c r="P2836" s="8" t="s">
        <v>1162</v>
      </c>
      <c r="Q2836" s="12" t="s">
        <v>15144</v>
      </c>
      <c r="R2836" s="8" t="s">
        <v>100</v>
      </c>
      <c r="S2836" s="7" t="s">
        <v>18</v>
      </c>
      <c r="T2836" s="6"/>
      <c r="U2836" s="8"/>
    </row>
    <row r="2837" spans="1:34" ht="13" customHeight="1">
      <c r="A2837" s="8" t="s">
        <v>15145</v>
      </c>
      <c r="B2837" s="16">
        <v>19</v>
      </c>
      <c r="C2837" s="8" t="s">
        <v>20</v>
      </c>
      <c r="D2837" s="8" t="s">
        <v>48</v>
      </c>
      <c r="E2837" s="8" t="s">
        <v>15146</v>
      </c>
      <c r="F2837" s="17">
        <v>41486</v>
      </c>
      <c r="G2837" s="8" t="s">
        <v>15147</v>
      </c>
      <c r="H2837" s="8" t="s">
        <v>10718</v>
      </c>
      <c r="I2837" s="8" t="s">
        <v>73</v>
      </c>
      <c r="J2837" s="16" t="s">
        <v>15148</v>
      </c>
      <c r="K2837" s="2" t="s">
        <v>1059</v>
      </c>
      <c r="L2837" s="8" t="s">
        <v>15149</v>
      </c>
      <c r="M2837" s="8" t="s">
        <v>27</v>
      </c>
      <c r="N2837" s="2" t="s">
        <v>15150</v>
      </c>
      <c r="O2837" s="8" t="s">
        <v>15151</v>
      </c>
      <c r="P2837" s="8" t="s">
        <v>21431</v>
      </c>
      <c r="Q2837" s="12" t="s">
        <v>15152</v>
      </c>
      <c r="R2837" s="8" t="s">
        <v>100</v>
      </c>
      <c r="S2837" s="7" t="s">
        <v>18</v>
      </c>
      <c r="T2837" s="6"/>
      <c r="U2837" s="8"/>
    </row>
    <row r="2838" spans="1:34" ht="13" customHeight="1">
      <c r="A2838" s="8" t="s">
        <v>15153</v>
      </c>
      <c r="B2838" s="16">
        <v>42</v>
      </c>
      <c r="C2838" s="8" t="s">
        <v>20</v>
      </c>
      <c r="D2838" s="8" t="s">
        <v>37</v>
      </c>
      <c r="E2838" s="8" t="s">
        <v>15154</v>
      </c>
      <c r="F2838" s="17">
        <v>41486</v>
      </c>
      <c r="G2838" s="8" t="s">
        <v>15155</v>
      </c>
      <c r="H2838" s="8" t="s">
        <v>15156</v>
      </c>
      <c r="I2838" s="8" t="s">
        <v>69</v>
      </c>
      <c r="J2838" s="16" t="s">
        <v>15157</v>
      </c>
      <c r="K2838" s="2" t="s">
        <v>4979</v>
      </c>
      <c r="L2838" s="8" t="s">
        <v>15158</v>
      </c>
      <c r="M2838" s="8" t="s">
        <v>27</v>
      </c>
      <c r="N2838" s="2" t="s">
        <v>15159</v>
      </c>
      <c r="O2838" s="8" t="s">
        <v>550</v>
      </c>
      <c r="P2838" s="8" t="s">
        <v>401</v>
      </c>
      <c r="Q2838" s="12" t="s">
        <v>15160</v>
      </c>
      <c r="R2838" s="8" t="s">
        <v>29</v>
      </c>
      <c r="S2838" s="7" t="s">
        <v>28</v>
      </c>
      <c r="T2838" s="6"/>
      <c r="U2838" s="8"/>
      <c r="V2838" s="8"/>
      <c r="W2838" s="8"/>
      <c r="X2838" s="8"/>
      <c r="Y2838" s="8"/>
      <c r="Z2838" s="8"/>
      <c r="AA2838" s="8"/>
      <c r="AB2838" s="8"/>
      <c r="AC2838" s="8"/>
      <c r="AD2838" s="8"/>
      <c r="AE2838" s="8"/>
      <c r="AF2838" s="8"/>
      <c r="AG2838" s="8"/>
      <c r="AH2838" s="8"/>
    </row>
    <row r="2839" spans="1:34" ht="13" customHeight="1">
      <c r="A2839" s="8" t="s">
        <v>15161</v>
      </c>
      <c r="B2839" s="16">
        <v>37</v>
      </c>
      <c r="C2839" s="8" t="s">
        <v>20</v>
      </c>
      <c r="D2839" s="8" t="s">
        <v>85</v>
      </c>
      <c r="E2839" s="8" t="s">
        <v>15162</v>
      </c>
      <c r="F2839" s="17">
        <v>41485</v>
      </c>
      <c r="G2839" s="8" t="s">
        <v>15163</v>
      </c>
      <c r="H2839" s="8" t="s">
        <v>1042</v>
      </c>
      <c r="I2839" s="8" t="s">
        <v>25</v>
      </c>
      <c r="J2839" s="16" t="s">
        <v>15164</v>
      </c>
      <c r="K2839" s="2" t="s">
        <v>2589</v>
      </c>
      <c r="L2839" s="8" t="s">
        <v>405</v>
      </c>
      <c r="M2839" s="8" t="s">
        <v>27</v>
      </c>
      <c r="N2839" s="2" t="s">
        <v>15165</v>
      </c>
      <c r="O2839" s="8" t="s">
        <v>550</v>
      </c>
      <c r="P2839" s="8" t="s">
        <v>401</v>
      </c>
      <c r="Q2839" s="59" t="str">
        <f>HYPERLINK("http://www.nola.com/crime/index.ssf/2014/04/report_doj_drops_probe_of_fbi-.html","http://www.nola.com/crime/index.ssf/2014/04/report_doj_drops_probe_of_fbi-.html")</f>
        <v>http://www.nola.com/crime/index.ssf/2014/04/report_doj_drops_probe_of_fbi-.html</v>
      </c>
      <c r="R2839" s="8" t="s">
        <v>100</v>
      </c>
      <c r="S2839" s="7" t="s">
        <v>18</v>
      </c>
      <c r="T2839" s="6"/>
      <c r="U2839" s="8"/>
    </row>
    <row r="2840" spans="1:34" ht="13" customHeight="1">
      <c r="A2840" s="8" t="s">
        <v>15166</v>
      </c>
      <c r="B2840" s="16">
        <v>22</v>
      </c>
      <c r="C2840" s="8" t="s">
        <v>20</v>
      </c>
      <c r="D2840" s="8" t="s">
        <v>48</v>
      </c>
      <c r="E2840" s="8" t="s">
        <v>15167</v>
      </c>
      <c r="F2840" s="17">
        <v>41485</v>
      </c>
      <c r="G2840" s="8" t="s">
        <v>15168</v>
      </c>
      <c r="H2840" s="8" t="s">
        <v>3712</v>
      </c>
      <c r="I2840" s="8" t="s">
        <v>45</v>
      </c>
      <c r="J2840" s="16" t="s">
        <v>15169</v>
      </c>
      <c r="K2840" s="2" t="s">
        <v>1064</v>
      </c>
      <c r="L2840" s="8" t="s">
        <v>3714</v>
      </c>
      <c r="M2840" s="8" t="s">
        <v>27</v>
      </c>
      <c r="N2840" s="2" t="s">
        <v>15170</v>
      </c>
      <c r="O2840" s="8" t="s">
        <v>550</v>
      </c>
      <c r="P2840" s="8" t="s">
        <v>401</v>
      </c>
      <c r="Q2840" s="12" t="s">
        <v>15171</v>
      </c>
      <c r="S2840" s="7" t="s">
        <v>18</v>
      </c>
      <c r="T2840" s="6"/>
      <c r="U2840" s="8"/>
    </row>
    <row r="2841" spans="1:34" ht="13" customHeight="1">
      <c r="A2841" s="8" t="s">
        <v>15172</v>
      </c>
      <c r="B2841" s="16">
        <v>19</v>
      </c>
      <c r="C2841" s="8" t="s">
        <v>20</v>
      </c>
      <c r="D2841" s="8" t="s">
        <v>30</v>
      </c>
      <c r="F2841" s="17">
        <v>41485</v>
      </c>
      <c r="G2841" s="8" t="s">
        <v>15173</v>
      </c>
      <c r="H2841" s="8" t="s">
        <v>6597</v>
      </c>
      <c r="I2841" s="8" t="s">
        <v>123</v>
      </c>
      <c r="J2841" s="16" t="s">
        <v>15174</v>
      </c>
      <c r="K2841" s="2" t="s">
        <v>635</v>
      </c>
      <c r="L2841" s="8" t="s">
        <v>6599</v>
      </c>
      <c r="M2841" s="8" t="s">
        <v>27</v>
      </c>
      <c r="N2841" s="2" t="s">
        <v>15175</v>
      </c>
      <c r="O2841" s="8" t="s">
        <v>29</v>
      </c>
      <c r="P2841" s="8" t="s">
        <v>401</v>
      </c>
      <c r="Q2841" s="12" t="s">
        <v>15176</v>
      </c>
      <c r="R2841" s="8" t="s">
        <v>100</v>
      </c>
      <c r="S2841" s="7" t="s">
        <v>28</v>
      </c>
      <c r="T2841" s="6"/>
      <c r="U2841" s="8"/>
      <c r="Y2841" s="8"/>
      <c r="Z2841" s="8"/>
      <c r="AA2841" s="8"/>
      <c r="AB2841" s="8"/>
      <c r="AC2841" s="8"/>
      <c r="AD2841" s="8"/>
      <c r="AE2841" s="8"/>
      <c r="AF2841" s="8"/>
      <c r="AG2841" s="8"/>
      <c r="AH2841" s="8"/>
    </row>
    <row r="2842" spans="1:34" ht="13" customHeight="1">
      <c r="A2842" s="8" t="s">
        <v>15177</v>
      </c>
      <c r="B2842" s="16">
        <v>29</v>
      </c>
      <c r="C2842" s="8" t="s">
        <v>20</v>
      </c>
      <c r="D2842" s="8" t="s">
        <v>30</v>
      </c>
      <c r="F2842" s="17">
        <v>41485</v>
      </c>
      <c r="G2842" s="8" t="s">
        <v>15178</v>
      </c>
      <c r="H2842" s="8" t="s">
        <v>708</v>
      </c>
      <c r="I2842" s="8" t="s">
        <v>94</v>
      </c>
      <c r="J2842" s="16" t="s">
        <v>15179</v>
      </c>
      <c r="K2842" s="2" t="s">
        <v>708</v>
      </c>
      <c r="L2842" s="8" t="s">
        <v>709</v>
      </c>
      <c r="M2842" s="8" t="s">
        <v>379</v>
      </c>
      <c r="N2842" s="2" t="s">
        <v>15180</v>
      </c>
      <c r="O2842" s="8" t="s">
        <v>1013</v>
      </c>
      <c r="P2842" s="8" t="s">
        <v>401</v>
      </c>
      <c r="Q2842" s="12" t="s">
        <v>15181</v>
      </c>
      <c r="R2842" s="8" t="s">
        <v>100</v>
      </c>
      <c r="S2842" s="7" t="s">
        <v>18</v>
      </c>
      <c r="T2842" s="6"/>
      <c r="U2842" s="8"/>
    </row>
    <row r="2843" spans="1:34" ht="13" customHeight="1">
      <c r="A2843" s="8" t="s">
        <v>15189</v>
      </c>
      <c r="B2843" s="16">
        <v>21</v>
      </c>
      <c r="C2843" s="8" t="s">
        <v>20</v>
      </c>
      <c r="D2843" s="8" t="s">
        <v>37</v>
      </c>
      <c r="E2843" s="8" t="s">
        <v>15190</v>
      </c>
      <c r="F2843" s="17">
        <v>41485</v>
      </c>
      <c r="G2843" s="8" t="s">
        <v>15191</v>
      </c>
      <c r="H2843" s="8" t="s">
        <v>15192</v>
      </c>
      <c r="I2843" s="8" t="s">
        <v>303</v>
      </c>
      <c r="J2843" s="16" t="s">
        <v>15193</v>
      </c>
      <c r="K2843" s="2" t="s">
        <v>886</v>
      </c>
      <c r="L2843" s="8" t="s">
        <v>15194</v>
      </c>
      <c r="M2843" s="8" t="s">
        <v>27</v>
      </c>
      <c r="N2843" s="2" t="s">
        <v>15195</v>
      </c>
      <c r="O2843" s="8" t="s">
        <v>1013</v>
      </c>
      <c r="P2843" s="8" t="s">
        <v>401</v>
      </c>
      <c r="Q2843" s="12" t="s">
        <v>15196</v>
      </c>
      <c r="R2843" s="8" t="s">
        <v>555</v>
      </c>
      <c r="S2843" s="7" t="s">
        <v>28</v>
      </c>
      <c r="T2843" s="6"/>
      <c r="U2843" s="8"/>
    </row>
    <row r="2844" spans="1:34" ht="13" customHeight="1">
      <c r="A2844" s="8" t="s">
        <v>15182</v>
      </c>
      <c r="B2844" s="16">
        <v>29</v>
      </c>
      <c r="C2844" s="8" t="s">
        <v>20</v>
      </c>
      <c r="D2844" s="8" t="s">
        <v>37</v>
      </c>
      <c r="E2844" s="8" t="s">
        <v>15183</v>
      </c>
      <c r="F2844" s="17">
        <v>41485</v>
      </c>
      <c r="G2844" s="8" t="s">
        <v>15184</v>
      </c>
      <c r="H2844" s="8" t="s">
        <v>2518</v>
      </c>
      <c r="I2844" s="8" t="s">
        <v>981</v>
      </c>
      <c r="J2844" s="16" t="s">
        <v>15185</v>
      </c>
      <c r="K2844" s="2" t="s">
        <v>5123</v>
      </c>
      <c r="L2844" s="8" t="s">
        <v>15186</v>
      </c>
      <c r="M2844" s="8" t="s">
        <v>27</v>
      </c>
      <c r="N2844" s="2" t="s">
        <v>15187</v>
      </c>
      <c r="O2844" s="8" t="s">
        <v>4714</v>
      </c>
      <c r="P2844" s="8" t="s">
        <v>401</v>
      </c>
      <c r="Q2844" s="12" t="s">
        <v>15188</v>
      </c>
      <c r="R2844" s="8" t="s">
        <v>100</v>
      </c>
      <c r="S2844" s="7" t="s">
        <v>28</v>
      </c>
      <c r="T2844" s="6"/>
      <c r="U2844" s="8"/>
    </row>
    <row r="2845" spans="1:34" ht="13" customHeight="1">
      <c r="A2845" s="8" t="s">
        <v>15197</v>
      </c>
      <c r="B2845" s="16">
        <v>29</v>
      </c>
      <c r="C2845" s="8" t="s">
        <v>20</v>
      </c>
      <c r="D2845" s="8" t="s">
        <v>85</v>
      </c>
      <c r="E2845" s="8" t="s">
        <v>15198</v>
      </c>
      <c r="F2845" s="17">
        <v>41484</v>
      </c>
      <c r="H2845" s="8" t="s">
        <v>548</v>
      </c>
      <c r="I2845" s="8" t="s">
        <v>94</v>
      </c>
      <c r="J2845" s="16" t="s">
        <v>15199</v>
      </c>
      <c r="K2845" s="2" t="s">
        <v>420</v>
      </c>
      <c r="L2845" s="8" t="s">
        <v>618</v>
      </c>
      <c r="M2845" s="8" t="s">
        <v>27</v>
      </c>
      <c r="N2845" s="2" t="s">
        <v>15200</v>
      </c>
      <c r="O2845" s="8" t="s">
        <v>1013</v>
      </c>
      <c r="P2845" s="8" t="s">
        <v>401</v>
      </c>
      <c r="Q2845" s="12" t="s">
        <v>15201</v>
      </c>
      <c r="R2845" s="8" t="s">
        <v>29</v>
      </c>
      <c r="S2845" s="7" t="s">
        <v>28</v>
      </c>
      <c r="T2845" s="6"/>
      <c r="U2845" s="8"/>
    </row>
    <row r="2846" spans="1:34" ht="13" customHeight="1">
      <c r="A2846" s="8" t="s">
        <v>3267</v>
      </c>
      <c r="C2846" s="8" t="s">
        <v>20</v>
      </c>
      <c r="D2846" s="8" t="s">
        <v>85</v>
      </c>
      <c r="F2846" s="17">
        <v>41484</v>
      </c>
      <c r="G2846" s="8" t="s">
        <v>15202</v>
      </c>
      <c r="H2846" s="8" t="s">
        <v>15203</v>
      </c>
      <c r="I2846" s="8" t="s">
        <v>94</v>
      </c>
      <c r="J2846" s="16" t="s">
        <v>15204</v>
      </c>
      <c r="K2846" s="2" t="s">
        <v>1520</v>
      </c>
      <c r="L2846" s="8" t="s">
        <v>15205</v>
      </c>
      <c r="M2846" s="8" t="s">
        <v>27</v>
      </c>
      <c r="N2846" s="2" t="s">
        <v>15206</v>
      </c>
      <c r="O2846" s="8" t="s">
        <v>1013</v>
      </c>
      <c r="P2846" s="8" t="s">
        <v>401</v>
      </c>
      <c r="Q2846" s="12" t="s">
        <v>15207</v>
      </c>
      <c r="R2846" s="8" t="s">
        <v>100</v>
      </c>
      <c r="S2846" s="7" t="s">
        <v>28</v>
      </c>
      <c r="T2846" s="6"/>
      <c r="U2846" s="8"/>
      <c r="V2846" s="13"/>
      <c r="W2846" s="13"/>
      <c r="X2846" s="13"/>
    </row>
    <row r="2847" spans="1:34" ht="13" customHeight="1">
      <c r="A2847" s="8" t="s">
        <v>15208</v>
      </c>
      <c r="B2847" s="16">
        <v>38</v>
      </c>
      <c r="C2847" s="8" t="s">
        <v>20</v>
      </c>
      <c r="D2847" s="8" t="s">
        <v>30</v>
      </c>
      <c r="F2847" s="17">
        <v>41484</v>
      </c>
      <c r="G2847" s="8" t="s">
        <v>15209</v>
      </c>
      <c r="H2847" s="8" t="s">
        <v>860</v>
      </c>
      <c r="I2847" s="8" t="s">
        <v>73</v>
      </c>
      <c r="J2847" s="16" t="s">
        <v>15210</v>
      </c>
      <c r="K2847" s="2" t="s">
        <v>860</v>
      </c>
      <c r="L2847" s="8" t="s">
        <v>861</v>
      </c>
      <c r="M2847" s="8" t="s">
        <v>27</v>
      </c>
      <c r="N2847" s="2" t="s">
        <v>15211</v>
      </c>
      <c r="O2847" s="8" t="s">
        <v>1013</v>
      </c>
      <c r="P2847" s="8" t="s">
        <v>401</v>
      </c>
      <c r="Q2847" s="12" t="s">
        <v>15212</v>
      </c>
      <c r="R2847" s="8" t="s">
        <v>100</v>
      </c>
      <c r="S2847" s="7" t="s">
        <v>28</v>
      </c>
      <c r="T2847" s="6"/>
      <c r="U2847" s="8"/>
    </row>
    <row r="2848" spans="1:34" ht="13" customHeight="1">
      <c r="A2848" s="8" t="s">
        <v>15213</v>
      </c>
      <c r="B2848" s="16">
        <v>56</v>
      </c>
      <c r="C2848" s="8" t="s">
        <v>20</v>
      </c>
      <c r="D2848" s="8" t="s">
        <v>30</v>
      </c>
      <c r="F2848" s="17">
        <v>41484</v>
      </c>
      <c r="G2848" s="8" t="s">
        <v>15214</v>
      </c>
      <c r="H2848" s="8" t="s">
        <v>2800</v>
      </c>
      <c r="I2848" s="8" t="s">
        <v>363</v>
      </c>
      <c r="J2848" s="16" t="s">
        <v>2801</v>
      </c>
      <c r="K2848" s="2" t="s">
        <v>2802</v>
      </c>
      <c r="L2848" s="8" t="s">
        <v>2803</v>
      </c>
      <c r="M2848" s="8" t="s">
        <v>27</v>
      </c>
      <c r="N2848" s="2" t="s">
        <v>15215</v>
      </c>
      <c r="O2848" s="8" t="s">
        <v>550</v>
      </c>
      <c r="P2848" s="8" t="s">
        <v>401</v>
      </c>
      <c r="Q2848" s="12" t="s">
        <v>15216</v>
      </c>
      <c r="R2848" s="8" t="s">
        <v>29</v>
      </c>
      <c r="S2848" s="7" t="s">
        <v>28</v>
      </c>
      <c r="T2848" s="6"/>
      <c r="U2848" s="8"/>
    </row>
    <row r="2849" spans="1:34" ht="13" customHeight="1">
      <c r="A2849" s="8" t="s">
        <v>15217</v>
      </c>
      <c r="B2849" s="16">
        <v>40</v>
      </c>
      <c r="C2849" s="8" t="s">
        <v>114</v>
      </c>
      <c r="D2849" s="8" t="s">
        <v>37</v>
      </c>
      <c r="E2849" s="8" t="s">
        <v>15218</v>
      </c>
      <c r="F2849" s="17">
        <v>41484</v>
      </c>
      <c r="G2849" s="8" t="s">
        <v>15219</v>
      </c>
      <c r="H2849" s="8" t="s">
        <v>15220</v>
      </c>
      <c r="I2849" s="8" t="s">
        <v>62</v>
      </c>
      <c r="J2849" s="16" t="s">
        <v>15221</v>
      </c>
      <c r="K2849" s="2" t="s">
        <v>5575</v>
      </c>
      <c r="L2849" s="8" t="s">
        <v>15222</v>
      </c>
      <c r="M2849" s="8" t="s">
        <v>27</v>
      </c>
      <c r="N2849" s="2" t="s">
        <v>15223</v>
      </c>
      <c r="O2849" s="8" t="s">
        <v>1013</v>
      </c>
      <c r="P2849" s="8" t="s">
        <v>401</v>
      </c>
      <c r="Q2849" s="12" t="s">
        <v>15224</v>
      </c>
      <c r="R2849" s="8" t="s">
        <v>100</v>
      </c>
      <c r="S2849" s="7" t="s">
        <v>28</v>
      </c>
      <c r="T2849" s="6"/>
      <c r="U2849" s="8"/>
    </row>
    <row r="2850" spans="1:34" ht="13" customHeight="1">
      <c r="A2850" s="8" t="s">
        <v>15231</v>
      </c>
      <c r="B2850" s="16">
        <v>24</v>
      </c>
      <c r="C2850" s="8" t="s">
        <v>20</v>
      </c>
      <c r="D2850" s="8" t="s">
        <v>85</v>
      </c>
      <c r="E2850" s="8" t="s">
        <v>15232</v>
      </c>
      <c r="F2850" s="17">
        <v>41483</v>
      </c>
      <c r="G2850" s="8" t="s">
        <v>15233</v>
      </c>
      <c r="H2850" s="8" t="s">
        <v>430</v>
      </c>
      <c r="I2850" s="8" t="s">
        <v>431</v>
      </c>
      <c r="J2850" s="16" t="s">
        <v>15234</v>
      </c>
      <c r="K2850" s="2" t="s">
        <v>433</v>
      </c>
      <c r="L2850" s="8" t="s">
        <v>434</v>
      </c>
      <c r="M2850" s="8" t="s">
        <v>27</v>
      </c>
      <c r="N2850" s="2" t="s">
        <v>21651</v>
      </c>
      <c r="O2850" s="8" t="s">
        <v>550</v>
      </c>
      <c r="P2850" s="8" t="s">
        <v>401</v>
      </c>
      <c r="Q2850" s="12" t="s">
        <v>15235</v>
      </c>
      <c r="R2850" s="8" t="s">
        <v>100</v>
      </c>
      <c r="S2850" s="7" t="s">
        <v>35</v>
      </c>
      <c r="T2850" s="6"/>
      <c r="U2850" s="8"/>
    </row>
    <row r="2851" spans="1:34" ht="13" customHeight="1">
      <c r="A2851" s="8" t="s">
        <v>15225</v>
      </c>
      <c r="B2851" s="16">
        <v>32</v>
      </c>
      <c r="C2851" s="8" t="s">
        <v>20</v>
      </c>
      <c r="D2851" s="8" t="s">
        <v>85</v>
      </c>
      <c r="E2851" s="8" t="s">
        <v>15226</v>
      </c>
      <c r="F2851" s="17">
        <v>41483</v>
      </c>
      <c r="G2851" s="8" t="s">
        <v>15227</v>
      </c>
      <c r="H2851" s="8" t="s">
        <v>189</v>
      </c>
      <c r="I2851" s="8" t="s">
        <v>25</v>
      </c>
      <c r="J2851" s="16" t="s">
        <v>15228</v>
      </c>
      <c r="K2851" s="2" t="s">
        <v>3765</v>
      </c>
      <c r="L2851" s="8" t="s">
        <v>1687</v>
      </c>
      <c r="M2851" s="8" t="s">
        <v>27</v>
      </c>
      <c r="N2851" s="2" t="s">
        <v>15229</v>
      </c>
      <c r="O2851" s="8" t="s">
        <v>550</v>
      </c>
      <c r="P2851" s="8" t="s">
        <v>401</v>
      </c>
      <c r="Q2851" s="12" t="s">
        <v>15230</v>
      </c>
      <c r="R2851" s="8" t="s">
        <v>100</v>
      </c>
      <c r="S2851" s="7" t="s">
        <v>379</v>
      </c>
      <c r="T2851" s="6"/>
      <c r="U2851" s="8"/>
    </row>
    <row r="2852" spans="1:34" ht="13" customHeight="1">
      <c r="A2852" s="8" t="s">
        <v>15236</v>
      </c>
      <c r="B2852" s="16">
        <v>39</v>
      </c>
      <c r="C2852" s="8" t="s">
        <v>20</v>
      </c>
      <c r="D2852" s="8" t="s">
        <v>48</v>
      </c>
      <c r="F2852" s="17">
        <v>41483</v>
      </c>
      <c r="G2852" s="8" t="s">
        <v>15237</v>
      </c>
      <c r="H2852" s="8" t="s">
        <v>87</v>
      </c>
      <c r="I2852" s="8" t="s">
        <v>44</v>
      </c>
      <c r="J2852" s="16" t="s">
        <v>8507</v>
      </c>
      <c r="K2852" s="2" t="s">
        <v>88</v>
      </c>
      <c r="L2852" s="8" t="s">
        <v>89</v>
      </c>
      <c r="M2852" s="8" t="s">
        <v>27</v>
      </c>
      <c r="N2852" s="2" t="s">
        <v>15238</v>
      </c>
      <c r="O2852" s="8" t="s">
        <v>400</v>
      </c>
      <c r="P2852" s="8" t="s">
        <v>401</v>
      </c>
      <c r="Q2852" s="12" t="s">
        <v>15239</v>
      </c>
      <c r="R2852" s="8" t="s">
        <v>100</v>
      </c>
      <c r="S2852" s="7" t="s">
        <v>28</v>
      </c>
      <c r="T2852" s="6"/>
      <c r="U2852" s="8"/>
    </row>
    <row r="2853" spans="1:34" ht="13" customHeight="1">
      <c r="A2853" s="8" t="s">
        <v>15240</v>
      </c>
      <c r="B2853" s="16">
        <v>44</v>
      </c>
      <c r="C2853" s="8" t="s">
        <v>20</v>
      </c>
      <c r="D2853" s="8" t="s">
        <v>48</v>
      </c>
      <c r="E2853" s="8" t="s">
        <v>15241</v>
      </c>
      <c r="F2853" s="17">
        <v>41483</v>
      </c>
      <c r="G2853" s="8" t="s">
        <v>15242</v>
      </c>
      <c r="H2853" s="8" t="s">
        <v>634</v>
      </c>
      <c r="I2853" s="8" t="s">
        <v>123</v>
      </c>
      <c r="J2853" s="16" t="s">
        <v>7488</v>
      </c>
      <c r="K2853" s="2" t="s">
        <v>635</v>
      </c>
      <c r="L2853" s="8" t="s">
        <v>636</v>
      </c>
      <c r="M2853" s="8" t="s">
        <v>391</v>
      </c>
      <c r="N2853" s="2" t="s">
        <v>15243</v>
      </c>
      <c r="O2853" s="8" t="s">
        <v>1013</v>
      </c>
      <c r="P2853" s="8" t="s">
        <v>401</v>
      </c>
      <c r="Q2853" s="12" t="s">
        <v>15244</v>
      </c>
      <c r="R2853" s="8" t="s">
        <v>967</v>
      </c>
      <c r="S2853" s="7" t="s">
        <v>18</v>
      </c>
      <c r="T2853" s="6"/>
      <c r="U2853" s="8"/>
    </row>
    <row r="2854" spans="1:34" ht="13" customHeight="1">
      <c r="A2854" s="8" t="s">
        <v>15245</v>
      </c>
      <c r="B2854" s="16">
        <v>30</v>
      </c>
      <c r="C2854" s="8" t="s">
        <v>20</v>
      </c>
      <c r="D2854" s="8" t="s">
        <v>30</v>
      </c>
      <c r="F2854" s="17">
        <v>41483</v>
      </c>
      <c r="H2854" s="8" t="s">
        <v>15246</v>
      </c>
      <c r="I2854" s="8" t="s">
        <v>123</v>
      </c>
      <c r="J2854" s="16" t="s">
        <v>15247</v>
      </c>
      <c r="K2854" s="2" t="s">
        <v>635</v>
      </c>
      <c r="L2854" s="8" t="s">
        <v>15248</v>
      </c>
      <c r="M2854" s="8" t="s">
        <v>27</v>
      </c>
      <c r="N2854" s="2" t="s">
        <v>15249</v>
      </c>
      <c r="O2854" s="8" t="s">
        <v>1013</v>
      </c>
      <c r="P2854" s="8" t="s">
        <v>401</v>
      </c>
      <c r="Q2854" s="12" t="s">
        <v>15250</v>
      </c>
      <c r="R2854" s="8" t="s">
        <v>100</v>
      </c>
      <c r="S2854" s="7" t="s">
        <v>28</v>
      </c>
      <c r="T2854" s="6"/>
      <c r="U2854" s="8"/>
    </row>
    <row r="2855" spans="1:34" ht="13" customHeight="1">
      <c r="A2855" s="8" t="s">
        <v>15251</v>
      </c>
      <c r="B2855" s="16">
        <v>28</v>
      </c>
      <c r="C2855" s="8" t="s">
        <v>20</v>
      </c>
      <c r="D2855" s="8" t="s">
        <v>37</v>
      </c>
      <c r="E2855" s="8" t="s">
        <v>15252</v>
      </c>
      <c r="F2855" s="17">
        <v>41483</v>
      </c>
      <c r="G2855" s="8" t="s">
        <v>15253</v>
      </c>
      <c r="H2855" s="8" t="s">
        <v>15254</v>
      </c>
      <c r="I2855" s="8" t="s">
        <v>69</v>
      </c>
      <c r="J2855" s="16" t="s">
        <v>15255</v>
      </c>
      <c r="K2855" s="2" t="s">
        <v>2272</v>
      </c>
      <c r="L2855" s="8" t="s">
        <v>15256</v>
      </c>
      <c r="M2855" s="8" t="s">
        <v>27</v>
      </c>
      <c r="N2855" s="2" t="s">
        <v>15257</v>
      </c>
      <c r="O2855" s="8" t="s">
        <v>400</v>
      </c>
      <c r="P2855" s="8" t="s">
        <v>401</v>
      </c>
      <c r="Q2855" s="12" t="s">
        <v>15258</v>
      </c>
      <c r="R2855" s="8" t="s">
        <v>100</v>
      </c>
      <c r="S2855" s="7" t="s">
        <v>28</v>
      </c>
      <c r="T2855" s="6"/>
      <c r="U2855" s="8"/>
    </row>
    <row r="2856" spans="1:34" ht="13" customHeight="1">
      <c r="A2856" s="8" t="s">
        <v>15259</v>
      </c>
      <c r="B2856" s="16">
        <v>31</v>
      </c>
      <c r="C2856" s="8" t="s">
        <v>20</v>
      </c>
      <c r="D2856" s="8" t="s">
        <v>37</v>
      </c>
      <c r="E2856" s="8" t="s">
        <v>15260</v>
      </c>
      <c r="F2856" s="17">
        <v>41483</v>
      </c>
      <c r="G2856" s="8" t="s">
        <v>15261</v>
      </c>
      <c r="H2856" s="8" t="s">
        <v>2524</v>
      </c>
      <c r="I2856" s="8" t="s">
        <v>73</v>
      </c>
      <c r="J2856" s="16" t="s">
        <v>15262</v>
      </c>
      <c r="K2856" s="2" t="s">
        <v>285</v>
      </c>
      <c r="L2856" s="8" t="s">
        <v>2525</v>
      </c>
      <c r="M2856" s="8" t="s">
        <v>27</v>
      </c>
      <c r="N2856" s="2" t="s">
        <v>15263</v>
      </c>
      <c r="O2856" s="8" t="s">
        <v>1013</v>
      </c>
      <c r="P2856" s="8" t="s">
        <v>401</v>
      </c>
      <c r="Q2856" s="12" t="s">
        <v>15264</v>
      </c>
      <c r="R2856" s="8" t="s">
        <v>100</v>
      </c>
      <c r="S2856" s="7" t="s">
        <v>28</v>
      </c>
      <c r="T2856" s="6"/>
      <c r="U2856" s="8"/>
    </row>
    <row r="2857" spans="1:34" ht="13" customHeight="1">
      <c r="A2857" s="8" t="s">
        <v>15270</v>
      </c>
      <c r="B2857" s="16">
        <v>33</v>
      </c>
      <c r="C2857" s="8" t="s">
        <v>20</v>
      </c>
      <c r="D2857" s="8" t="s">
        <v>48</v>
      </c>
      <c r="E2857" s="8" t="s">
        <v>15271</v>
      </c>
      <c r="F2857" s="17">
        <v>41482</v>
      </c>
      <c r="G2857" s="8" t="s">
        <v>15272</v>
      </c>
      <c r="H2857" s="8" t="s">
        <v>493</v>
      </c>
      <c r="I2857" s="8" t="s">
        <v>366</v>
      </c>
      <c r="J2857" s="16" t="s">
        <v>494</v>
      </c>
      <c r="K2857" s="2" t="s">
        <v>493</v>
      </c>
      <c r="L2857" s="8" t="s">
        <v>495</v>
      </c>
      <c r="M2857" s="8" t="s">
        <v>27</v>
      </c>
      <c r="N2857" s="2" t="s">
        <v>15273</v>
      </c>
      <c r="O2857" s="8" t="s">
        <v>550</v>
      </c>
      <c r="P2857" s="8" t="s">
        <v>401</v>
      </c>
      <c r="Q2857" s="12" t="s">
        <v>15274</v>
      </c>
      <c r="R2857" s="8" t="s">
        <v>100</v>
      </c>
      <c r="S2857" s="7" t="s">
        <v>28</v>
      </c>
      <c r="T2857" s="6"/>
      <c r="U2857" s="8"/>
    </row>
    <row r="2858" spans="1:34" ht="13" customHeight="1">
      <c r="A2858" s="8" t="s">
        <v>15265</v>
      </c>
      <c r="B2858" s="16">
        <v>42</v>
      </c>
      <c r="C2858" s="8" t="s">
        <v>20</v>
      </c>
      <c r="D2858" s="8" t="s">
        <v>48</v>
      </c>
      <c r="E2858" s="8" t="s">
        <v>15266</v>
      </c>
      <c r="F2858" s="17">
        <v>41482</v>
      </c>
      <c r="G2858" s="8" t="s">
        <v>15267</v>
      </c>
      <c r="H2858" s="8" t="s">
        <v>6483</v>
      </c>
      <c r="I2858" s="8" t="s">
        <v>62</v>
      </c>
      <c r="J2858" s="16">
        <v>33012</v>
      </c>
      <c r="K2858" s="2" t="s">
        <v>161</v>
      </c>
      <c r="L2858" s="8" t="s">
        <v>162</v>
      </c>
      <c r="M2858" s="8" t="s">
        <v>27</v>
      </c>
      <c r="N2858" s="2" t="s">
        <v>15268</v>
      </c>
      <c r="O2858" s="8" t="s">
        <v>29</v>
      </c>
      <c r="P2858" s="8" t="s">
        <v>401</v>
      </c>
      <c r="Q2858" s="12" t="s">
        <v>15269</v>
      </c>
      <c r="R2858" s="8" t="s">
        <v>100</v>
      </c>
      <c r="S2858" s="7" t="s">
        <v>28</v>
      </c>
      <c r="T2858" s="6"/>
      <c r="U2858" s="8"/>
    </row>
    <row r="2859" spans="1:34" ht="13" customHeight="1">
      <c r="A2859" s="8" t="s">
        <v>15275</v>
      </c>
      <c r="B2859" s="16">
        <v>49</v>
      </c>
      <c r="C2859" s="8" t="s">
        <v>114</v>
      </c>
      <c r="D2859" s="8" t="s">
        <v>30</v>
      </c>
      <c r="F2859" s="17">
        <v>41482</v>
      </c>
      <c r="G2859" s="8" t="s">
        <v>15276</v>
      </c>
      <c r="H2859" s="8" t="s">
        <v>3122</v>
      </c>
      <c r="I2859" s="8" t="s">
        <v>73</v>
      </c>
      <c r="J2859" s="16" t="s">
        <v>15277</v>
      </c>
      <c r="K2859" s="2" t="s">
        <v>15278</v>
      </c>
      <c r="L2859" s="8" t="s">
        <v>15279</v>
      </c>
      <c r="M2859" s="8" t="s">
        <v>27</v>
      </c>
      <c r="N2859" s="2" t="s">
        <v>15280</v>
      </c>
      <c r="O2859" s="8" t="s">
        <v>400</v>
      </c>
      <c r="P2859" s="8" t="s">
        <v>401</v>
      </c>
      <c r="Q2859" s="12" t="s">
        <v>15281</v>
      </c>
      <c r="R2859" s="8" t="s">
        <v>100</v>
      </c>
      <c r="S2859" s="7" t="s">
        <v>28</v>
      </c>
      <c r="T2859" s="6"/>
      <c r="U2859" s="8"/>
      <c r="Y2859" s="8"/>
      <c r="Z2859" s="8"/>
      <c r="AA2859" s="8"/>
      <c r="AB2859" s="8"/>
      <c r="AC2859" s="8"/>
      <c r="AD2859" s="8"/>
      <c r="AE2859" s="8"/>
      <c r="AF2859" s="8"/>
      <c r="AG2859" s="8"/>
      <c r="AH2859" s="8"/>
    </row>
    <row r="2860" spans="1:34" ht="13" customHeight="1">
      <c r="A2860" s="8" t="s">
        <v>15289</v>
      </c>
      <c r="B2860" s="16">
        <v>20</v>
      </c>
      <c r="C2860" s="8" t="s">
        <v>20</v>
      </c>
      <c r="D2860" s="8" t="s">
        <v>37</v>
      </c>
      <c r="E2860" s="8" t="s">
        <v>15290</v>
      </c>
      <c r="F2860" s="17">
        <v>41482</v>
      </c>
      <c r="G2860" s="8" t="s">
        <v>15291</v>
      </c>
      <c r="H2860" s="8" t="s">
        <v>15292</v>
      </c>
      <c r="I2860" s="8" t="s">
        <v>404</v>
      </c>
      <c r="J2860" s="16" t="s">
        <v>15293</v>
      </c>
      <c r="K2860" s="2" t="s">
        <v>4342</v>
      </c>
      <c r="L2860" s="8" t="s">
        <v>15294</v>
      </c>
      <c r="M2860" s="8" t="s">
        <v>27</v>
      </c>
      <c r="N2860" s="2" t="s">
        <v>15295</v>
      </c>
      <c r="O2860" s="8" t="s">
        <v>550</v>
      </c>
      <c r="P2860" s="8" t="s">
        <v>401</v>
      </c>
      <c r="Q2860" s="12" t="s">
        <v>15296</v>
      </c>
      <c r="R2860" s="8" t="s">
        <v>100</v>
      </c>
      <c r="S2860" s="7" t="s">
        <v>28</v>
      </c>
      <c r="T2860" s="6"/>
      <c r="U2860" s="8"/>
    </row>
    <row r="2861" spans="1:34" ht="13" customHeight="1">
      <c r="A2861" s="8" t="s">
        <v>15282</v>
      </c>
      <c r="B2861" s="16">
        <v>52</v>
      </c>
      <c r="C2861" s="8" t="s">
        <v>20</v>
      </c>
      <c r="D2861" s="8" t="s">
        <v>37</v>
      </c>
      <c r="F2861" s="17">
        <v>41482</v>
      </c>
      <c r="G2861" s="8" t="s">
        <v>15283</v>
      </c>
      <c r="H2861" s="8" t="s">
        <v>15284</v>
      </c>
      <c r="I2861" s="8" t="s">
        <v>81</v>
      </c>
      <c r="J2861" s="16" t="s">
        <v>15285</v>
      </c>
      <c r="K2861" s="2" t="s">
        <v>5130</v>
      </c>
      <c r="L2861" s="8" t="s">
        <v>15286</v>
      </c>
      <c r="M2861" s="8" t="s">
        <v>379</v>
      </c>
      <c r="N2861" s="2" t="s">
        <v>15287</v>
      </c>
      <c r="O2861" s="8" t="s">
        <v>400</v>
      </c>
      <c r="P2861" s="8" t="s">
        <v>401</v>
      </c>
      <c r="Q2861" s="12" t="s">
        <v>15288</v>
      </c>
      <c r="R2861" s="8" t="s">
        <v>100</v>
      </c>
      <c r="S2861" s="7" t="s">
        <v>18</v>
      </c>
      <c r="T2861" s="6"/>
      <c r="U2861" s="8"/>
    </row>
    <row r="2862" spans="1:34" ht="13" customHeight="1">
      <c r="A2862" s="8" t="s">
        <v>15297</v>
      </c>
      <c r="B2862" s="16" t="s">
        <v>13755</v>
      </c>
      <c r="C2862" s="8" t="s">
        <v>20</v>
      </c>
      <c r="D2862" s="8" t="s">
        <v>85</v>
      </c>
      <c r="E2862" s="8" t="s">
        <v>15298</v>
      </c>
      <c r="F2862" s="17">
        <v>41481</v>
      </c>
      <c r="G2862" s="8" t="s">
        <v>15299</v>
      </c>
      <c r="H2862" s="8" t="s">
        <v>1316</v>
      </c>
      <c r="I2862" s="8" t="s">
        <v>73</v>
      </c>
      <c r="J2862" s="16" t="s">
        <v>15300</v>
      </c>
      <c r="K2862" s="2" t="s">
        <v>1317</v>
      </c>
      <c r="L2862" s="8" t="s">
        <v>1318</v>
      </c>
      <c r="M2862" s="8" t="s">
        <v>27</v>
      </c>
      <c r="N2862" s="2" t="s">
        <v>15301</v>
      </c>
      <c r="O2862" s="8" t="s">
        <v>1161</v>
      </c>
      <c r="P2862" s="8" t="s">
        <v>1162</v>
      </c>
      <c r="Q2862" s="12" t="str">
        <f>HYPERLINK("http://pjmedia.com/tatler/2013/07/30/the-strange-killing-of-larry-eugene-jackson-jr-by-an-austin-police-detective/","http://pjmedia.com/tatler/2013/07/30/the-strange-killing-of-larry-eugene-jackson-jr-by-an-austin-police-detective/")</f>
        <v>http://pjmedia.com/tatler/2013/07/30/the-strange-killing-of-larry-eugene-jackson-jr-by-an-austin-police-detective/</v>
      </c>
      <c r="R2862" s="8" t="s">
        <v>100</v>
      </c>
      <c r="S2862" s="7" t="s">
        <v>18</v>
      </c>
      <c r="T2862" s="6"/>
      <c r="U2862" s="8"/>
      <c r="Y2862" s="8"/>
      <c r="Z2862" s="8"/>
      <c r="AA2862" s="8"/>
      <c r="AB2862" s="8"/>
      <c r="AC2862" s="8"/>
      <c r="AD2862" s="8"/>
      <c r="AE2862" s="8"/>
      <c r="AF2862" s="8"/>
      <c r="AG2862" s="8"/>
      <c r="AH2862" s="8"/>
    </row>
    <row r="2863" spans="1:34" ht="13" customHeight="1">
      <c r="A2863" s="8" t="s">
        <v>15302</v>
      </c>
      <c r="B2863" s="16">
        <v>30</v>
      </c>
      <c r="C2863" s="8" t="s">
        <v>20</v>
      </c>
      <c r="D2863" s="8" t="s">
        <v>48</v>
      </c>
      <c r="E2863" s="8" t="s">
        <v>15303</v>
      </c>
      <c r="F2863" s="17">
        <v>41481</v>
      </c>
      <c r="G2863" s="8" t="s">
        <v>15304</v>
      </c>
      <c r="H2863" s="8" t="s">
        <v>6383</v>
      </c>
      <c r="I2863" s="8" t="s">
        <v>45</v>
      </c>
      <c r="J2863" s="16" t="s">
        <v>6384</v>
      </c>
      <c r="K2863" s="2" t="s">
        <v>65</v>
      </c>
      <c r="L2863" s="8" t="s">
        <v>6385</v>
      </c>
      <c r="M2863" s="8" t="s">
        <v>27</v>
      </c>
      <c r="N2863" s="2" t="s">
        <v>15305</v>
      </c>
      <c r="O2863" s="8" t="s">
        <v>1013</v>
      </c>
      <c r="P2863" s="8" t="s">
        <v>401</v>
      </c>
      <c r="Q2863" s="12" t="s">
        <v>15306</v>
      </c>
      <c r="R2863" s="8" t="s">
        <v>100</v>
      </c>
      <c r="S2863" s="7" t="s">
        <v>28</v>
      </c>
      <c r="T2863" s="6"/>
      <c r="U2863" s="8"/>
    </row>
    <row r="2864" spans="1:34" ht="13" customHeight="1">
      <c r="A2864" s="8" t="s">
        <v>15307</v>
      </c>
      <c r="B2864" s="16">
        <v>29</v>
      </c>
      <c r="C2864" s="8" t="s">
        <v>20</v>
      </c>
      <c r="D2864" s="8" t="s">
        <v>85</v>
      </c>
      <c r="E2864" s="8" t="s">
        <v>15308</v>
      </c>
      <c r="F2864" s="17">
        <v>41480</v>
      </c>
      <c r="G2864" s="8" t="s">
        <v>15309</v>
      </c>
      <c r="H2864" s="8" t="s">
        <v>15310</v>
      </c>
      <c r="I2864" s="8" t="s">
        <v>423</v>
      </c>
      <c r="J2864" s="16" t="s">
        <v>15311</v>
      </c>
      <c r="K2864" s="2" t="s">
        <v>1703</v>
      </c>
      <c r="L2864" s="8" t="s">
        <v>3370</v>
      </c>
      <c r="M2864" s="8" t="s">
        <v>391</v>
      </c>
      <c r="N2864" s="2" t="s">
        <v>15312</v>
      </c>
      <c r="O2864" s="8" t="s">
        <v>1013</v>
      </c>
      <c r="P2864" s="8" t="s">
        <v>401</v>
      </c>
      <c r="Q2864" s="12" t="s">
        <v>15313</v>
      </c>
      <c r="R2864" s="8" t="s">
        <v>555</v>
      </c>
      <c r="S2864" s="7" t="s">
        <v>18</v>
      </c>
      <c r="T2864" s="6"/>
      <c r="U2864" s="8"/>
    </row>
    <row r="2865" spans="1:39" ht="13" customHeight="1">
      <c r="A2865" s="8" t="s">
        <v>3267</v>
      </c>
      <c r="B2865" s="16">
        <v>42</v>
      </c>
      <c r="C2865" s="8" t="s">
        <v>20</v>
      </c>
      <c r="D2865" s="8" t="s">
        <v>48</v>
      </c>
      <c r="F2865" s="17">
        <v>41480</v>
      </c>
      <c r="G2865" s="8" t="s">
        <v>15314</v>
      </c>
      <c r="H2865" s="8" t="s">
        <v>5227</v>
      </c>
      <c r="I2865" s="8" t="s">
        <v>45</v>
      </c>
      <c r="J2865" s="16" t="s">
        <v>9016</v>
      </c>
      <c r="K2865" s="2" t="s">
        <v>98</v>
      </c>
      <c r="L2865" s="8" t="s">
        <v>5014</v>
      </c>
      <c r="M2865" s="8" t="s">
        <v>27</v>
      </c>
      <c r="N2865" s="2" t="s">
        <v>15315</v>
      </c>
      <c r="O2865" s="8" t="s">
        <v>400</v>
      </c>
      <c r="P2865" s="8" t="s">
        <v>401</v>
      </c>
      <c r="Q2865" s="12" t="s">
        <v>15316</v>
      </c>
      <c r="R2865" s="8" t="s">
        <v>100</v>
      </c>
      <c r="S2865" s="7" t="s">
        <v>18</v>
      </c>
      <c r="T2865" s="6"/>
      <c r="U2865" s="8"/>
    </row>
    <row r="2866" spans="1:39" ht="13" customHeight="1">
      <c r="A2866" s="8" t="s">
        <v>15317</v>
      </c>
      <c r="B2866" s="16">
        <v>42</v>
      </c>
      <c r="C2866" s="8" t="s">
        <v>20</v>
      </c>
      <c r="D2866" s="8" t="s">
        <v>48</v>
      </c>
      <c r="F2866" s="17">
        <v>41480</v>
      </c>
      <c r="G2866" s="8" t="s">
        <v>15318</v>
      </c>
      <c r="H2866" s="8" t="s">
        <v>5227</v>
      </c>
      <c r="I2866" s="8" t="s">
        <v>45</v>
      </c>
      <c r="J2866" s="16" t="s">
        <v>9016</v>
      </c>
      <c r="K2866" s="2" t="s">
        <v>98</v>
      </c>
      <c r="L2866" s="8" t="s">
        <v>14218</v>
      </c>
      <c r="M2866" s="8" t="s">
        <v>27</v>
      </c>
      <c r="N2866" s="2" t="s">
        <v>15319</v>
      </c>
      <c r="O2866" s="8" t="s">
        <v>1013</v>
      </c>
      <c r="P2866" s="8" t="s">
        <v>401</v>
      </c>
      <c r="Q2866" s="12" t="s">
        <v>15320</v>
      </c>
      <c r="R2866" s="8" t="s">
        <v>29</v>
      </c>
      <c r="S2866" s="7" t="s">
        <v>35</v>
      </c>
      <c r="T2866" s="6"/>
      <c r="U2866" s="8"/>
    </row>
    <row r="2867" spans="1:39" ht="13" customHeight="1">
      <c r="A2867" s="8" t="s">
        <v>15321</v>
      </c>
      <c r="B2867" s="16">
        <v>49</v>
      </c>
      <c r="C2867" s="8" t="s">
        <v>20</v>
      </c>
      <c r="D2867" s="8" t="s">
        <v>30</v>
      </c>
      <c r="F2867" s="17">
        <v>41480</v>
      </c>
      <c r="G2867" s="8" t="s">
        <v>15322</v>
      </c>
      <c r="H2867" s="8" t="s">
        <v>1108</v>
      </c>
      <c r="I2867" s="8" t="s">
        <v>366</v>
      </c>
      <c r="J2867" s="16" t="s">
        <v>15323</v>
      </c>
      <c r="K2867" s="2" t="s">
        <v>672</v>
      </c>
      <c r="L2867" s="8" t="s">
        <v>5046</v>
      </c>
      <c r="M2867" s="8" t="s">
        <v>27</v>
      </c>
      <c r="N2867" s="2" t="s">
        <v>15324</v>
      </c>
      <c r="O2867" s="8" t="s">
        <v>550</v>
      </c>
      <c r="P2867" s="8" t="s">
        <v>401</v>
      </c>
      <c r="Q2867" s="12" t="s">
        <v>15325</v>
      </c>
      <c r="R2867" s="8" t="s">
        <v>100</v>
      </c>
      <c r="S2867" s="7" t="s">
        <v>28</v>
      </c>
      <c r="T2867" s="6"/>
      <c r="U2867" s="8"/>
    </row>
    <row r="2868" spans="1:39" ht="13" customHeight="1">
      <c r="A2868" s="8" t="s">
        <v>15326</v>
      </c>
      <c r="B2868" s="16">
        <v>32</v>
      </c>
      <c r="C2868" s="8" t="s">
        <v>20</v>
      </c>
      <c r="D2868" s="8" t="s">
        <v>37</v>
      </c>
      <c r="E2868" s="8" t="s">
        <v>15327</v>
      </c>
      <c r="F2868" s="17">
        <v>41479</v>
      </c>
      <c r="G2868" s="8" t="s">
        <v>15328</v>
      </c>
      <c r="H2868" s="8" t="s">
        <v>547</v>
      </c>
      <c r="I2868" s="8" t="s">
        <v>69</v>
      </c>
      <c r="J2868" s="16" t="s">
        <v>15329</v>
      </c>
      <c r="K2868" s="2" t="s">
        <v>548</v>
      </c>
      <c r="L2868" s="8" t="s">
        <v>549</v>
      </c>
      <c r="M2868" s="8" t="s">
        <v>27</v>
      </c>
      <c r="N2868" s="2" t="s">
        <v>15330</v>
      </c>
      <c r="O2868" s="8" t="s">
        <v>29</v>
      </c>
      <c r="P2868" s="8" t="s">
        <v>401</v>
      </c>
      <c r="Q2868" s="12" t="s">
        <v>15331</v>
      </c>
      <c r="R2868" s="8" t="s">
        <v>555</v>
      </c>
      <c r="S2868" s="7" t="s">
        <v>28</v>
      </c>
      <c r="T2868" s="6"/>
      <c r="U2868" s="8"/>
    </row>
    <row r="2869" spans="1:39" ht="13" customHeight="1">
      <c r="A2869" s="8" t="s">
        <v>15332</v>
      </c>
      <c r="B2869" s="16">
        <v>35</v>
      </c>
      <c r="C2869" s="8" t="s">
        <v>20</v>
      </c>
      <c r="D2869" s="8" t="s">
        <v>21</v>
      </c>
      <c r="E2869" s="8" t="s">
        <v>15333</v>
      </c>
      <c r="F2869" s="17">
        <v>41478</v>
      </c>
      <c r="G2869" s="8" t="s">
        <v>15334</v>
      </c>
      <c r="H2869" s="8" t="s">
        <v>657</v>
      </c>
      <c r="I2869" s="8" t="s">
        <v>269</v>
      </c>
      <c r="J2869" s="16" t="s">
        <v>15335</v>
      </c>
      <c r="K2869" s="2" t="s">
        <v>570</v>
      </c>
      <c r="L2869" s="8" t="s">
        <v>571</v>
      </c>
      <c r="M2869" s="8" t="s">
        <v>27</v>
      </c>
      <c r="N2869" s="2" t="s">
        <v>15336</v>
      </c>
      <c r="O2869" s="8" t="s">
        <v>550</v>
      </c>
      <c r="P2869" s="8" t="s">
        <v>401</v>
      </c>
      <c r="Q2869" s="12" t="s">
        <v>15337</v>
      </c>
      <c r="R2869" s="8" t="s">
        <v>100</v>
      </c>
      <c r="S2869" s="7" t="s">
        <v>28</v>
      </c>
      <c r="T2869" s="6"/>
      <c r="U2869" s="8"/>
      <c r="AI2869" s="8"/>
      <c r="AJ2869" s="8"/>
      <c r="AK2869" s="8"/>
      <c r="AL2869" s="8"/>
      <c r="AM2869" s="8"/>
    </row>
    <row r="2870" spans="1:39" ht="13" customHeight="1">
      <c r="A2870" s="8" t="s">
        <v>15338</v>
      </c>
      <c r="B2870" s="16">
        <v>40</v>
      </c>
      <c r="C2870" s="8" t="s">
        <v>20</v>
      </c>
      <c r="D2870" s="8" t="s">
        <v>85</v>
      </c>
      <c r="E2870" s="8" t="s">
        <v>15339</v>
      </c>
      <c r="F2870" s="17">
        <v>41478</v>
      </c>
      <c r="G2870" s="8" t="s">
        <v>15340</v>
      </c>
      <c r="H2870" s="8" t="s">
        <v>12640</v>
      </c>
      <c r="I2870" s="8" t="s">
        <v>303</v>
      </c>
      <c r="J2870" s="16" t="s">
        <v>13957</v>
      </c>
      <c r="K2870" s="2" t="s">
        <v>13958</v>
      </c>
      <c r="L2870" s="8" t="s">
        <v>1633</v>
      </c>
      <c r="M2870" s="8" t="s">
        <v>3386</v>
      </c>
      <c r="N2870" s="2" t="s">
        <v>21634</v>
      </c>
      <c r="O2870" s="8" t="s">
        <v>400</v>
      </c>
      <c r="P2870" s="8" t="s">
        <v>401</v>
      </c>
      <c r="Q2870" s="12" t="s">
        <v>15341</v>
      </c>
      <c r="R2870" s="8" t="s">
        <v>100</v>
      </c>
      <c r="S2870" s="7" t="s">
        <v>18</v>
      </c>
      <c r="T2870" s="6"/>
      <c r="U2870" s="8"/>
    </row>
    <row r="2871" spans="1:39" ht="13" customHeight="1">
      <c r="A2871" s="8" t="s">
        <v>15342</v>
      </c>
      <c r="B2871" s="16">
        <v>43</v>
      </c>
      <c r="C2871" s="8" t="s">
        <v>20</v>
      </c>
      <c r="D2871" s="8" t="s">
        <v>30</v>
      </c>
      <c r="F2871" s="17">
        <v>41478</v>
      </c>
      <c r="G2871" s="8" t="s">
        <v>15343</v>
      </c>
      <c r="H2871" s="8" t="s">
        <v>3930</v>
      </c>
      <c r="I2871" s="8" t="s">
        <v>123</v>
      </c>
      <c r="J2871" s="16" t="s">
        <v>11195</v>
      </c>
      <c r="K2871" s="2" t="s">
        <v>635</v>
      </c>
      <c r="L2871" s="8" t="s">
        <v>15344</v>
      </c>
      <c r="M2871" s="8" t="s">
        <v>27</v>
      </c>
      <c r="N2871" s="2" t="s">
        <v>21497</v>
      </c>
      <c r="O2871" s="8" t="s">
        <v>29</v>
      </c>
      <c r="P2871" s="8" t="s">
        <v>401</v>
      </c>
      <c r="Q2871" s="12" t="s">
        <v>15345</v>
      </c>
      <c r="R2871" s="8" t="s">
        <v>100</v>
      </c>
      <c r="S2871" s="7" t="s">
        <v>18</v>
      </c>
      <c r="T2871" s="6"/>
      <c r="U2871" s="8"/>
    </row>
    <row r="2872" spans="1:39" ht="13" customHeight="1">
      <c r="A2872" s="8" t="s">
        <v>15352</v>
      </c>
      <c r="B2872" s="16">
        <v>21</v>
      </c>
      <c r="C2872" s="8" t="s">
        <v>20</v>
      </c>
      <c r="D2872" s="8" t="s">
        <v>85</v>
      </c>
      <c r="E2872" s="8" t="s">
        <v>15353</v>
      </c>
      <c r="F2872" s="17">
        <v>41477</v>
      </c>
      <c r="G2872" s="8" t="s">
        <v>15354</v>
      </c>
      <c r="H2872" s="8" t="s">
        <v>1103</v>
      </c>
      <c r="I2872" s="8" t="s">
        <v>404</v>
      </c>
      <c r="J2872" s="16" t="s">
        <v>15355</v>
      </c>
      <c r="K2872" s="2" t="s">
        <v>1103</v>
      </c>
      <c r="L2872" s="8" t="s">
        <v>1104</v>
      </c>
      <c r="M2872" s="8" t="s">
        <v>27</v>
      </c>
      <c r="N2872" s="2" t="s">
        <v>15356</v>
      </c>
      <c r="O2872" s="8" t="s">
        <v>550</v>
      </c>
      <c r="P2872" s="8" t="s">
        <v>401</v>
      </c>
      <c r="Q2872" s="12" t="s">
        <v>15357</v>
      </c>
      <c r="R2872" s="8" t="s">
        <v>100</v>
      </c>
      <c r="S2872" s="7" t="s">
        <v>28</v>
      </c>
      <c r="T2872" s="6"/>
      <c r="U2872" s="8"/>
    </row>
    <row r="2873" spans="1:39" ht="13" customHeight="1">
      <c r="A2873" s="8" t="s">
        <v>15346</v>
      </c>
      <c r="B2873" s="16">
        <v>37</v>
      </c>
      <c r="C2873" s="8" t="s">
        <v>114</v>
      </c>
      <c r="D2873" s="8" t="s">
        <v>85</v>
      </c>
      <c r="E2873" s="8" t="s">
        <v>15347</v>
      </c>
      <c r="F2873" s="17">
        <v>41477</v>
      </c>
      <c r="G2873" s="8" t="s">
        <v>15348</v>
      </c>
      <c r="H2873" s="8" t="s">
        <v>757</v>
      </c>
      <c r="I2873" s="8" t="s">
        <v>423</v>
      </c>
      <c r="J2873" s="16" t="s">
        <v>15349</v>
      </c>
      <c r="K2873" s="2" t="s">
        <v>757</v>
      </c>
      <c r="L2873" s="8" t="s">
        <v>582</v>
      </c>
      <c r="M2873" s="8" t="s">
        <v>3386</v>
      </c>
      <c r="N2873" s="2" t="s">
        <v>15350</v>
      </c>
      <c r="O2873" s="8" t="s">
        <v>400</v>
      </c>
      <c r="P2873" s="8" t="s">
        <v>401</v>
      </c>
      <c r="Q2873" s="12" t="s">
        <v>15351</v>
      </c>
      <c r="R2873" s="8" t="s">
        <v>100</v>
      </c>
      <c r="S2873" s="7" t="s">
        <v>18</v>
      </c>
      <c r="T2873" s="6"/>
      <c r="U2873" s="8"/>
    </row>
    <row r="2874" spans="1:39" ht="13" customHeight="1">
      <c r="A2874" s="8" t="s">
        <v>15358</v>
      </c>
      <c r="B2874" s="16">
        <v>40</v>
      </c>
      <c r="C2874" s="8" t="s">
        <v>20</v>
      </c>
      <c r="D2874" s="8" t="s">
        <v>48</v>
      </c>
      <c r="F2874" s="17">
        <v>41477</v>
      </c>
      <c r="G2874" s="8" t="s">
        <v>15359</v>
      </c>
      <c r="H2874" s="8" t="s">
        <v>15360</v>
      </c>
      <c r="I2874" s="8" t="s">
        <v>370</v>
      </c>
      <c r="J2874" s="16" t="s">
        <v>15361</v>
      </c>
      <c r="K2874" s="2" t="s">
        <v>3303</v>
      </c>
      <c r="L2874" s="8" t="s">
        <v>15362</v>
      </c>
      <c r="M2874" s="8" t="s">
        <v>391</v>
      </c>
      <c r="N2874" s="2" t="s">
        <v>15363</v>
      </c>
      <c r="O2874" s="8" t="s">
        <v>400</v>
      </c>
      <c r="P2874" s="8" t="s">
        <v>401</v>
      </c>
      <c r="Q2874" s="12" t="s">
        <v>15364</v>
      </c>
      <c r="R2874" s="8" t="s">
        <v>100</v>
      </c>
      <c r="S2874" s="7" t="s">
        <v>18</v>
      </c>
      <c r="T2874" s="6"/>
      <c r="U2874" s="8"/>
    </row>
    <row r="2875" spans="1:39" ht="13" customHeight="1">
      <c r="A2875" s="8" t="s">
        <v>15365</v>
      </c>
      <c r="B2875" s="16">
        <v>28</v>
      </c>
      <c r="C2875" s="8" t="s">
        <v>20</v>
      </c>
      <c r="D2875" s="8" t="s">
        <v>85</v>
      </c>
      <c r="E2875" s="8" t="s">
        <v>15366</v>
      </c>
      <c r="F2875" s="17">
        <v>41476</v>
      </c>
      <c r="G2875" s="8" t="s">
        <v>15367</v>
      </c>
      <c r="H2875" s="8" t="s">
        <v>224</v>
      </c>
      <c r="I2875" s="8" t="s">
        <v>225</v>
      </c>
      <c r="J2875" s="16" t="s">
        <v>15368</v>
      </c>
      <c r="K2875" s="2" t="s">
        <v>3834</v>
      </c>
      <c r="L2875" s="8" t="s">
        <v>226</v>
      </c>
      <c r="M2875" s="8" t="s">
        <v>391</v>
      </c>
      <c r="N2875" s="2" t="s">
        <v>15369</v>
      </c>
      <c r="O2875" s="8" t="s">
        <v>1013</v>
      </c>
      <c r="P2875" s="8" t="s">
        <v>401</v>
      </c>
      <c r="Q2875" s="12" t="s">
        <v>21498</v>
      </c>
      <c r="R2875" s="8" t="s">
        <v>100</v>
      </c>
      <c r="S2875" s="7" t="s">
        <v>18</v>
      </c>
      <c r="T2875" s="6"/>
      <c r="U2875" s="8"/>
      <c r="V2875" s="8"/>
      <c r="W2875" s="8"/>
      <c r="X2875" s="8"/>
    </row>
    <row r="2876" spans="1:39" ht="13" customHeight="1">
      <c r="A2876" s="8" t="s">
        <v>15378</v>
      </c>
      <c r="B2876" s="16">
        <v>28</v>
      </c>
      <c r="C2876" s="8" t="s">
        <v>20</v>
      </c>
      <c r="D2876" s="8" t="s">
        <v>37</v>
      </c>
      <c r="E2876" s="8" t="s">
        <v>15379</v>
      </c>
      <c r="F2876" s="17">
        <v>41476</v>
      </c>
      <c r="G2876" s="8" t="s">
        <v>15380</v>
      </c>
      <c r="H2876" s="8" t="s">
        <v>15381</v>
      </c>
      <c r="I2876" s="8" t="s">
        <v>366</v>
      </c>
      <c r="J2876" s="16" t="s">
        <v>15382</v>
      </c>
      <c r="K2876" s="2" t="s">
        <v>15381</v>
      </c>
      <c r="L2876" s="8" t="s">
        <v>15383</v>
      </c>
      <c r="M2876" s="8" t="s">
        <v>27</v>
      </c>
      <c r="N2876" s="2" t="s">
        <v>15384</v>
      </c>
      <c r="O2876" s="8" t="s">
        <v>550</v>
      </c>
      <c r="P2876" s="8" t="s">
        <v>401</v>
      </c>
      <c r="Q2876" s="12" t="str">
        <f>HYPERLINK("http://www.wral.com/suspect-killed-in-officer-involved-shooting-identified/12688890/","http://www.wral.com/suspect-killed-in-officer-involved-shooting-identified/12688890/")</f>
        <v>http://www.wral.com/suspect-killed-in-officer-involved-shooting-identified/12688890/</v>
      </c>
      <c r="R2876" s="8" t="s">
        <v>100</v>
      </c>
      <c r="S2876" s="7" t="s">
        <v>28</v>
      </c>
      <c r="T2876" s="6"/>
      <c r="U2876" s="8"/>
      <c r="V2876" s="8"/>
      <c r="W2876" s="8"/>
      <c r="X2876" s="8"/>
    </row>
    <row r="2877" spans="1:39" ht="13" customHeight="1">
      <c r="A2877" s="8" t="s">
        <v>15370</v>
      </c>
      <c r="B2877" s="16">
        <v>36</v>
      </c>
      <c r="C2877" s="8" t="s">
        <v>20</v>
      </c>
      <c r="D2877" s="8" t="s">
        <v>37</v>
      </c>
      <c r="E2877" s="8" t="s">
        <v>15371</v>
      </c>
      <c r="F2877" s="17">
        <v>41476</v>
      </c>
      <c r="G2877" s="8" t="s">
        <v>15372</v>
      </c>
      <c r="H2877" s="8" t="s">
        <v>15373</v>
      </c>
      <c r="I2877" s="8" t="s">
        <v>1720</v>
      </c>
      <c r="J2877" s="16" t="s">
        <v>15374</v>
      </c>
      <c r="K2877" s="2" t="s">
        <v>15373</v>
      </c>
      <c r="L2877" s="8" t="s">
        <v>15375</v>
      </c>
      <c r="M2877" s="8" t="s">
        <v>27</v>
      </c>
      <c r="N2877" s="2" t="s">
        <v>15376</v>
      </c>
      <c r="O2877" s="8" t="s">
        <v>1013</v>
      </c>
      <c r="P2877" s="8" t="s">
        <v>401</v>
      </c>
      <c r="Q2877" s="12" t="s">
        <v>15377</v>
      </c>
      <c r="R2877" s="8" t="s">
        <v>100</v>
      </c>
      <c r="S2877" s="7" t="s">
        <v>28</v>
      </c>
      <c r="T2877" s="6"/>
      <c r="U2877" s="8"/>
    </row>
    <row r="2878" spans="1:39" ht="13" customHeight="1">
      <c r="A2878" s="8" t="s">
        <v>15391</v>
      </c>
      <c r="B2878" s="16">
        <v>24</v>
      </c>
      <c r="C2878" s="8" t="s">
        <v>20</v>
      </c>
      <c r="D2878" s="8" t="s">
        <v>30</v>
      </c>
      <c r="F2878" s="17">
        <v>41475</v>
      </c>
      <c r="G2878" s="8" t="s">
        <v>15392</v>
      </c>
      <c r="H2878" s="8" t="s">
        <v>4121</v>
      </c>
      <c r="I2878" s="8" t="s">
        <v>173</v>
      </c>
      <c r="J2878" s="16" t="s">
        <v>4122</v>
      </c>
      <c r="K2878" s="2" t="s">
        <v>3324</v>
      </c>
      <c r="L2878" s="8" t="s">
        <v>15393</v>
      </c>
      <c r="M2878" s="8" t="s">
        <v>27</v>
      </c>
      <c r="N2878" s="2" t="s">
        <v>15394</v>
      </c>
      <c r="O2878" s="8" t="s">
        <v>1013</v>
      </c>
      <c r="P2878" s="8" t="s">
        <v>401</v>
      </c>
      <c r="Q2878" s="12" t="s">
        <v>15395</v>
      </c>
      <c r="R2878" s="8" t="s">
        <v>100</v>
      </c>
      <c r="S2878" s="7" t="s">
        <v>28</v>
      </c>
      <c r="T2878" s="6"/>
      <c r="U2878" s="8"/>
    </row>
    <row r="2879" spans="1:39" ht="13" customHeight="1">
      <c r="A2879" s="8" t="s">
        <v>15385</v>
      </c>
      <c r="B2879" s="16">
        <v>49</v>
      </c>
      <c r="C2879" s="8" t="s">
        <v>20</v>
      </c>
      <c r="D2879" s="8" t="s">
        <v>30</v>
      </c>
      <c r="F2879" s="17">
        <v>41475</v>
      </c>
      <c r="G2879" s="8" t="s">
        <v>15386</v>
      </c>
      <c r="H2879" s="8" t="s">
        <v>15387</v>
      </c>
      <c r="I2879" s="8" t="s">
        <v>52</v>
      </c>
      <c r="J2879" s="16" t="s">
        <v>15388</v>
      </c>
      <c r="K2879" s="2" t="s">
        <v>1596</v>
      </c>
      <c r="L2879" s="8" t="s">
        <v>231</v>
      </c>
      <c r="M2879" s="8" t="s">
        <v>27</v>
      </c>
      <c r="N2879" s="2" t="s">
        <v>15389</v>
      </c>
      <c r="O2879" s="8" t="s">
        <v>1013</v>
      </c>
      <c r="P2879" s="8" t="s">
        <v>401</v>
      </c>
      <c r="Q2879" s="12" t="s">
        <v>15390</v>
      </c>
      <c r="R2879" s="8" t="s">
        <v>100</v>
      </c>
      <c r="S2879" s="7" t="s">
        <v>28</v>
      </c>
      <c r="T2879" s="6"/>
      <c r="U2879" s="8"/>
    </row>
    <row r="2880" spans="1:39" ht="13" customHeight="1">
      <c r="A2880" s="8" t="s">
        <v>15396</v>
      </c>
      <c r="B2880" s="16">
        <v>47</v>
      </c>
      <c r="C2880" s="8" t="s">
        <v>20</v>
      </c>
      <c r="D2880" s="8" t="s">
        <v>85</v>
      </c>
      <c r="E2880" s="8" t="s">
        <v>15397</v>
      </c>
      <c r="F2880" s="17">
        <v>41474</v>
      </c>
      <c r="G2880" s="8" t="s">
        <v>15398</v>
      </c>
      <c r="H2880" s="8" t="s">
        <v>4915</v>
      </c>
      <c r="I2880" s="8" t="s">
        <v>45</v>
      </c>
      <c r="J2880" s="16" t="s">
        <v>4916</v>
      </c>
      <c r="K2880" s="2" t="s">
        <v>3442</v>
      </c>
      <c r="L2880" s="8" t="s">
        <v>4917</v>
      </c>
      <c r="M2880" s="8" t="s">
        <v>27</v>
      </c>
      <c r="N2880" s="2" t="s">
        <v>15399</v>
      </c>
      <c r="O2880" s="8" t="s">
        <v>550</v>
      </c>
      <c r="P2880" s="8" t="s">
        <v>401</v>
      </c>
      <c r="Q2880" s="12" t="s">
        <v>15400</v>
      </c>
      <c r="R2880" s="8" t="s">
        <v>100</v>
      </c>
      <c r="S2880" s="7" t="s">
        <v>28</v>
      </c>
      <c r="T2880" s="6"/>
      <c r="U2880" s="8"/>
    </row>
    <row r="2881" spans="1:39" ht="13" customHeight="1">
      <c r="A2881" s="8" t="s">
        <v>15401</v>
      </c>
      <c r="B2881" s="16">
        <v>29</v>
      </c>
      <c r="C2881" s="8" t="s">
        <v>20</v>
      </c>
      <c r="D2881" s="8" t="s">
        <v>48</v>
      </c>
      <c r="E2881" s="8" t="s">
        <v>15402</v>
      </c>
      <c r="F2881" s="17">
        <v>41474</v>
      </c>
      <c r="G2881" s="8" t="s">
        <v>15403</v>
      </c>
      <c r="H2881" s="8" t="s">
        <v>970</v>
      </c>
      <c r="I2881" s="8" t="s">
        <v>45</v>
      </c>
      <c r="J2881" s="16" t="s">
        <v>15404</v>
      </c>
      <c r="K2881" s="2" t="s">
        <v>98</v>
      </c>
      <c r="L2881" s="8" t="s">
        <v>5014</v>
      </c>
      <c r="M2881" s="8" t="s">
        <v>27</v>
      </c>
      <c r="N2881" s="2" t="s">
        <v>15405</v>
      </c>
      <c r="O2881" s="8" t="s">
        <v>1013</v>
      </c>
      <c r="P2881" s="8" t="s">
        <v>401</v>
      </c>
      <c r="Q2881" s="12" t="s">
        <v>15406</v>
      </c>
      <c r="R2881" s="8" t="s">
        <v>29</v>
      </c>
      <c r="S2881" s="7" t="s">
        <v>35</v>
      </c>
      <c r="T2881" s="6"/>
      <c r="U2881" s="8"/>
      <c r="V2881" s="8"/>
      <c r="W2881" s="8"/>
      <c r="X2881" s="8"/>
    </row>
    <row r="2882" spans="1:39" ht="13" customHeight="1">
      <c r="A2882" s="8" t="s">
        <v>15416</v>
      </c>
      <c r="B2882" s="16">
        <v>46</v>
      </c>
      <c r="C2882" s="8" t="s">
        <v>20</v>
      </c>
      <c r="D2882" s="8" t="s">
        <v>37</v>
      </c>
      <c r="E2882" s="8" t="s">
        <v>15417</v>
      </c>
      <c r="F2882" s="17">
        <v>41474</v>
      </c>
      <c r="G2882" s="8" t="s">
        <v>15418</v>
      </c>
      <c r="H2882" s="8" t="s">
        <v>15419</v>
      </c>
      <c r="I2882" s="8" t="s">
        <v>404</v>
      </c>
      <c r="J2882" s="16" t="s">
        <v>15420</v>
      </c>
      <c r="K2882" s="2" t="s">
        <v>12052</v>
      </c>
      <c r="L2882" s="8" t="s">
        <v>9400</v>
      </c>
      <c r="M2882" s="8" t="s">
        <v>27</v>
      </c>
      <c r="N2882" s="2" t="s">
        <v>15421</v>
      </c>
      <c r="O2882" s="8" t="s">
        <v>1013</v>
      </c>
      <c r="P2882" s="8" t="s">
        <v>401</v>
      </c>
      <c r="Q2882" s="12" t="s">
        <v>15422</v>
      </c>
      <c r="R2882" s="8" t="s">
        <v>100</v>
      </c>
      <c r="S2882" s="7" t="s">
        <v>28</v>
      </c>
      <c r="T2882" s="6"/>
      <c r="U2882" s="8"/>
    </row>
    <row r="2883" spans="1:39" ht="13" customHeight="1">
      <c r="A2883" s="8" t="s">
        <v>15407</v>
      </c>
      <c r="B2883" s="16" t="s">
        <v>15408</v>
      </c>
      <c r="C2883" s="8" t="s">
        <v>20</v>
      </c>
      <c r="D2883" s="8" t="s">
        <v>37</v>
      </c>
      <c r="E2883" s="8" t="s">
        <v>15409</v>
      </c>
      <c r="F2883" s="17">
        <v>41474</v>
      </c>
      <c r="G2883" s="8" t="s">
        <v>15410</v>
      </c>
      <c r="H2883" s="8" t="s">
        <v>15411</v>
      </c>
      <c r="I2883" s="8" t="s">
        <v>857</v>
      </c>
      <c r="J2883" s="16" t="s">
        <v>15412</v>
      </c>
      <c r="K2883" s="2" t="s">
        <v>858</v>
      </c>
      <c r="L2883" s="8" t="s">
        <v>15413</v>
      </c>
      <c r="M2883" s="8" t="s">
        <v>27</v>
      </c>
      <c r="N2883" s="2" t="s">
        <v>15414</v>
      </c>
      <c r="O2883" s="8" t="s">
        <v>29</v>
      </c>
      <c r="P2883" s="8" t="s">
        <v>401</v>
      </c>
      <c r="Q2883" s="12" t="s">
        <v>15415</v>
      </c>
      <c r="R2883" s="8" t="s">
        <v>100</v>
      </c>
      <c r="S2883" s="7" t="s">
        <v>28</v>
      </c>
      <c r="T2883" s="6"/>
      <c r="U2883" s="8"/>
    </row>
    <row r="2884" spans="1:39" ht="13" customHeight="1">
      <c r="A2884" s="8" t="s">
        <v>15423</v>
      </c>
      <c r="B2884" s="16">
        <v>34</v>
      </c>
      <c r="C2884" s="8" t="s">
        <v>20</v>
      </c>
      <c r="D2884" s="8" t="s">
        <v>21</v>
      </c>
      <c r="F2884" s="17">
        <v>41473</v>
      </c>
      <c r="G2884" s="8" t="s">
        <v>15424</v>
      </c>
      <c r="H2884" s="8" t="s">
        <v>51</v>
      </c>
      <c r="I2884" s="8" t="s">
        <v>32</v>
      </c>
      <c r="J2884" s="16" t="s">
        <v>15425</v>
      </c>
      <c r="K2884" s="2" t="s">
        <v>2599</v>
      </c>
      <c r="L2884" s="8" t="s">
        <v>11131</v>
      </c>
      <c r="M2884" s="8" t="s">
        <v>27</v>
      </c>
      <c r="N2884" s="2" t="s">
        <v>15426</v>
      </c>
      <c r="O2884" s="8" t="s">
        <v>400</v>
      </c>
      <c r="P2884" s="8" t="s">
        <v>401</v>
      </c>
      <c r="Q2884" s="12" t="s">
        <v>15427</v>
      </c>
      <c r="R2884" s="8" t="s">
        <v>100</v>
      </c>
      <c r="S2884" s="7" t="s">
        <v>28</v>
      </c>
      <c r="T2884" s="6"/>
      <c r="U2884" s="8"/>
      <c r="AI2884" s="8"/>
      <c r="AJ2884" s="8"/>
      <c r="AK2884" s="8"/>
      <c r="AL2884" s="8"/>
      <c r="AM2884" s="8"/>
    </row>
    <row r="2885" spans="1:39" ht="13" customHeight="1">
      <c r="A2885" s="8" t="s">
        <v>15434</v>
      </c>
      <c r="B2885" s="16">
        <v>44</v>
      </c>
      <c r="C2885" s="8" t="s">
        <v>20</v>
      </c>
      <c r="D2885" s="8" t="s">
        <v>85</v>
      </c>
      <c r="E2885" s="8" t="s">
        <v>15435</v>
      </c>
      <c r="F2885" s="17">
        <v>41473</v>
      </c>
      <c r="G2885" s="8" t="s">
        <v>15436</v>
      </c>
      <c r="H2885" s="8" t="s">
        <v>1596</v>
      </c>
      <c r="I2885" s="8" t="s">
        <v>52</v>
      </c>
      <c r="J2885" s="16" t="s">
        <v>10088</v>
      </c>
      <c r="K2885" s="2" t="s">
        <v>4727</v>
      </c>
      <c r="L2885" s="8" t="s">
        <v>2782</v>
      </c>
      <c r="M2885" s="8" t="s">
        <v>3169</v>
      </c>
      <c r="N2885" s="2" t="s">
        <v>15437</v>
      </c>
      <c r="O2885" s="8" t="s">
        <v>550</v>
      </c>
      <c r="P2885" s="8" t="s">
        <v>401</v>
      </c>
      <c r="Q2885" s="12" t="s">
        <v>15438</v>
      </c>
      <c r="R2885" s="8" t="s">
        <v>100</v>
      </c>
      <c r="S2885" s="7" t="s">
        <v>18</v>
      </c>
      <c r="T2885" s="6"/>
      <c r="U2885" s="8"/>
    </row>
    <row r="2886" spans="1:39" ht="13" customHeight="1">
      <c r="A2886" s="8" t="s">
        <v>15439</v>
      </c>
      <c r="B2886" s="16">
        <v>23</v>
      </c>
      <c r="C2886" s="8" t="s">
        <v>20</v>
      </c>
      <c r="D2886" s="8" t="s">
        <v>85</v>
      </c>
      <c r="F2886" s="17">
        <v>41473</v>
      </c>
      <c r="G2886" s="8" t="s">
        <v>15440</v>
      </c>
      <c r="H2886" s="8" t="s">
        <v>15441</v>
      </c>
      <c r="I2886" s="8" t="s">
        <v>62</v>
      </c>
      <c r="J2886" s="16" t="s">
        <v>15442</v>
      </c>
      <c r="K2886" s="2" t="s">
        <v>1127</v>
      </c>
      <c r="L2886" s="8" t="s">
        <v>4412</v>
      </c>
      <c r="M2886" s="8" t="s">
        <v>27</v>
      </c>
      <c r="N2886" s="2" t="s">
        <v>15443</v>
      </c>
      <c r="O2886" s="8" t="s">
        <v>550</v>
      </c>
      <c r="P2886" s="8" t="s">
        <v>401</v>
      </c>
      <c r="Q2886" s="12" t="s">
        <v>15444</v>
      </c>
      <c r="R2886" s="8" t="s">
        <v>100</v>
      </c>
      <c r="S2886" s="7" t="s">
        <v>28</v>
      </c>
      <c r="T2886" s="6"/>
      <c r="U2886" s="8"/>
    </row>
    <row r="2887" spans="1:39" ht="13" customHeight="1">
      <c r="A2887" s="8" t="s">
        <v>15445</v>
      </c>
      <c r="B2887" s="16">
        <v>24</v>
      </c>
      <c r="C2887" s="8" t="s">
        <v>20</v>
      </c>
      <c r="D2887" s="8" t="s">
        <v>85</v>
      </c>
      <c r="F2887" s="17">
        <v>41473</v>
      </c>
      <c r="G2887" s="8" t="s">
        <v>15446</v>
      </c>
      <c r="H2887" s="8" t="s">
        <v>15447</v>
      </c>
      <c r="I2887" s="8" t="s">
        <v>45</v>
      </c>
      <c r="J2887" s="16" t="s">
        <v>15448</v>
      </c>
      <c r="K2887" s="2" t="s">
        <v>3442</v>
      </c>
      <c r="L2887" s="8" t="s">
        <v>15449</v>
      </c>
      <c r="M2887" s="8" t="s">
        <v>27</v>
      </c>
      <c r="N2887" s="2" t="s">
        <v>15450</v>
      </c>
      <c r="O2887" s="8" t="s">
        <v>29</v>
      </c>
      <c r="P2887" s="8" t="s">
        <v>401</v>
      </c>
      <c r="Q2887" s="12" t="s">
        <v>15451</v>
      </c>
      <c r="R2887" s="8" t="s">
        <v>100</v>
      </c>
      <c r="S2887" s="7" t="s">
        <v>28</v>
      </c>
      <c r="T2887" s="6"/>
      <c r="U2887" s="8"/>
    </row>
    <row r="2888" spans="1:39" ht="13" customHeight="1">
      <c r="A2888" s="8" t="s">
        <v>15428</v>
      </c>
      <c r="B2888" s="16">
        <v>42</v>
      </c>
      <c r="C2888" s="8" t="s">
        <v>20</v>
      </c>
      <c r="D2888" s="8" t="s">
        <v>85</v>
      </c>
      <c r="F2888" s="17">
        <v>41473</v>
      </c>
      <c r="G2888" s="8" t="s">
        <v>15429</v>
      </c>
      <c r="H2888" s="8" t="s">
        <v>604</v>
      </c>
      <c r="I2888" s="8" t="s">
        <v>45</v>
      </c>
      <c r="J2888" s="16" t="s">
        <v>15430</v>
      </c>
      <c r="K2888" s="2" t="s">
        <v>604</v>
      </c>
      <c r="L2888" s="8" t="s">
        <v>15431</v>
      </c>
      <c r="M2888" s="8" t="s">
        <v>27</v>
      </c>
      <c r="N2888" s="2" t="s">
        <v>15432</v>
      </c>
      <c r="O2888" s="8" t="s">
        <v>4714</v>
      </c>
      <c r="P2888" s="8" t="s">
        <v>401</v>
      </c>
      <c r="Q2888" s="12" t="s">
        <v>15433</v>
      </c>
      <c r="R2888" s="8" t="s">
        <v>100</v>
      </c>
      <c r="S2888" s="7" t="s">
        <v>28</v>
      </c>
      <c r="T2888" s="6"/>
      <c r="U2888" s="8"/>
      <c r="Y2888" s="8"/>
      <c r="Z2888" s="8"/>
      <c r="AA2888" s="8"/>
      <c r="AB2888" s="8"/>
      <c r="AC2888" s="8"/>
      <c r="AD2888" s="8"/>
      <c r="AE2888" s="8"/>
      <c r="AF2888" s="8"/>
      <c r="AG2888" s="8"/>
      <c r="AH2888" s="8"/>
    </row>
    <row r="2889" spans="1:39" ht="13" customHeight="1">
      <c r="A2889" s="8" t="s">
        <v>15452</v>
      </c>
      <c r="B2889" s="16">
        <v>37</v>
      </c>
      <c r="C2889" s="8" t="s">
        <v>20</v>
      </c>
      <c r="D2889" s="8" t="s">
        <v>30</v>
      </c>
      <c r="F2889" s="17">
        <v>41473</v>
      </c>
      <c r="G2889" s="8" t="s">
        <v>15453</v>
      </c>
      <c r="H2889" s="8" t="s">
        <v>15454</v>
      </c>
      <c r="I2889" s="8" t="s">
        <v>117</v>
      </c>
      <c r="J2889" s="16" t="s">
        <v>15455</v>
      </c>
      <c r="K2889" s="2" t="s">
        <v>7561</v>
      </c>
      <c r="L2889" s="8" t="s">
        <v>15456</v>
      </c>
      <c r="M2889" s="8" t="s">
        <v>379</v>
      </c>
      <c r="N2889" s="2" t="s">
        <v>15457</v>
      </c>
      <c r="O2889" s="8" t="s">
        <v>1013</v>
      </c>
      <c r="P2889" s="8" t="s">
        <v>401</v>
      </c>
      <c r="Q2889" s="12" t="s">
        <v>15458</v>
      </c>
      <c r="R2889" s="8" t="s">
        <v>100</v>
      </c>
      <c r="S2889" s="7" t="s">
        <v>379</v>
      </c>
      <c r="T2889" s="6"/>
      <c r="U2889" s="8"/>
    </row>
    <row r="2890" spans="1:39" ht="13" customHeight="1">
      <c r="A2890" s="8" t="s">
        <v>15459</v>
      </c>
      <c r="B2890" s="16">
        <v>19</v>
      </c>
      <c r="C2890" s="8" t="s">
        <v>20</v>
      </c>
      <c r="D2890" s="8" t="s">
        <v>48</v>
      </c>
      <c r="E2890" s="8" t="s">
        <v>15460</v>
      </c>
      <c r="F2890" s="17">
        <v>41472</v>
      </c>
      <c r="G2890" s="8" t="s">
        <v>15461</v>
      </c>
      <c r="H2890" s="8" t="s">
        <v>285</v>
      </c>
      <c r="I2890" s="8" t="s">
        <v>73</v>
      </c>
      <c r="J2890" s="16" t="s">
        <v>7665</v>
      </c>
      <c r="K2890" s="2" t="s">
        <v>285</v>
      </c>
      <c r="L2890" s="8" t="s">
        <v>286</v>
      </c>
      <c r="M2890" s="8" t="s">
        <v>27</v>
      </c>
      <c r="N2890" s="2" t="s">
        <v>15462</v>
      </c>
      <c r="O2890" s="8" t="s">
        <v>550</v>
      </c>
      <c r="P2890" s="8" t="s">
        <v>401</v>
      </c>
      <c r="Q2890" s="59" t="str">
        <f>HYPERLINK("http://crimeblog.dallasnews.com/2013/07/police-shoot-burglary-suspect-in-confrontation-in-southeast-dallas.html/","http://crimeblog.dallasnews.com/2013/07/police-shoot-burglary-suspect-in-confrontation-in-southeast-dallas.html/")</f>
        <v>http://crimeblog.dallasnews.com/2013/07/police-shoot-burglary-suspect-in-confrontation-in-southeast-dallas.html/</v>
      </c>
      <c r="R2890" s="8" t="s">
        <v>29</v>
      </c>
      <c r="S2890" s="7" t="s">
        <v>18</v>
      </c>
      <c r="T2890" s="6"/>
      <c r="U2890" s="8"/>
    </row>
    <row r="2891" spans="1:39" ht="13" customHeight="1">
      <c r="A2891" s="8" t="s">
        <v>15463</v>
      </c>
      <c r="B2891" s="16">
        <v>38</v>
      </c>
      <c r="C2891" s="8" t="s">
        <v>20</v>
      </c>
      <c r="D2891" s="8" t="s">
        <v>37</v>
      </c>
      <c r="E2891" s="8" t="s">
        <v>15464</v>
      </c>
      <c r="F2891" s="17">
        <v>41472</v>
      </c>
      <c r="G2891" s="8" t="s">
        <v>15465</v>
      </c>
      <c r="H2891" s="8" t="s">
        <v>252</v>
      </c>
      <c r="I2891" s="8" t="s">
        <v>45</v>
      </c>
      <c r="J2891" s="16" t="s">
        <v>15466</v>
      </c>
      <c r="K2891" s="2" t="s">
        <v>7587</v>
      </c>
      <c r="L2891" s="8" t="s">
        <v>15467</v>
      </c>
      <c r="M2891" s="8" t="s">
        <v>27</v>
      </c>
      <c r="N2891" s="2" t="s">
        <v>15468</v>
      </c>
      <c r="O2891" s="8" t="s">
        <v>550</v>
      </c>
      <c r="P2891" s="8" t="s">
        <v>401</v>
      </c>
      <c r="Q2891" s="12" t="s">
        <v>15469</v>
      </c>
      <c r="R2891" s="8" t="s">
        <v>100</v>
      </c>
      <c r="S2891" s="7" t="s">
        <v>28</v>
      </c>
      <c r="T2891" s="6"/>
      <c r="U2891" s="8"/>
    </row>
    <row r="2892" spans="1:39" ht="13" customHeight="1">
      <c r="A2892" s="8" t="s">
        <v>15475</v>
      </c>
      <c r="B2892" s="16">
        <v>39</v>
      </c>
      <c r="C2892" s="8" t="s">
        <v>20</v>
      </c>
      <c r="D2892" s="8" t="s">
        <v>85</v>
      </c>
      <c r="E2892" s="8" t="s">
        <v>15476</v>
      </c>
      <c r="F2892" s="17">
        <v>41471</v>
      </c>
      <c r="G2892" s="8" t="s">
        <v>15477</v>
      </c>
      <c r="H2892" s="8" t="s">
        <v>13531</v>
      </c>
      <c r="I2892" s="8" t="s">
        <v>62</v>
      </c>
      <c r="J2892" s="16" t="s">
        <v>15478</v>
      </c>
      <c r="K2892" s="2" t="s">
        <v>2316</v>
      </c>
      <c r="L2892" s="8" t="s">
        <v>14154</v>
      </c>
      <c r="M2892" s="8" t="s">
        <v>27</v>
      </c>
      <c r="N2892" s="2" t="s">
        <v>15479</v>
      </c>
      <c r="O2892" s="8" t="s">
        <v>550</v>
      </c>
      <c r="P2892" s="8" t="s">
        <v>401</v>
      </c>
      <c r="Q2892" s="12" t="s">
        <v>15480</v>
      </c>
      <c r="R2892" s="8" t="s">
        <v>100</v>
      </c>
      <c r="S2892" s="7" t="s">
        <v>28</v>
      </c>
      <c r="T2892" s="6"/>
      <c r="U2892" s="8"/>
    </row>
    <row r="2893" spans="1:39" ht="13" customHeight="1">
      <c r="A2893" s="8" t="s">
        <v>15470</v>
      </c>
      <c r="B2893" s="16">
        <v>19</v>
      </c>
      <c r="C2893" s="8" t="s">
        <v>20</v>
      </c>
      <c r="D2893" s="8" t="s">
        <v>85</v>
      </c>
      <c r="E2893" s="8" t="s">
        <v>15471</v>
      </c>
      <c r="F2893" s="17">
        <v>41471</v>
      </c>
      <c r="G2893" s="8" t="s">
        <v>15472</v>
      </c>
      <c r="H2893" s="8" t="s">
        <v>575</v>
      </c>
      <c r="I2893" s="8" t="s">
        <v>73</v>
      </c>
      <c r="J2893" s="16" t="s">
        <v>15473</v>
      </c>
      <c r="K2893" s="2" t="s">
        <v>576</v>
      </c>
      <c r="L2893" s="8" t="s">
        <v>577</v>
      </c>
      <c r="M2893" s="8" t="s">
        <v>27</v>
      </c>
      <c r="N2893" s="2" t="s">
        <v>15474</v>
      </c>
      <c r="O2893" s="8" t="s">
        <v>1013</v>
      </c>
      <c r="P2893" s="8" t="s">
        <v>401</v>
      </c>
      <c r="Q2893" s="12" t="s">
        <v>21499</v>
      </c>
      <c r="R2893" s="8" t="s">
        <v>100</v>
      </c>
      <c r="S2893" s="7" t="s">
        <v>18</v>
      </c>
      <c r="T2893" s="6"/>
      <c r="U2893" s="8"/>
    </row>
    <row r="2894" spans="1:39" ht="13" customHeight="1">
      <c r="A2894" s="8" t="s">
        <v>15481</v>
      </c>
      <c r="B2894" s="16">
        <v>37</v>
      </c>
      <c r="C2894" s="8" t="s">
        <v>20</v>
      </c>
      <c r="D2894" s="8" t="s">
        <v>37</v>
      </c>
      <c r="F2894" s="17">
        <v>41471</v>
      </c>
      <c r="G2894" s="8" t="s">
        <v>15482</v>
      </c>
      <c r="H2894" s="8" t="s">
        <v>98</v>
      </c>
      <c r="I2894" s="8" t="s">
        <v>45</v>
      </c>
      <c r="J2894" s="16" t="s">
        <v>14621</v>
      </c>
      <c r="K2894" s="2" t="s">
        <v>98</v>
      </c>
      <c r="L2894" s="8" t="s">
        <v>99</v>
      </c>
      <c r="M2894" s="8" t="s">
        <v>27</v>
      </c>
      <c r="N2894" s="2" t="s">
        <v>15483</v>
      </c>
      <c r="O2894" s="8" t="s">
        <v>1013</v>
      </c>
      <c r="P2894" s="8" t="s">
        <v>401</v>
      </c>
      <c r="Q2894" s="12" t="s">
        <v>15484</v>
      </c>
      <c r="R2894" s="8" t="s">
        <v>100</v>
      </c>
      <c r="S2894" s="7" t="s">
        <v>28</v>
      </c>
      <c r="T2894" s="6"/>
      <c r="U2894" s="8"/>
    </row>
    <row r="2895" spans="1:39" ht="13" customHeight="1">
      <c r="A2895" s="8" t="s">
        <v>15485</v>
      </c>
      <c r="B2895" s="16">
        <v>68</v>
      </c>
      <c r="C2895" s="8" t="s">
        <v>114</v>
      </c>
      <c r="D2895" s="8" t="s">
        <v>37</v>
      </c>
      <c r="E2895" s="8" t="s">
        <v>15486</v>
      </c>
      <c r="F2895" s="17">
        <v>41471</v>
      </c>
      <c r="G2895" s="8" t="s">
        <v>15487</v>
      </c>
      <c r="H2895" s="8" t="s">
        <v>15488</v>
      </c>
      <c r="I2895" s="8" t="s">
        <v>404</v>
      </c>
      <c r="J2895" s="16" t="s">
        <v>15489</v>
      </c>
      <c r="K2895" s="2" t="s">
        <v>15490</v>
      </c>
      <c r="L2895" s="8" t="s">
        <v>15491</v>
      </c>
      <c r="M2895" s="8" t="s">
        <v>27</v>
      </c>
      <c r="N2895" s="2" t="s">
        <v>15492</v>
      </c>
      <c r="O2895" s="8" t="s">
        <v>550</v>
      </c>
      <c r="P2895" s="8" t="s">
        <v>401</v>
      </c>
      <c r="Q2895" s="12" t="str">
        <f>HYPERLINK("http://explorevenango.com/vigil-rally-held-for-oil-city-woman-fatally-shot-by-police/","http://explorevenango.com/vigil-rally-held-for-oil-city-woman-fatally-shot-by-police/")</f>
        <v>http://explorevenango.com/vigil-rally-held-for-oil-city-woman-fatally-shot-by-police/</v>
      </c>
      <c r="R2895" s="8" t="s">
        <v>555</v>
      </c>
      <c r="S2895" s="7" t="s">
        <v>28</v>
      </c>
      <c r="T2895" s="6"/>
      <c r="U2895" s="8"/>
    </row>
    <row r="2896" spans="1:39" ht="13" customHeight="1">
      <c r="A2896" s="8" t="s">
        <v>15493</v>
      </c>
      <c r="B2896" s="16">
        <v>26</v>
      </c>
      <c r="C2896" s="8" t="s">
        <v>20</v>
      </c>
      <c r="D2896" s="8" t="s">
        <v>85</v>
      </c>
      <c r="E2896" s="8" t="s">
        <v>15494</v>
      </c>
      <c r="F2896" s="17">
        <v>41470</v>
      </c>
      <c r="G2896" s="8" t="s">
        <v>15495</v>
      </c>
      <c r="H2896" s="8" t="s">
        <v>9802</v>
      </c>
      <c r="I2896" s="8" t="s">
        <v>981</v>
      </c>
      <c r="J2896" s="16" t="s">
        <v>15496</v>
      </c>
      <c r="K2896" s="2" t="s">
        <v>2505</v>
      </c>
      <c r="L2896" s="8" t="s">
        <v>9804</v>
      </c>
      <c r="M2896" s="8" t="s">
        <v>27</v>
      </c>
      <c r="N2896" s="2" t="s">
        <v>15497</v>
      </c>
      <c r="O2896" s="8" t="s">
        <v>550</v>
      </c>
      <c r="P2896" s="8" t="s">
        <v>401</v>
      </c>
      <c r="Q2896" s="12" t="str">
        <f>HYPERLINK("http://hiphopwired.com/2013/07/17/arkansas-cop-kills-wrongfully-suspected-in-car-thief-claims-self-defense/","http://hiphopwired.com/2013/07/17/arkansas-cop-kills-wrongfully-suspected-in-car-thief-claims-self-defense/")</f>
        <v>http://hiphopwired.com/2013/07/17/arkansas-cop-kills-wrongfully-suspected-in-car-thief-claims-self-defense/</v>
      </c>
      <c r="R2896" s="8" t="s">
        <v>100</v>
      </c>
      <c r="S2896" s="7" t="s">
        <v>28</v>
      </c>
      <c r="T2896" s="6"/>
      <c r="U2896" s="8"/>
    </row>
    <row r="2897" spans="1:39" ht="13" customHeight="1">
      <c r="A2897" s="8" t="s">
        <v>15498</v>
      </c>
      <c r="B2897" s="16">
        <v>76</v>
      </c>
      <c r="C2897" s="8" t="s">
        <v>20</v>
      </c>
      <c r="D2897" s="8" t="s">
        <v>21</v>
      </c>
      <c r="F2897" s="17">
        <v>41469</v>
      </c>
      <c r="G2897" s="8" t="s">
        <v>15499</v>
      </c>
      <c r="H2897" s="8" t="s">
        <v>15500</v>
      </c>
      <c r="I2897" s="8" t="s">
        <v>133</v>
      </c>
      <c r="J2897" s="16" t="s">
        <v>15501</v>
      </c>
      <c r="K2897" s="2" t="s">
        <v>1075</v>
      </c>
      <c r="L2897" s="8" t="s">
        <v>19289</v>
      </c>
      <c r="M2897" s="8" t="s">
        <v>391</v>
      </c>
      <c r="N2897" s="2" t="s">
        <v>15502</v>
      </c>
      <c r="O2897" s="8" t="s">
        <v>1013</v>
      </c>
      <c r="P2897" s="8" t="s">
        <v>401</v>
      </c>
      <c r="Q2897" s="12" t="s">
        <v>15503</v>
      </c>
      <c r="R2897" s="8" t="s">
        <v>100</v>
      </c>
      <c r="S2897" s="7" t="s">
        <v>28</v>
      </c>
      <c r="T2897" s="6"/>
      <c r="U2897" s="8"/>
      <c r="AI2897" s="8"/>
      <c r="AJ2897" s="8"/>
      <c r="AK2897" s="8"/>
      <c r="AL2897" s="8"/>
      <c r="AM2897" s="8"/>
    </row>
    <row r="2898" spans="1:39" ht="13" customHeight="1">
      <c r="A2898" s="8" t="s">
        <v>15504</v>
      </c>
      <c r="B2898" s="16">
        <v>34</v>
      </c>
      <c r="C2898" s="8" t="s">
        <v>20</v>
      </c>
      <c r="D2898" s="8" t="s">
        <v>48</v>
      </c>
      <c r="E2898" s="8" t="s">
        <v>15505</v>
      </c>
      <c r="F2898" s="17">
        <v>41469</v>
      </c>
      <c r="G2898" s="8" t="s">
        <v>15506</v>
      </c>
      <c r="H2898" s="8" t="s">
        <v>11424</v>
      </c>
      <c r="I2898" s="8" t="s">
        <v>25</v>
      </c>
      <c r="J2898" s="16" t="s">
        <v>15507</v>
      </c>
      <c r="K2898" s="2" t="s">
        <v>11424</v>
      </c>
      <c r="L2898" s="8" t="s">
        <v>15508</v>
      </c>
      <c r="M2898" s="8" t="s">
        <v>27</v>
      </c>
      <c r="N2898" s="2" t="s">
        <v>15509</v>
      </c>
      <c r="O2898" s="8" t="s">
        <v>550</v>
      </c>
      <c r="P2898" s="8" t="s">
        <v>401</v>
      </c>
      <c r="Q2898" s="12" t="s">
        <v>15510</v>
      </c>
      <c r="R2898" s="8" t="s">
        <v>555</v>
      </c>
      <c r="S2898" s="7" t="s">
        <v>28</v>
      </c>
      <c r="T2898" s="6"/>
      <c r="U2898" s="8"/>
    </row>
    <row r="2899" spans="1:39" ht="13" customHeight="1">
      <c r="A2899" s="8" t="s">
        <v>15511</v>
      </c>
      <c r="B2899" s="16">
        <v>24</v>
      </c>
      <c r="C2899" s="8" t="s">
        <v>20</v>
      </c>
      <c r="D2899" s="8" t="s">
        <v>37</v>
      </c>
      <c r="E2899" s="8" t="s">
        <v>15512</v>
      </c>
      <c r="F2899" s="17">
        <v>41469</v>
      </c>
      <c r="G2899" s="8" t="s">
        <v>15513</v>
      </c>
      <c r="H2899" s="8" t="s">
        <v>15514</v>
      </c>
      <c r="I2899" s="8" t="s">
        <v>73</v>
      </c>
      <c r="J2899" s="16" t="s">
        <v>15515</v>
      </c>
      <c r="K2899" s="2" t="s">
        <v>8542</v>
      </c>
      <c r="L2899" s="8" t="s">
        <v>15516</v>
      </c>
      <c r="M2899" s="8" t="s">
        <v>27</v>
      </c>
      <c r="N2899" s="2" t="s">
        <v>15517</v>
      </c>
      <c r="O2899" s="8" t="s">
        <v>550</v>
      </c>
      <c r="P2899" s="8" t="s">
        <v>401</v>
      </c>
      <c r="Q2899" s="12" t="s">
        <v>15518</v>
      </c>
      <c r="R2899" s="8" t="s">
        <v>100</v>
      </c>
      <c r="S2899" s="7" t="s">
        <v>28</v>
      </c>
      <c r="T2899" s="6"/>
      <c r="U2899" s="8"/>
    </row>
    <row r="2900" spans="1:39" ht="13" customHeight="1">
      <c r="A2900" s="8" t="s">
        <v>15519</v>
      </c>
      <c r="B2900" s="16">
        <v>25</v>
      </c>
      <c r="C2900" s="8" t="s">
        <v>20</v>
      </c>
      <c r="D2900" s="8" t="s">
        <v>37</v>
      </c>
      <c r="E2900" s="8" t="s">
        <v>15520</v>
      </c>
      <c r="F2900" s="17">
        <v>41468</v>
      </c>
      <c r="G2900" s="8" t="s">
        <v>15521</v>
      </c>
      <c r="H2900" s="8" t="s">
        <v>15522</v>
      </c>
      <c r="I2900" s="8" t="s">
        <v>217</v>
      </c>
      <c r="J2900" s="16" t="s">
        <v>15523</v>
      </c>
      <c r="K2900" s="2" t="s">
        <v>3303</v>
      </c>
      <c r="L2900" s="8" t="s">
        <v>15524</v>
      </c>
      <c r="M2900" s="8" t="s">
        <v>27</v>
      </c>
      <c r="N2900" s="2" t="s">
        <v>15525</v>
      </c>
      <c r="O2900" s="8" t="s">
        <v>550</v>
      </c>
      <c r="P2900" s="8" t="s">
        <v>401</v>
      </c>
      <c r="Q2900" s="12" t="s">
        <v>15526</v>
      </c>
      <c r="R2900" s="8" t="s">
        <v>100</v>
      </c>
      <c r="S2900" s="7" t="s">
        <v>28</v>
      </c>
      <c r="T2900" s="6"/>
      <c r="U2900" s="8"/>
    </row>
    <row r="2901" spans="1:39" ht="13" customHeight="1">
      <c r="A2901" s="8" t="s">
        <v>15527</v>
      </c>
      <c r="B2901" s="16">
        <v>42</v>
      </c>
      <c r="C2901" s="8" t="s">
        <v>20</v>
      </c>
      <c r="D2901" s="8" t="s">
        <v>37</v>
      </c>
      <c r="E2901" s="8" t="s">
        <v>15528</v>
      </c>
      <c r="F2901" s="17">
        <v>41467</v>
      </c>
      <c r="G2901" s="8" t="s">
        <v>15529</v>
      </c>
      <c r="H2901" s="8" t="s">
        <v>15530</v>
      </c>
      <c r="I2901" s="8" t="s">
        <v>45</v>
      </c>
      <c r="J2901" s="16" t="s">
        <v>14384</v>
      </c>
      <c r="K2901" s="2" t="s">
        <v>3250</v>
      </c>
      <c r="L2901" s="8" t="s">
        <v>14385</v>
      </c>
      <c r="M2901" s="8" t="s">
        <v>27</v>
      </c>
      <c r="N2901" s="2" t="s">
        <v>15531</v>
      </c>
      <c r="O2901" s="8" t="s">
        <v>550</v>
      </c>
      <c r="P2901" s="8" t="s">
        <v>401</v>
      </c>
      <c r="Q2901" s="12" t="s">
        <v>15532</v>
      </c>
      <c r="R2901" s="8" t="s">
        <v>100</v>
      </c>
      <c r="S2901" s="7" t="s">
        <v>28</v>
      </c>
      <c r="T2901" s="6"/>
      <c r="U2901" s="8"/>
    </row>
    <row r="2902" spans="1:39" ht="13" customHeight="1">
      <c r="A2902" s="8" t="s">
        <v>15533</v>
      </c>
      <c r="B2902" s="16">
        <v>24</v>
      </c>
      <c r="C2902" s="8" t="s">
        <v>20</v>
      </c>
      <c r="D2902" s="8" t="s">
        <v>85</v>
      </c>
      <c r="E2902" s="8" t="s">
        <v>15534</v>
      </c>
      <c r="F2902" s="17">
        <v>41466</v>
      </c>
      <c r="G2902" s="8" t="s">
        <v>15535</v>
      </c>
      <c r="H2902" s="8" t="s">
        <v>1097</v>
      </c>
      <c r="I2902" s="8" t="s">
        <v>395</v>
      </c>
      <c r="J2902" s="16" t="s">
        <v>15536</v>
      </c>
      <c r="K2902" s="2" t="s">
        <v>1098</v>
      </c>
      <c r="L2902" s="8" t="s">
        <v>1099</v>
      </c>
      <c r="M2902" s="8" t="s">
        <v>27</v>
      </c>
      <c r="N2902" s="2" t="s">
        <v>15537</v>
      </c>
      <c r="O2902" s="8" t="s">
        <v>550</v>
      </c>
      <c r="P2902" s="8" t="s">
        <v>401</v>
      </c>
      <c r="Q2902" s="12" t="str">
        <f>HYPERLINK("http://newsok.com/family-member-identifies-man-shot-by-oklahoma-city-police/article/3861642","http://newsok.com/family-member-identifies-man-shot-by-oklahoma-city-police/article/3861642")</f>
        <v>http://newsok.com/family-member-identifies-man-shot-by-oklahoma-city-police/article/3861642</v>
      </c>
      <c r="R2902" s="8" t="s">
        <v>29</v>
      </c>
      <c r="S2902" s="7" t="s">
        <v>28</v>
      </c>
      <c r="T2902" s="6"/>
      <c r="U2902" s="8"/>
    </row>
    <row r="2903" spans="1:39" ht="13" customHeight="1">
      <c r="A2903" s="8" t="s">
        <v>15544</v>
      </c>
      <c r="B2903" s="16" t="s">
        <v>8817</v>
      </c>
      <c r="C2903" s="8" t="s">
        <v>20</v>
      </c>
      <c r="D2903" s="8" t="s">
        <v>85</v>
      </c>
      <c r="F2903" s="17">
        <v>41466</v>
      </c>
      <c r="G2903" s="8" t="s">
        <v>15545</v>
      </c>
      <c r="H2903" s="8" t="s">
        <v>786</v>
      </c>
      <c r="I2903" s="8" t="s">
        <v>45</v>
      </c>
      <c r="J2903" s="16" t="s">
        <v>12345</v>
      </c>
      <c r="K2903" s="2" t="s">
        <v>786</v>
      </c>
      <c r="L2903" s="8" t="s">
        <v>5973</v>
      </c>
      <c r="M2903" s="8" t="s">
        <v>27</v>
      </c>
      <c r="N2903" s="2" t="s">
        <v>15546</v>
      </c>
      <c r="O2903" s="8" t="s">
        <v>29</v>
      </c>
      <c r="P2903" s="8" t="s">
        <v>401</v>
      </c>
      <c r="Q2903" s="12" t="s">
        <v>15547</v>
      </c>
      <c r="R2903" s="8" t="s">
        <v>100</v>
      </c>
      <c r="S2903" s="7" t="s">
        <v>28</v>
      </c>
      <c r="T2903" s="6"/>
      <c r="U2903" s="8"/>
    </row>
    <row r="2904" spans="1:39" ht="13" customHeight="1">
      <c r="A2904" s="8" t="s">
        <v>15538</v>
      </c>
      <c r="B2904" s="16" t="s">
        <v>13587</v>
      </c>
      <c r="C2904" s="8" t="s">
        <v>20</v>
      </c>
      <c r="D2904" s="8" t="s">
        <v>85</v>
      </c>
      <c r="E2904" s="8" t="s">
        <v>15539</v>
      </c>
      <c r="F2904" s="17">
        <v>41466</v>
      </c>
      <c r="G2904" s="8" t="s">
        <v>15540</v>
      </c>
      <c r="H2904" s="8" t="s">
        <v>1615</v>
      </c>
      <c r="I2904" s="8" t="s">
        <v>269</v>
      </c>
      <c r="J2904" s="16" t="s">
        <v>7454</v>
      </c>
      <c r="K2904" s="2" t="s">
        <v>6283</v>
      </c>
      <c r="L2904" s="8" t="s">
        <v>15541</v>
      </c>
      <c r="M2904" s="8" t="s">
        <v>27</v>
      </c>
      <c r="N2904" s="2" t="s">
        <v>15542</v>
      </c>
      <c r="O2904" s="8" t="s">
        <v>29</v>
      </c>
      <c r="P2904" s="8" t="s">
        <v>401</v>
      </c>
      <c r="Q2904" s="12" t="s">
        <v>15543</v>
      </c>
      <c r="R2904" s="8" t="s">
        <v>555</v>
      </c>
      <c r="S2904" s="7" t="s">
        <v>28</v>
      </c>
      <c r="T2904" s="6"/>
      <c r="U2904" s="8"/>
    </row>
    <row r="2905" spans="1:39" ht="13" customHeight="1">
      <c r="A2905" s="8" t="s">
        <v>15548</v>
      </c>
      <c r="B2905" s="16">
        <v>31</v>
      </c>
      <c r="C2905" s="8" t="s">
        <v>20</v>
      </c>
      <c r="D2905" s="8" t="s">
        <v>48</v>
      </c>
      <c r="E2905" s="8" t="s">
        <v>15549</v>
      </c>
      <c r="F2905" s="17">
        <v>41466</v>
      </c>
      <c r="G2905" s="8" t="s">
        <v>15550</v>
      </c>
      <c r="H2905" s="8" t="s">
        <v>634</v>
      </c>
      <c r="I2905" s="8" t="s">
        <v>123</v>
      </c>
      <c r="J2905" s="16" t="s">
        <v>4644</v>
      </c>
      <c r="K2905" s="2" t="s">
        <v>635</v>
      </c>
      <c r="L2905" s="8" t="s">
        <v>636</v>
      </c>
      <c r="M2905" s="8" t="s">
        <v>27</v>
      </c>
      <c r="N2905" s="2" t="s">
        <v>15551</v>
      </c>
      <c r="O2905" s="8" t="s">
        <v>1013</v>
      </c>
      <c r="P2905" s="8" t="s">
        <v>401</v>
      </c>
      <c r="Q2905" s="12" t="s">
        <v>15552</v>
      </c>
      <c r="R2905" s="8" t="s">
        <v>100</v>
      </c>
      <c r="S2905" s="7" t="s">
        <v>28</v>
      </c>
      <c r="T2905" s="6"/>
      <c r="U2905" s="8"/>
    </row>
    <row r="2906" spans="1:39" ht="13" customHeight="1">
      <c r="A2906" s="8" t="s">
        <v>15553</v>
      </c>
      <c r="B2906" s="16">
        <v>24</v>
      </c>
      <c r="C2906" s="8" t="s">
        <v>20</v>
      </c>
      <c r="D2906" s="8" t="s">
        <v>37</v>
      </c>
      <c r="E2906" s="8" t="s">
        <v>15554</v>
      </c>
      <c r="F2906" s="17">
        <v>41466</v>
      </c>
      <c r="G2906" s="8" t="s">
        <v>15555</v>
      </c>
      <c r="H2906" s="8" t="s">
        <v>685</v>
      </c>
      <c r="I2906" s="8" t="s">
        <v>363</v>
      </c>
      <c r="J2906" s="16" t="s">
        <v>15556</v>
      </c>
      <c r="K2906" s="2" t="s">
        <v>686</v>
      </c>
      <c r="L2906" s="8" t="s">
        <v>687</v>
      </c>
      <c r="M2906" s="8" t="s">
        <v>27</v>
      </c>
      <c r="N2906" s="2" t="s">
        <v>15557</v>
      </c>
      <c r="O2906" s="8" t="s">
        <v>550</v>
      </c>
      <c r="P2906" s="8" t="s">
        <v>401</v>
      </c>
      <c r="Q2906" s="12" t="s">
        <v>15558</v>
      </c>
      <c r="R2906" s="8" t="s">
        <v>967</v>
      </c>
      <c r="S2906" s="7" t="s">
        <v>28</v>
      </c>
      <c r="T2906" s="6"/>
      <c r="U2906" s="8"/>
      <c r="V2906" s="8"/>
      <c r="W2906" s="8"/>
      <c r="X2906" s="8"/>
    </row>
    <row r="2907" spans="1:39" ht="13" customHeight="1">
      <c r="A2907" s="8" t="s">
        <v>15559</v>
      </c>
      <c r="B2907" s="16">
        <v>36</v>
      </c>
      <c r="C2907" s="8" t="s">
        <v>20</v>
      </c>
      <c r="D2907" s="8" t="s">
        <v>85</v>
      </c>
      <c r="E2907" s="8" t="s">
        <v>15560</v>
      </c>
      <c r="F2907" s="17">
        <v>41465</v>
      </c>
      <c r="G2907" s="8" t="s">
        <v>15561</v>
      </c>
      <c r="H2907" s="8" t="s">
        <v>15562</v>
      </c>
      <c r="I2907" s="8" t="s">
        <v>209</v>
      </c>
      <c r="J2907" s="16" t="s">
        <v>15563</v>
      </c>
      <c r="K2907" s="2" t="s">
        <v>1432</v>
      </c>
      <c r="L2907" s="8" t="s">
        <v>2755</v>
      </c>
      <c r="M2907" s="8" t="s">
        <v>27</v>
      </c>
      <c r="N2907" s="2" t="s">
        <v>15564</v>
      </c>
      <c r="O2907" s="8" t="s">
        <v>550</v>
      </c>
      <c r="P2907" s="8" t="s">
        <v>401</v>
      </c>
      <c r="Q2907" s="12" t="s">
        <v>15565</v>
      </c>
      <c r="R2907" s="8" t="s">
        <v>100</v>
      </c>
      <c r="S2907" s="7" t="s">
        <v>28</v>
      </c>
      <c r="T2907" s="6"/>
      <c r="U2907" s="8"/>
    </row>
    <row r="2908" spans="1:39" ht="13" customHeight="1">
      <c r="A2908" s="8" t="s">
        <v>3267</v>
      </c>
      <c r="B2908" s="16">
        <v>20</v>
      </c>
      <c r="C2908" s="8" t="s">
        <v>20</v>
      </c>
      <c r="D2908" s="8" t="s">
        <v>30</v>
      </c>
      <c r="F2908" s="17">
        <v>41465</v>
      </c>
      <c r="G2908" s="8" t="s">
        <v>15566</v>
      </c>
      <c r="H2908" s="8" t="s">
        <v>726</v>
      </c>
      <c r="I2908" s="8" t="s">
        <v>73</v>
      </c>
      <c r="J2908" s="16" t="s">
        <v>13176</v>
      </c>
      <c r="K2908" s="2" t="s">
        <v>558</v>
      </c>
      <c r="L2908" s="8" t="s">
        <v>281</v>
      </c>
      <c r="M2908" s="8" t="s">
        <v>27</v>
      </c>
      <c r="N2908" s="2" t="s">
        <v>15567</v>
      </c>
      <c r="O2908" s="8" t="s">
        <v>4714</v>
      </c>
      <c r="P2908" s="8" t="s">
        <v>401</v>
      </c>
      <c r="Q2908" s="12" t="s">
        <v>15568</v>
      </c>
      <c r="R2908" s="8" t="s">
        <v>100</v>
      </c>
      <c r="S2908" s="7" t="s">
        <v>28</v>
      </c>
      <c r="T2908" s="6"/>
      <c r="U2908" s="8"/>
    </row>
    <row r="2909" spans="1:39" ht="13" customHeight="1">
      <c r="A2909" s="8" t="s">
        <v>15569</v>
      </c>
      <c r="B2909" s="16">
        <v>30</v>
      </c>
      <c r="C2909" s="8" t="s">
        <v>20</v>
      </c>
      <c r="D2909" s="8" t="s">
        <v>37</v>
      </c>
      <c r="E2909" s="8" t="s">
        <v>15570</v>
      </c>
      <c r="F2909" s="17">
        <v>41465</v>
      </c>
      <c r="G2909" s="8" t="s">
        <v>15571</v>
      </c>
      <c r="H2909" s="8" t="s">
        <v>15572</v>
      </c>
      <c r="I2909" s="8" t="s">
        <v>62</v>
      </c>
      <c r="J2909" s="16" t="s">
        <v>15573</v>
      </c>
      <c r="K2909" s="2" t="s">
        <v>1254</v>
      </c>
      <c r="L2909" s="8" t="s">
        <v>19290</v>
      </c>
      <c r="M2909" s="8" t="s">
        <v>391</v>
      </c>
      <c r="N2909" s="2" t="s">
        <v>15574</v>
      </c>
      <c r="O2909" s="8" t="s">
        <v>400</v>
      </c>
      <c r="P2909" s="8" t="s">
        <v>401</v>
      </c>
      <c r="Q2909" s="12" t="s">
        <v>21500</v>
      </c>
      <c r="R2909" s="8" t="s">
        <v>100</v>
      </c>
      <c r="S2909" s="7" t="s">
        <v>18</v>
      </c>
      <c r="T2909" s="6"/>
      <c r="U2909" s="8"/>
    </row>
    <row r="2910" spans="1:39" ht="13" customHeight="1">
      <c r="A2910" s="8" t="s">
        <v>15582</v>
      </c>
      <c r="B2910" s="16">
        <v>24</v>
      </c>
      <c r="C2910" s="8" t="s">
        <v>20</v>
      </c>
      <c r="D2910" s="8" t="s">
        <v>85</v>
      </c>
      <c r="E2910" s="8" t="s">
        <v>15583</v>
      </c>
      <c r="F2910" s="17">
        <v>41464</v>
      </c>
      <c r="G2910" s="8" t="s">
        <v>15584</v>
      </c>
      <c r="H2910" s="8" t="s">
        <v>653</v>
      </c>
      <c r="I2910" s="8" t="s">
        <v>62</v>
      </c>
      <c r="J2910" s="16">
        <v>32210</v>
      </c>
      <c r="K2910" s="2" t="s">
        <v>654</v>
      </c>
      <c r="L2910" s="8" t="s">
        <v>655</v>
      </c>
      <c r="M2910" s="8" t="s">
        <v>27</v>
      </c>
      <c r="N2910" s="2" t="s">
        <v>15585</v>
      </c>
      <c r="O2910" s="8" t="s">
        <v>29</v>
      </c>
      <c r="P2910" s="8" t="s">
        <v>401</v>
      </c>
      <c r="Q2910" s="12" t="s">
        <v>15586</v>
      </c>
      <c r="R2910" s="8" t="s">
        <v>100</v>
      </c>
      <c r="S2910" s="7" t="s">
        <v>28</v>
      </c>
      <c r="T2910" s="6"/>
      <c r="U2910" s="8"/>
    </row>
    <row r="2911" spans="1:39" ht="13" customHeight="1">
      <c r="A2911" s="8" t="s">
        <v>15575</v>
      </c>
      <c r="B2911" s="16">
        <v>40</v>
      </c>
      <c r="C2911" s="8" t="s">
        <v>20</v>
      </c>
      <c r="D2911" s="8" t="s">
        <v>85</v>
      </c>
      <c r="E2911" s="8" t="s">
        <v>15576</v>
      </c>
      <c r="F2911" s="17">
        <v>41464</v>
      </c>
      <c r="G2911" s="8" t="s">
        <v>15577</v>
      </c>
      <c r="H2911" s="8" t="s">
        <v>15578</v>
      </c>
      <c r="I2911" s="8" t="s">
        <v>431</v>
      </c>
      <c r="J2911" s="16" t="s">
        <v>15579</v>
      </c>
      <c r="K2911" s="2" t="s">
        <v>712</v>
      </c>
      <c r="L2911" s="8" t="s">
        <v>15580</v>
      </c>
      <c r="M2911" s="8" t="s">
        <v>21427</v>
      </c>
      <c r="N2911" s="2" t="s">
        <v>21501</v>
      </c>
      <c r="O2911" s="8" t="s">
        <v>400</v>
      </c>
      <c r="P2911" s="8" t="s">
        <v>401</v>
      </c>
      <c r="Q2911" s="12" t="s">
        <v>15581</v>
      </c>
      <c r="R2911" s="8" t="s">
        <v>100</v>
      </c>
      <c r="S2911" s="7" t="s">
        <v>18</v>
      </c>
      <c r="T2911" s="6"/>
      <c r="U2911" s="8"/>
    </row>
    <row r="2912" spans="1:39" ht="13" customHeight="1">
      <c r="A2912" s="8" t="s">
        <v>15587</v>
      </c>
      <c r="B2912" s="16">
        <v>40</v>
      </c>
      <c r="C2912" s="8" t="s">
        <v>20</v>
      </c>
      <c r="D2912" s="8" t="s">
        <v>48</v>
      </c>
      <c r="E2912" s="8" t="s">
        <v>15588</v>
      </c>
      <c r="F2912" s="17">
        <v>41464</v>
      </c>
      <c r="G2912" s="8" t="s">
        <v>15589</v>
      </c>
      <c r="H2912" s="8" t="s">
        <v>15590</v>
      </c>
      <c r="I2912" s="8" t="s">
        <v>81</v>
      </c>
      <c r="J2912" s="16" t="s">
        <v>15591</v>
      </c>
      <c r="K2912" s="2" t="s">
        <v>528</v>
      </c>
      <c r="L2912" s="8" t="s">
        <v>15592</v>
      </c>
      <c r="M2912" s="8" t="s">
        <v>27</v>
      </c>
      <c r="N2912" s="2" t="s">
        <v>15593</v>
      </c>
      <c r="O2912" s="8" t="s">
        <v>15594</v>
      </c>
      <c r="P2912" s="8" t="s">
        <v>401</v>
      </c>
      <c r="Q2912" s="12" t="str">
        <f>HYPERLINK("http://www.nj.com/essex/index.ssf/2013/09/woman_files_multi-million_dollar_suit_against_belleville_after_police_shot_husband_24_times.html","http://www.nj.com/essex/index.ssf/2013/09/woman_files_multi-million_dollar_suit_against_belleville_after_police_shot_husband_24_times.html")</f>
        <v>http://www.nj.com/essex/index.ssf/2013/09/woman_files_multi-million_dollar_suit_against_belleville_after_police_shot_husband_24_times.html</v>
      </c>
      <c r="R2912" s="8" t="s">
        <v>967</v>
      </c>
      <c r="S2912" s="7" t="s">
        <v>28</v>
      </c>
      <c r="T2912" s="6"/>
      <c r="U2912" s="8"/>
    </row>
    <row r="2913" spans="1:39" ht="13" customHeight="1">
      <c r="A2913" s="8" t="s">
        <v>15595</v>
      </c>
      <c r="B2913" s="16">
        <v>42</v>
      </c>
      <c r="C2913" s="8" t="s">
        <v>20</v>
      </c>
      <c r="D2913" s="8" t="s">
        <v>48</v>
      </c>
      <c r="E2913" s="8" t="s">
        <v>15596</v>
      </c>
      <c r="F2913" s="17">
        <v>41464</v>
      </c>
      <c r="G2913" s="8" t="s">
        <v>15597</v>
      </c>
      <c r="H2913" s="8" t="s">
        <v>13496</v>
      </c>
      <c r="I2913" s="8" t="s">
        <v>123</v>
      </c>
      <c r="J2913" s="16" t="s">
        <v>15598</v>
      </c>
      <c r="K2913" s="2" t="s">
        <v>13496</v>
      </c>
      <c r="L2913" s="8" t="s">
        <v>15599</v>
      </c>
      <c r="M2913" s="8" t="s">
        <v>27</v>
      </c>
      <c r="N2913" s="2" t="s">
        <v>15600</v>
      </c>
      <c r="O2913" s="8" t="s">
        <v>29</v>
      </c>
      <c r="P2913" s="8" t="s">
        <v>401</v>
      </c>
      <c r="Q2913" s="12" t="s">
        <v>15601</v>
      </c>
      <c r="R2913" s="8" t="s">
        <v>100</v>
      </c>
      <c r="S2913" s="7" t="s">
        <v>28</v>
      </c>
      <c r="T2913" s="6"/>
      <c r="U2913" s="8"/>
      <c r="V2913" s="8"/>
      <c r="W2913" s="8"/>
      <c r="X2913" s="8"/>
    </row>
    <row r="2914" spans="1:39" ht="13" customHeight="1">
      <c r="A2914" s="8" t="s">
        <v>15602</v>
      </c>
      <c r="B2914" s="16">
        <v>46</v>
      </c>
      <c r="C2914" s="8" t="s">
        <v>20</v>
      </c>
      <c r="D2914" s="8" t="s">
        <v>30</v>
      </c>
      <c r="F2914" s="17">
        <v>41464</v>
      </c>
      <c r="G2914" s="8" t="s">
        <v>15603</v>
      </c>
      <c r="H2914" s="8" t="s">
        <v>15604</v>
      </c>
      <c r="I2914" s="8" t="s">
        <v>45</v>
      </c>
      <c r="J2914" s="16" t="s">
        <v>15605</v>
      </c>
      <c r="K2914" s="2" t="s">
        <v>786</v>
      </c>
      <c r="L2914" s="8" t="s">
        <v>787</v>
      </c>
      <c r="M2914" s="8" t="s">
        <v>27</v>
      </c>
      <c r="N2914" s="2" t="s">
        <v>15606</v>
      </c>
      <c r="O2914" s="8" t="s">
        <v>1013</v>
      </c>
      <c r="P2914" s="8" t="s">
        <v>401</v>
      </c>
      <c r="Q2914" s="12" t="s">
        <v>15607</v>
      </c>
      <c r="R2914" s="8" t="s">
        <v>29</v>
      </c>
      <c r="S2914" s="7" t="s">
        <v>28</v>
      </c>
      <c r="T2914" s="6"/>
      <c r="U2914" s="8"/>
    </row>
    <row r="2915" spans="1:39" ht="13" customHeight="1">
      <c r="A2915" s="8" t="s">
        <v>15608</v>
      </c>
      <c r="B2915" s="16">
        <v>57</v>
      </c>
      <c r="C2915" s="8" t="s">
        <v>20</v>
      </c>
      <c r="D2915" s="8" t="s">
        <v>85</v>
      </c>
      <c r="E2915" s="8" t="s">
        <v>15609</v>
      </c>
      <c r="F2915" s="17">
        <v>41463</v>
      </c>
      <c r="G2915" s="8" t="s">
        <v>15610</v>
      </c>
      <c r="H2915" s="8" t="s">
        <v>2821</v>
      </c>
      <c r="I2915" s="8" t="s">
        <v>62</v>
      </c>
      <c r="J2915" s="16" t="s">
        <v>15611</v>
      </c>
      <c r="K2915" s="2" t="s">
        <v>3520</v>
      </c>
      <c r="L2915" s="8" t="s">
        <v>15612</v>
      </c>
      <c r="M2915" s="8" t="s">
        <v>27</v>
      </c>
      <c r="N2915" s="2" t="s">
        <v>15613</v>
      </c>
      <c r="O2915" s="8" t="s">
        <v>550</v>
      </c>
      <c r="P2915" s="8" t="s">
        <v>401</v>
      </c>
      <c r="Q2915" s="12" t="s">
        <v>15614</v>
      </c>
      <c r="R2915" s="8" t="s">
        <v>100</v>
      </c>
      <c r="S2915" s="7" t="s">
        <v>28</v>
      </c>
      <c r="T2915" s="6"/>
      <c r="U2915" s="8"/>
    </row>
    <row r="2916" spans="1:39" ht="13" customHeight="1">
      <c r="A2916" s="8" t="s">
        <v>15615</v>
      </c>
      <c r="B2916" s="16">
        <v>51</v>
      </c>
      <c r="C2916" s="8" t="s">
        <v>20</v>
      </c>
      <c r="D2916" s="8" t="s">
        <v>48</v>
      </c>
      <c r="F2916" s="17">
        <v>41463</v>
      </c>
      <c r="G2916" s="8" t="s">
        <v>15616</v>
      </c>
      <c r="H2916" s="8" t="s">
        <v>603</v>
      </c>
      <c r="I2916" s="8" t="s">
        <v>45</v>
      </c>
      <c r="J2916" s="16" t="s">
        <v>15617</v>
      </c>
      <c r="K2916" s="2" t="s">
        <v>604</v>
      </c>
      <c r="L2916" s="8" t="s">
        <v>605</v>
      </c>
      <c r="M2916" s="8" t="s">
        <v>3386</v>
      </c>
      <c r="N2916" s="2" t="s">
        <v>15618</v>
      </c>
      <c r="O2916" s="8" t="s">
        <v>4714</v>
      </c>
      <c r="P2916" s="8" t="s">
        <v>401</v>
      </c>
      <c r="Q2916" s="12" t="s">
        <v>15619</v>
      </c>
      <c r="R2916" s="8" t="s">
        <v>555</v>
      </c>
      <c r="S2916" s="7" t="s">
        <v>18</v>
      </c>
      <c r="T2916" s="6"/>
      <c r="U2916" s="8"/>
    </row>
    <row r="2917" spans="1:39" ht="13" customHeight="1">
      <c r="A2917" s="8" t="s">
        <v>15620</v>
      </c>
      <c r="B2917" s="16">
        <v>55</v>
      </c>
      <c r="C2917" s="8" t="s">
        <v>20</v>
      </c>
      <c r="D2917" s="8" t="s">
        <v>30</v>
      </c>
      <c r="F2917" s="17">
        <v>41463</v>
      </c>
      <c r="G2917" s="8" t="s">
        <v>15621</v>
      </c>
      <c r="H2917" s="8" t="s">
        <v>15622</v>
      </c>
      <c r="I2917" s="8" t="s">
        <v>404</v>
      </c>
      <c r="J2917" s="16" t="s">
        <v>10433</v>
      </c>
      <c r="K2917" s="2" t="s">
        <v>10432</v>
      </c>
      <c r="L2917" s="8" t="s">
        <v>9400</v>
      </c>
      <c r="M2917" s="8" t="s">
        <v>27</v>
      </c>
      <c r="N2917" s="2" t="s">
        <v>15623</v>
      </c>
      <c r="O2917" s="8" t="s">
        <v>550</v>
      </c>
      <c r="P2917" s="8" t="s">
        <v>401</v>
      </c>
      <c r="Q2917" s="12" t="s">
        <v>15624</v>
      </c>
      <c r="R2917" s="8" t="s">
        <v>100</v>
      </c>
      <c r="S2917" s="7" t="s">
        <v>28</v>
      </c>
      <c r="T2917" s="6"/>
      <c r="U2917" s="8"/>
    </row>
    <row r="2918" spans="1:39" ht="13" customHeight="1">
      <c r="A2918" s="8" t="s">
        <v>15640</v>
      </c>
      <c r="B2918" s="16">
        <v>27</v>
      </c>
      <c r="C2918" s="8" t="s">
        <v>20</v>
      </c>
      <c r="D2918" s="8" t="s">
        <v>37</v>
      </c>
      <c r="E2918" s="8" t="s">
        <v>15641</v>
      </c>
      <c r="F2918" s="17">
        <v>41463</v>
      </c>
      <c r="G2918" s="8" t="s">
        <v>15642</v>
      </c>
      <c r="H2918" s="8" t="s">
        <v>15643</v>
      </c>
      <c r="I2918" s="8" t="s">
        <v>404</v>
      </c>
      <c r="J2918" s="16" t="s">
        <v>15644</v>
      </c>
      <c r="K2918" s="2" t="s">
        <v>1639</v>
      </c>
      <c r="L2918" s="8" t="s">
        <v>15645</v>
      </c>
      <c r="M2918" s="8" t="s">
        <v>27</v>
      </c>
      <c r="N2918" s="2" t="s">
        <v>15646</v>
      </c>
      <c r="O2918" s="8" t="s">
        <v>550</v>
      </c>
      <c r="P2918" s="8" t="s">
        <v>401</v>
      </c>
      <c r="Q2918" s="12" t="str">
        <f>HYPERLINK("http://www.post-gazette.com/stories/local/neighborhoods-north/man-shot-to-death-in-sewickley-694786/","http://www.post-gazette.com/stories/local/neighborhoods-north/man-shot-to-death-in-sewickley-694786/")</f>
        <v>http://www.post-gazette.com/stories/local/neighborhoods-north/man-shot-to-death-in-sewickley-694786/</v>
      </c>
      <c r="R2918" s="8" t="s">
        <v>100</v>
      </c>
      <c r="S2918" s="7" t="s">
        <v>28</v>
      </c>
      <c r="T2918" s="6"/>
      <c r="U2918" s="8"/>
    </row>
    <row r="2919" spans="1:39" ht="13" customHeight="1">
      <c r="A2919" s="8" t="s">
        <v>15632</v>
      </c>
      <c r="B2919" s="16">
        <v>50</v>
      </c>
      <c r="C2919" s="8" t="s">
        <v>20</v>
      </c>
      <c r="D2919" s="8" t="s">
        <v>37</v>
      </c>
      <c r="E2919" s="8" t="s">
        <v>15633</v>
      </c>
      <c r="F2919" s="17">
        <v>41463</v>
      </c>
      <c r="G2919" s="8" t="s">
        <v>15634</v>
      </c>
      <c r="H2919" s="8" t="s">
        <v>15635</v>
      </c>
      <c r="I2919" s="8" t="s">
        <v>173</v>
      </c>
      <c r="J2919" s="16" t="s">
        <v>15636</v>
      </c>
      <c r="K2919" s="2" t="s">
        <v>3758</v>
      </c>
      <c r="L2919" s="8" t="s">
        <v>15637</v>
      </c>
      <c r="M2919" s="8" t="s">
        <v>27</v>
      </c>
      <c r="N2919" s="2" t="s">
        <v>15638</v>
      </c>
      <c r="O2919" s="8" t="s">
        <v>400</v>
      </c>
      <c r="P2919" s="8" t="s">
        <v>401</v>
      </c>
      <c r="Q2919" s="12" t="s">
        <v>15639</v>
      </c>
      <c r="R2919" s="8" t="s">
        <v>555</v>
      </c>
      <c r="S2919" s="7" t="s">
        <v>28</v>
      </c>
      <c r="T2919" s="6"/>
      <c r="U2919" s="8"/>
    </row>
    <row r="2920" spans="1:39" ht="13" customHeight="1">
      <c r="A2920" s="8" t="s">
        <v>15625</v>
      </c>
      <c r="B2920" s="16">
        <v>52</v>
      </c>
      <c r="C2920" s="8" t="s">
        <v>20</v>
      </c>
      <c r="D2920" s="8" t="s">
        <v>37</v>
      </c>
      <c r="F2920" s="17">
        <v>41463</v>
      </c>
      <c r="G2920" s="8" t="s">
        <v>15626</v>
      </c>
      <c r="H2920" s="8" t="s">
        <v>15627</v>
      </c>
      <c r="I2920" s="8" t="s">
        <v>44</v>
      </c>
      <c r="J2920" s="16" t="s">
        <v>15628</v>
      </c>
      <c r="K2920" s="2" t="s">
        <v>7846</v>
      </c>
      <c r="L2920" s="8" t="s">
        <v>15629</v>
      </c>
      <c r="M2920" s="8" t="s">
        <v>27</v>
      </c>
      <c r="N2920" s="2" t="s">
        <v>15630</v>
      </c>
      <c r="O2920" s="8" t="s">
        <v>550</v>
      </c>
      <c r="P2920" s="8" t="s">
        <v>401</v>
      </c>
      <c r="Q2920" s="12" t="s">
        <v>15631</v>
      </c>
      <c r="R2920" s="8" t="s">
        <v>555</v>
      </c>
      <c r="S2920" s="7" t="s">
        <v>28</v>
      </c>
      <c r="T2920" s="6"/>
      <c r="U2920" s="8"/>
    </row>
    <row r="2921" spans="1:39" ht="13" customHeight="1">
      <c r="A2921" s="8" t="s">
        <v>15647</v>
      </c>
      <c r="B2921" s="16">
        <v>29</v>
      </c>
      <c r="C2921" s="8" t="s">
        <v>20</v>
      </c>
      <c r="D2921" s="8" t="s">
        <v>85</v>
      </c>
      <c r="E2921" s="8" t="s">
        <v>15648</v>
      </c>
      <c r="F2921" s="17">
        <v>41462</v>
      </c>
      <c r="G2921" s="8" t="s">
        <v>15649</v>
      </c>
      <c r="H2921" s="8" t="s">
        <v>893</v>
      </c>
      <c r="I2921" s="8" t="s">
        <v>315</v>
      </c>
      <c r="J2921" s="16" t="s">
        <v>15650</v>
      </c>
      <c r="K2921" s="2" t="s">
        <v>1781</v>
      </c>
      <c r="L2921" s="8" t="s">
        <v>894</v>
      </c>
      <c r="M2921" s="8" t="s">
        <v>27</v>
      </c>
      <c r="N2921" s="2" t="s">
        <v>15651</v>
      </c>
      <c r="O2921" s="8" t="s">
        <v>1013</v>
      </c>
      <c r="P2921" s="8" t="s">
        <v>401</v>
      </c>
      <c r="Q2921" s="12" t="s">
        <v>15652</v>
      </c>
      <c r="R2921" s="8" t="s">
        <v>100</v>
      </c>
      <c r="S2921" s="7" t="s">
        <v>28</v>
      </c>
      <c r="T2921" s="6"/>
      <c r="U2921" s="8"/>
    </row>
    <row r="2922" spans="1:39" ht="13" customHeight="1">
      <c r="A2922" s="8" t="s">
        <v>15653</v>
      </c>
      <c r="B2922" s="16">
        <v>35</v>
      </c>
      <c r="C2922" s="8" t="s">
        <v>20</v>
      </c>
      <c r="D2922" s="8" t="s">
        <v>48</v>
      </c>
      <c r="E2922" s="8" t="s">
        <v>15654</v>
      </c>
      <c r="F2922" s="17">
        <v>41462</v>
      </c>
      <c r="G2922" s="8" t="s">
        <v>15655</v>
      </c>
      <c r="H2922" s="8" t="s">
        <v>127</v>
      </c>
      <c r="I2922" s="8" t="s">
        <v>73</v>
      </c>
      <c r="J2922" s="16" t="s">
        <v>15656</v>
      </c>
      <c r="K2922" s="2" t="s">
        <v>15657</v>
      </c>
      <c r="L2922" s="8" t="s">
        <v>15658</v>
      </c>
      <c r="M2922" s="8" t="s">
        <v>27</v>
      </c>
      <c r="N2922" s="2" t="s">
        <v>15659</v>
      </c>
      <c r="O2922" s="8" t="s">
        <v>29</v>
      </c>
      <c r="P2922" s="8" t="s">
        <v>401</v>
      </c>
      <c r="Q2922" s="12" t="s">
        <v>15660</v>
      </c>
      <c r="R2922" s="8" t="s">
        <v>100</v>
      </c>
      <c r="S2922" s="7" t="s">
        <v>28</v>
      </c>
      <c r="T2922" s="6"/>
      <c r="U2922" s="8"/>
      <c r="Y2922" s="8"/>
      <c r="Z2922" s="8"/>
      <c r="AA2922" s="8"/>
      <c r="AB2922" s="8"/>
      <c r="AC2922" s="8"/>
      <c r="AD2922" s="8"/>
      <c r="AE2922" s="8"/>
      <c r="AF2922" s="8"/>
      <c r="AG2922" s="8"/>
      <c r="AH2922" s="8"/>
    </row>
    <row r="2923" spans="1:39" ht="13" customHeight="1">
      <c r="A2923" s="8" t="s">
        <v>15661</v>
      </c>
      <c r="B2923" s="16">
        <v>62</v>
      </c>
      <c r="C2923" s="8" t="s">
        <v>20</v>
      </c>
      <c r="D2923" s="8" t="s">
        <v>37</v>
      </c>
      <c r="F2923" s="17">
        <v>41462</v>
      </c>
      <c r="G2923" s="8" t="s">
        <v>15662</v>
      </c>
      <c r="H2923" s="8" t="s">
        <v>15663</v>
      </c>
      <c r="I2923" s="8" t="s">
        <v>44</v>
      </c>
      <c r="J2923" s="16" t="s">
        <v>15664</v>
      </c>
      <c r="K2923" s="2" t="s">
        <v>1291</v>
      </c>
      <c r="L2923" s="8" t="s">
        <v>15665</v>
      </c>
      <c r="M2923" s="8" t="s">
        <v>21656</v>
      </c>
      <c r="N2923" s="2" t="s">
        <v>15666</v>
      </c>
      <c r="O2923" s="8" t="s">
        <v>15667</v>
      </c>
      <c r="P2923" s="8" t="s">
        <v>21430</v>
      </c>
      <c r="Q2923" s="12" t="s">
        <v>15668</v>
      </c>
      <c r="R2923" s="8" t="s">
        <v>100</v>
      </c>
      <c r="S2923" s="7" t="s">
        <v>18</v>
      </c>
      <c r="T2923" s="6"/>
      <c r="U2923" s="8"/>
    </row>
    <row r="2924" spans="1:39" ht="13" customHeight="1">
      <c r="A2924" s="8" t="s">
        <v>15669</v>
      </c>
      <c r="B2924" s="16">
        <v>29</v>
      </c>
      <c r="C2924" s="8" t="s">
        <v>20</v>
      </c>
      <c r="D2924" s="8" t="s">
        <v>37</v>
      </c>
      <c r="E2924" s="8" t="s">
        <v>15670</v>
      </c>
      <c r="F2924" s="17">
        <v>41462</v>
      </c>
      <c r="G2924" s="8" t="s">
        <v>15671</v>
      </c>
      <c r="H2924" s="8" t="s">
        <v>15672</v>
      </c>
      <c r="I2924" s="8" t="s">
        <v>45</v>
      </c>
      <c r="J2924" s="16" t="s">
        <v>15673</v>
      </c>
      <c r="K2924" s="2" t="s">
        <v>786</v>
      </c>
      <c r="L2924" s="8" t="s">
        <v>787</v>
      </c>
      <c r="M2924" s="8" t="s">
        <v>27</v>
      </c>
      <c r="N2924" s="2" t="s">
        <v>15674</v>
      </c>
      <c r="O2924" s="8" t="s">
        <v>400</v>
      </c>
      <c r="P2924" s="8" t="s">
        <v>401</v>
      </c>
      <c r="Q2924" s="12" t="s">
        <v>15675</v>
      </c>
      <c r="R2924" s="8" t="s">
        <v>100</v>
      </c>
      <c r="S2924" s="7" t="s">
        <v>28</v>
      </c>
      <c r="T2924" s="6"/>
      <c r="U2924" s="8"/>
    </row>
    <row r="2925" spans="1:39" ht="13" customHeight="1">
      <c r="A2925" s="8" t="s">
        <v>15676</v>
      </c>
      <c r="B2925" s="16">
        <v>27</v>
      </c>
      <c r="C2925" s="8" t="s">
        <v>20</v>
      </c>
      <c r="D2925" s="8" t="s">
        <v>21</v>
      </c>
      <c r="F2925" s="17">
        <v>41461</v>
      </c>
      <c r="G2925" s="8" t="s">
        <v>15677</v>
      </c>
      <c r="H2925" s="8" t="s">
        <v>200</v>
      </c>
      <c r="I2925" s="8" t="s">
        <v>45</v>
      </c>
      <c r="J2925" s="16" t="s">
        <v>15678</v>
      </c>
      <c r="K2925" s="2" t="s">
        <v>200</v>
      </c>
      <c r="L2925" s="8" t="s">
        <v>201</v>
      </c>
      <c r="M2925" s="8" t="s">
        <v>27</v>
      </c>
      <c r="N2925" s="2" t="s">
        <v>15679</v>
      </c>
      <c r="O2925" s="8" t="s">
        <v>1013</v>
      </c>
      <c r="P2925" s="8" t="s">
        <v>401</v>
      </c>
      <c r="Q2925" s="12" t="s">
        <v>15680</v>
      </c>
      <c r="R2925" s="8" t="s">
        <v>100</v>
      </c>
      <c r="S2925" s="7" t="s">
        <v>28</v>
      </c>
      <c r="T2925" s="6"/>
      <c r="U2925" s="8"/>
      <c r="AI2925" s="8"/>
      <c r="AJ2925" s="8"/>
      <c r="AK2925" s="8"/>
      <c r="AL2925" s="8"/>
      <c r="AM2925" s="8"/>
    </row>
    <row r="2926" spans="1:39" ht="13" customHeight="1">
      <c r="A2926" s="8" t="s">
        <v>15689</v>
      </c>
      <c r="B2926" s="16">
        <v>34</v>
      </c>
      <c r="C2926" s="8" t="s">
        <v>20</v>
      </c>
      <c r="D2926" s="8" t="s">
        <v>30</v>
      </c>
      <c r="F2926" s="17">
        <v>41461</v>
      </c>
      <c r="G2926" s="8" t="s">
        <v>15690</v>
      </c>
      <c r="H2926" s="8" t="s">
        <v>634</v>
      </c>
      <c r="I2926" s="8" t="s">
        <v>123</v>
      </c>
      <c r="J2926" s="16" t="s">
        <v>2816</v>
      </c>
      <c r="K2926" s="2" t="s">
        <v>635</v>
      </c>
      <c r="L2926" s="8" t="s">
        <v>636</v>
      </c>
      <c r="M2926" s="8" t="s">
        <v>27</v>
      </c>
      <c r="N2926" s="2" t="s">
        <v>15691</v>
      </c>
      <c r="O2926" s="8" t="s">
        <v>1013</v>
      </c>
      <c r="P2926" s="8" t="s">
        <v>401</v>
      </c>
      <c r="Q2926" s="12" t="s">
        <v>15692</v>
      </c>
      <c r="R2926" s="8" t="s">
        <v>555</v>
      </c>
      <c r="S2926" s="7" t="s">
        <v>28</v>
      </c>
      <c r="T2926" s="6"/>
      <c r="U2926" s="8"/>
    </row>
    <row r="2927" spans="1:39" ht="13" customHeight="1">
      <c r="A2927" s="8" t="s">
        <v>15681</v>
      </c>
      <c r="B2927" s="16">
        <v>84</v>
      </c>
      <c r="C2927" s="8" t="s">
        <v>20</v>
      </c>
      <c r="D2927" s="8" t="s">
        <v>30</v>
      </c>
      <c r="F2927" s="17">
        <v>41461</v>
      </c>
      <c r="G2927" s="8" t="s">
        <v>15682</v>
      </c>
      <c r="H2927" s="8" t="s">
        <v>15683</v>
      </c>
      <c r="I2927" s="8" t="s">
        <v>150</v>
      </c>
      <c r="J2927" s="16" t="s">
        <v>15684</v>
      </c>
      <c r="K2927" s="2" t="s">
        <v>15685</v>
      </c>
      <c r="L2927" s="8" t="s">
        <v>15686</v>
      </c>
      <c r="M2927" s="8" t="s">
        <v>27</v>
      </c>
      <c r="N2927" s="2" t="s">
        <v>15687</v>
      </c>
      <c r="O2927" s="8" t="s">
        <v>1013</v>
      </c>
      <c r="P2927" s="8" t="s">
        <v>401</v>
      </c>
      <c r="Q2927" s="12" t="s">
        <v>15688</v>
      </c>
      <c r="R2927" s="8" t="s">
        <v>100</v>
      </c>
      <c r="S2927" s="7" t="s">
        <v>28</v>
      </c>
      <c r="T2927" s="6"/>
      <c r="U2927" s="8"/>
    </row>
    <row r="2928" spans="1:39" ht="13" customHeight="1">
      <c r="A2928" s="8" t="s">
        <v>15693</v>
      </c>
      <c r="B2928" s="16">
        <v>59</v>
      </c>
      <c r="C2928" s="8" t="s">
        <v>20</v>
      </c>
      <c r="D2928" s="8" t="s">
        <v>37</v>
      </c>
      <c r="E2928" s="8" t="s">
        <v>15694</v>
      </c>
      <c r="F2928" s="17">
        <v>41461</v>
      </c>
      <c r="G2928" s="8" t="s">
        <v>15695</v>
      </c>
      <c r="H2928" s="8" t="s">
        <v>4218</v>
      </c>
      <c r="I2928" s="8" t="s">
        <v>366</v>
      </c>
      <c r="J2928" s="16" t="s">
        <v>9158</v>
      </c>
      <c r="K2928" s="2" t="s">
        <v>4220</v>
      </c>
      <c r="L2928" s="8" t="s">
        <v>4221</v>
      </c>
      <c r="M2928" s="8" t="s">
        <v>27</v>
      </c>
      <c r="N2928" s="2" t="s">
        <v>15696</v>
      </c>
      <c r="O2928" s="8" t="s">
        <v>550</v>
      </c>
      <c r="P2928" s="8" t="s">
        <v>401</v>
      </c>
      <c r="Q2928" s="12" t="s">
        <v>15697</v>
      </c>
      <c r="R2928" s="8" t="s">
        <v>100</v>
      </c>
      <c r="S2928" s="7" t="s">
        <v>28</v>
      </c>
      <c r="T2928" s="6"/>
      <c r="U2928" s="8"/>
    </row>
    <row r="2929" spans="1:39" ht="13" customHeight="1">
      <c r="A2929" s="8" t="s">
        <v>15698</v>
      </c>
      <c r="B2929" s="16">
        <v>61</v>
      </c>
      <c r="C2929" s="8" t="s">
        <v>20</v>
      </c>
      <c r="D2929" s="8" t="s">
        <v>37</v>
      </c>
      <c r="E2929" s="8" t="s">
        <v>15699</v>
      </c>
      <c r="F2929" s="17">
        <v>41461</v>
      </c>
      <c r="G2929" s="8" t="s">
        <v>15700</v>
      </c>
      <c r="H2929" s="8" t="s">
        <v>1714</v>
      </c>
      <c r="I2929" s="8" t="s">
        <v>423</v>
      </c>
      <c r="J2929" s="16" t="s">
        <v>15701</v>
      </c>
      <c r="K2929" s="2" t="s">
        <v>1716</v>
      </c>
      <c r="L2929" s="8" t="s">
        <v>582</v>
      </c>
      <c r="M2929" s="8" t="s">
        <v>379</v>
      </c>
      <c r="N2929" s="2" t="s">
        <v>15702</v>
      </c>
      <c r="O2929" s="8" t="s">
        <v>1013</v>
      </c>
      <c r="P2929" s="8" t="s">
        <v>401</v>
      </c>
      <c r="Q2929" s="12" t="s">
        <v>15703</v>
      </c>
      <c r="R2929" s="8" t="s">
        <v>100</v>
      </c>
      <c r="S2929" s="7" t="s">
        <v>28</v>
      </c>
      <c r="T2929" s="6"/>
      <c r="U2929" s="8"/>
    </row>
    <row r="2930" spans="1:39" ht="13" customHeight="1">
      <c r="A2930" s="8" t="s">
        <v>15704</v>
      </c>
      <c r="B2930" s="16" t="s">
        <v>15705</v>
      </c>
      <c r="C2930" s="8" t="s">
        <v>20</v>
      </c>
      <c r="D2930" s="8" t="s">
        <v>85</v>
      </c>
      <c r="E2930" s="8" t="s">
        <v>15706</v>
      </c>
      <c r="F2930" s="17">
        <v>41460</v>
      </c>
      <c r="G2930" s="8" t="s">
        <v>15707</v>
      </c>
      <c r="H2930" s="8" t="s">
        <v>925</v>
      </c>
      <c r="I2930" s="8" t="s">
        <v>195</v>
      </c>
      <c r="J2930" s="16" t="s">
        <v>4994</v>
      </c>
      <c r="K2930" s="2" t="s">
        <v>467</v>
      </c>
      <c r="L2930" s="8" t="s">
        <v>4995</v>
      </c>
      <c r="M2930" s="8" t="s">
        <v>27</v>
      </c>
      <c r="N2930" s="2" t="s">
        <v>15708</v>
      </c>
      <c r="O2930" s="8" t="s">
        <v>29</v>
      </c>
      <c r="P2930" s="8" t="s">
        <v>401</v>
      </c>
      <c r="Q2930" s="12" t="s">
        <v>10165</v>
      </c>
      <c r="R2930" s="8" t="s">
        <v>555</v>
      </c>
      <c r="S2930" s="7" t="s">
        <v>28</v>
      </c>
      <c r="T2930" s="6"/>
      <c r="U2930" s="8"/>
      <c r="Y2930" s="8"/>
      <c r="Z2930" s="8"/>
      <c r="AA2930" s="8"/>
      <c r="AB2930" s="8"/>
      <c r="AC2930" s="8"/>
      <c r="AD2930" s="8"/>
      <c r="AE2930" s="8"/>
      <c r="AF2930" s="8"/>
      <c r="AG2930" s="8"/>
      <c r="AH2930" s="8"/>
    </row>
    <row r="2931" spans="1:39" ht="13" customHeight="1">
      <c r="A2931" s="8" t="s">
        <v>15709</v>
      </c>
      <c r="B2931" s="16">
        <v>57</v>
      </c>
      <c r="C2931" s="8" t="s">
        <v>20</v>
      </c>
      <c r="D2931" s="8" t="s">
        <v>30</v>
      </c>
      <c r="F2931" s="17">
        <v>41460</v>
      </c>
      <c r="G2931" s="8" t="s">
        <v>15710</v>
      </c>
      <c r="H2931" s="8" t="s">
        <v>1865</v>
      </c>
      <c r="I2931" s="8" t="s">
        <v>370</v>
      </c>
      <c r="J2931" s="16" t="s">
        <v>15711</v>
      </c>
      <c r="K2931" s="2" t="s">
        <v>1867</v>
      </c>
      <c r="L2931" s="8" t="s">
        <v>1868</v>
      </c>
      <c r="M2931" s="8" t="s">
        <v>27</v>
      </c>
      <c r="N2931" s="2" t="s">
        <v>15712</v>
      </c>
      <c r="O2931" s="8" t="s">
        <v>550</v>
      </c>
      <c r="P2931" s="8" t="s">
        <v>401</v>
      </c>
      <c r="Q2931" s="12" t="s">
        <v>15713</v>
      </c>
      <c r="R2931" s="8" t="s">
        <v>100</v>
      </c>
      <c r="S2931" s="7" t="s">
        <v>28</v>
      </c>
      <c r="T2931" s="6"/>
      <c r="U2931" s="8"/>
    </row>
    <row r="2932" spans="1:39" ht="13" customHeight="1">
      <c r="A2932" s="8" t="s">
        <v>15720</v>
      </c>
      <c r="B2932" s="16">
        <v>28</v>
      </c>
      <c r="C2932" s="8" t="s">
        <v>20</v>
      </c>
      <c r="D2932" s="8" t="s">
        <v>37</v>
      </c>
      <c r="E2932" s="8" t="s">
        <v>15721</v>
      </c>
      <c r="F2932" s="17">
        <v>41460</v>
      </c>
      <c r="G2932" s="8" t="s">
        <v>15722</v>
      </c>
      <c r="H2932" s="8" t="s">
        <v>1211</v>
      </c>
      <c r="I2932" s="8" t="s">
        <v>303</v>
      </c>
      <c r="J2932" s="16" t="s">
        <v>15723</v>
      </c>
      <c r="K2932" s="2" t="s">
        <v>1212</v>
      </c>
      <c r="L2932" s="8" t="s">
        <v>1213</v>
      </c>
      <c r="M2932" s="8" t="s">
        <v>27</v>
      </c>
      <c r="N2932" s="2" t="s">
        <v>15724</v>
      </c>
      <c r="O2932" s="8" t="s">
        <v>550</v>
      </c>
      <c r="P2932" s="8" t="s">
        <v>401</v>
      </c>
      <c r="Q2932" s="12" t="s">
        <v>15725</v>
      </c>
      <c r="R2932" s="8" t="s">
        <v>555</v>
      </c>
      <c r="S2932" s="7" t="s">
        <v>28</v>
      </c>
      <c r="T2932" s="6"/>
      <c r="U2932" s="8"/>
    </row>
    <row r="2933" spans="1:39" ht="13" customHeight="1">
      <c r="A2933" s="8" t="s">
        <v>15714</v>
      </c>
      <c r="B2933" s="16">
        <v>39</v>
      </c>
      <c r="C2933" s="8" t="s">
        <v>20</v>
      </c>
      <c r="D2933" s="8" t="s">
        <v>37</v>
      </c>
      <c r="E2933" s="8" t="s">
        <v>15715</v>
      </c>
      <c r="F2933" s="17">
        <v>41460</v>
      </c>
      <c r="G2933" s="8" t="s">
        <v>15716</v>
      </c>
      <c r="H2933" s="8" t="s">
        <v>5472</v>
      </c>
      <c r="I2933" s="8" t="s">
        <v>62</v>
      </c>
      <c r="J2933" s="16" t="s">
        <v>15717</v>
      </c>
      <c r="K2933" s="2" t="s">
        <v>5473</v>
      </c>
      <c r="L2933" s="8" t="s">
        <v>5474</v>
      </c>
      <c r="M2933" s="8" t="s">
        <v>27</v>
      </c>
      <c r="N2933" s="2" t="s">
        <v>15718</v>
      </c>
      <c r="O2933" s="8" t="s">
        <v>550</v>
      </c>
      <c r="P2933" s="8" t="s">
        <v>401</v>
      </c>
      <c r="Q2933" s="12" t="s">
        <v>15719</v>
      </c>
      <c r="R2933" s="8" t="s">
        <v>100</v>
      </c>
      <c r="S2933" s="7" t="s">
        <v>28</v>
      </c>
      <c r="T2933" s="6"/>
      <c r="U2933" s="8"/>
    </row>
    <row r="2934" spans="1:39" ht="13" customHeight="1">
      <c r="A2934" s="8" t="s">
        <v>15726</v>
      </c>
      <c r="B2934" s="16">
        <v>42</v>
      </c>
      <c r="C2934" s="8" t="s">
        <v>20</v>
      </c>
      <c r="D2934" s="8" t="s">
        <v>37</v>
      </c>
      <c r="F2934" s="17">
        <v>41460</v>
      </c>
      <c r="G2934" s="8" t="s">
        <v>15727</v>
      </c>
      <c r="H2934" s="8" t="s">
        <v>4602</v>
      </c>
      <c r="I2934" s="8" t="s">
        <v>857</v>
      </c>
      <c r="J2934" s="16" t="s">
        <v>15728</v>
      </c>
      <c r="K2934" s="2" t="s">
        <v>4604</v>
      </c>
      <c r="L2934" s="8" t="s">
        <v>5059</v>
      </c>
      <c r="M2934" s="8" t="s">
        <v>27</v>
      </c>
      <c r="N2934" s="2" t="s">
        <v>15729</v>
      </c>
      <c r="O2934" s="8" t="s">
        <v>550</v>
      </c>
      <c r="P2934" s="8" t="s">
        <v>401</v>
      </c>
      <c r="Q2934" s="12" t="s">
        <v>15730</v>
      </c>
      <c r="R2934" s="8" t="s">
        <v>100</v>
      </c>
      <c r="S2934" s="7" t="s">
        <v>28</v>
      </c>
      <c r="T2934" s="6"/>
      <c r="U2934" s="8"/>
    </row>
    <row r="2935" spans="1:39" ht="13" customHeight="1">
      <c r="A2935" s="8" t="s">
        <v>15731</v>
      </c>
      <c r="B2935" s="16">
        <v>31</v>
      </c>
      <c r="C2935" s="8" t="s">
        <v>20</v>
      </c>
      <c r="D2935" s="8" t="s">
        <v>21</v>
      </c>
      <c r="F2935" s="17">
        <v>41459</v>
      </c>
      <c r="G2935" s="8" t="s">
        <v>15732</v>
      </c>
      <c r="H2935" s="8" t="s">
        <v>846</v>
      </c>
      <c r="I2935" s="8" t="s">
        <v>73</v>
      </c>
      <c r="J2935" s="16" t="s">
        <v>15733</v>
      </c>
      <c r="K2935" s="2" t="s">
        <v>74</v>
      </c>
      <c r="L2935" s="8" t="s">
        <v>847</v>
      </c>
      <c r="M2935" s="8" t="s">
        <v>27</v>
      </c>
      <c r="N2935" s="2" t="s">
        <v>15734</v>
      </c>
      <c r="O2935" s="8" t="s">
        <v>550</v>
      </c>
      <c r="P2935" s="8" t="s">
        <v>401</v>
      </c>
      <c r="Q2935" s="12" t="s">
        <v>15735</v>
      </c>
      <c r="R2935" s="8" t="s">
        <v>100</v>
      </c>
      <c r="S2935" s="7" t="s">
        <v>28</v>
      </c>
      <c r="T2935" s="6"/>
      <c r="U2935" s="8"/>
      <c r="Y2935" s="8"/>
      <c r="Z2935" s="8"/>
      <c r="AA2935" s="8"/>
      <c r="AB2935" s="8"/>
      <c r="AC2935" s="8"/>
      <c r="AD2935" s="8"/>
      <c r="AE2935" s="8"/>
      <c r="AF2935" s="8"/>
      <c r="AG2935" s="8"/>
      <c r="AH2935" s="8"/>
      <c r="AI2935" s="8"/>
      <c r="AJ2935" s="8"/>
      <c r="AK2935" s="8"/>
      <c r="AL2935" s="8"/>
      <c r="AM2935" s="8"/>
    </row>
    <row r="2936" spans="1:39" ht="13" customHeight="1">
      <c r="A2936" s="8" t="s">
        <v>15736</v>
      </c>
      <c r="B2936" s="16">
        <v>17</v>
      </c>
      <c r="C2936" s="8" t="s">
        <v>20</v>
      </c>
      <c r="D2936" s="8" t="s">
        <v>85</v>
      </c>
      <c r="E2936" s="8" t="s">
        <v>15737</v>
      </c>
      <c r="F2936" s="17">
        <v>41459</v>
      </c>
      <c r="G2936" s="8" t="s">
        <v>15738</v>
      </c>
      <c r="H2936" s="8" t="s">
        <v>87</v>
      </c>
      <c r="I2936" s="8" t="s">
        <v>44</v>
      </c>
      <c r="J2936" s="16" t="s">
        <v>15739</v>
      </c>
      <c r="K2936" s="2" t="s">
        <v>88</v>
      </c>
      <c r="L2936" s="8" t="s">
        <v>89</v>
      </c>
      <c r="M2936" s="8" t="s">
        <v>27</v>
      </c>
      <c r="N2936" s="2" t="s">
        <v>15740</v>
      </c>
      <c r="O2936" s="8" t="s">
        <v>4714</v>
      </c>
      <c r="P2936" s="8" t="s">
        <v>401</v>
      </c>
      <c r="Q2936" s="12" t="s">
        <v>15741</v>
      </c>
      <c r="R2936" s="8" t="s">
        <v>100</v>
      </c>
      <c r="S2936" s="7" t="s">
        <v>28</v>
      </c>
      <c r="T2936" s="6"/>
      <c r="U2936" s="8"/>
    </row>
    <row r="2937" spans="1:39" ht="13" customHeight="1">
      <c r="A2937" s="8" t="s">
        <v>15742</v>
      </c>
      <c r="B2937" s="16">
        <v>37</v>
      </c>
      <c r="C2937" s="8" t="s">
        <v>20</v>
      </c>
      <c r="D2937" s="8" t="s">
        <v>85</v>
      </c>
      <c r="E2937" s="8" t="s">
        <v>15743</v>
      </c>
      <c r="F2937" s="17">
        <v>41459</v>
      </c>
      <c r="G2937" s="8" t="s">
        <v>15744</v>
      </c>
      <c r="H2937" s="8" t="s">
        <v>6343</v>
      </c>
      <c r="I2937" s="8" t="s">
        <v>45</v>
      </c>
      <c r="J2937" s="16" t="s">
        <v>6344</v>
      </c>
      <c r="K2937" s="2" t="s">
        <v>786</v>
      </c>
      <c r="L2937" s="8" t="s">
        <v>6345</v>
      </c>
      <c r="M2937" s="8" t="s">
        <v>27</v>
      </c>
      <c r="N2937" s="2" t="s">
        <v>15745</v>
      </c>
      <c r="O2937" s="8" t="s">
        <v>4714</v>
      </c>
      <c r="P2937" s="8" t="s">
        <v>401</v>
      </c>
      <c r="Q2937" s="12" t="s">
        <v>15746</v>
      </c>
      <c r="R2937" s="8" t="s">
        <v>100</v>
      </c>
      <c r="S2937" s="7" t="s">
        <v>28</v>
      </c>
      <c r="T2937" s="6"/>
      <c r="U2937" s="8"/>
    </row>
    <row r="2938" spans="1:39" ht="13" customHeight="1">
      <c r="A2938" s="8" t="s">
        <v>15753</v>
      </c>
      <c r="B2938" s="16">
        <v>53</v>
      </c>
      <c r="C2938" s="8" t="s">
        <v>20</v>
      </c>
      <c r="D2938" s="8" t="s">
        <v>48</v>
      </c>
      <c r="F2938" s="17">
        <v>41459</v>
      </c>
      <c r="G2938" s="8" t="s">
        <v>15754</v>
      </c>
      <c r="H2938" s="8" t="s">
        <v>15755</v>
      </c>
      <c r="I2938" s="8" t="s">
        <v>57</v>
      </c>
      <c r="J2938" s="16" t="s">
        <v>15756</v>
      </c>
      <c r="K2938" s="2" t="s">
        <v>15757</v>
      </c>
      <c r="L2938" s="8" t="s">
        <v>15758</v>
      </c>
      <c r="M2938" s="8" t="s">
        <v>27</v>
      </c>
      <c r="N2938" s="2" t="s">
        <v>15759</v>
      </c>
      <c r="O2938" s="8" t="s">
        <v>4714</v>
      </c>
      <c r="P2938" s="8" t="s">
        <v>401</v>
      </c>
      <c r="Q2938" s="12" t="s">
        <v>15760</v>
      </c>
      <c r="R2938" s="8" t="s">
        <v>100</v>
      </c>
      <c r="S2938" s="7" t="s">
        <v>28</v>
      </c>
      <c r="T2938" s="6"/>
      <c r="U2938" s="8"/>
    </row>
    <row r="2939" spans="1:39" ht="13" customHeight="1">
      <c r="A2939" s="8" t="s">
        <v>15747</v>
      </c>
      <c r="B2939" s="16">
        <v>39</v>
      </c>
      <c r="C2939" s="8" t="s">
        <v>20</v>
      </c>
      <c r="D2939" s="8" t="s">
        <v>48</v>
      </c>
      <c r="E2939" s="8" t="s">
        <v>15748</v>
      </c>
      <c r="F2939" s="17">
        <v>41459</v>
      </c>
      <c r="G2939" s="8" t="s">
        <v>15749</v>
      </c>
      <c r="H2939" s="8" t="s">
        <v>757</v>
      </c>
      <c r="I2939" s="8" t="s">
        <v>423</v>
      </c>
      <c r="J2939" s="16" t="s">
        <v>15750</v>
      </c>
      <c r="K2939" s="2" t="s">
        <v>757</v>
      </c>
      <c r="L2939" s="8" t="s">
        <v>582</v>
      </c>
      <c r="M2939" s="8" t="s">
        <v>3386</v>
      </c>
      <c r="N2939" s="2" t="s">
        <v>15751</v>
      </c>
      <c r="O2939" s="8" t="s">
        <v>400</v>
      </c>
      <c r="P2939" s="8" t="s">
        <v>401</v>
      </c>
      <c r="Q2939" s="12" t="s">
        <v>15752</v>
      </c>
      <c r="R2939" s="8" t="s">
        <v>100</v>
      </c>
      <c r="S2939" s="7" t="s">
        <v>28</v>
      </c>
      <c r="T2939" s="6"/>
      <c r="U2939" s="8"/>
    </row>
    <row r="2940" spans="1:39" ht="13" customHeight="1">
      <c r="A2940" s="8" t="s">
        <v>15761</v>
      </c>
      <c r="B2940" s="16">
        <v>25</v>
      </c>
      <c r="C2940" s="8" t="s">
        <v>20</v>
      </c>
      <c r="D2940" s="8" t="s">
        <v>30</v>
      </c>
      <c r="F2940" s="17">
        <v>41459</v>
      </c>
      <c r="G2940" s="8" t="s">
        <v>15762</v>
      </c>
      <c r="H2940" s="8" t="s">
        <v>1063</v>
      </c>
      <c r="I2940" s="8" t="s">
        <v>62</v>
      </c>
      <c r="J2940" s="16" t="s">
        <v>15763</v>
      </c>
      <c r="K2940" s="2" t="s">
        <v>1064</v>
      </c>
      <c r="L2940" s="8" t="s">
        <v>1065</v>
      </c>
      <c r="M2940" s="8" t="s">
        <v>379</v>
      </c>
      <c r="N2940" s="2" t="s">
        <v>15764</v>
      </c>
      <c r="O2940" s="8" t="s">
        <v>1013</v>
      </c>
      <c r="P2940" s="8" t="s">
        <v>401</v>
      </c>
      <c r="Q2940" s="12" t="s">
        <v>15765</v>
      </c>
      <c r="R2940" s="8" t="s">
        <v>100</v>
      </c>
      <c r="S2940" s="7" t="s">
        <v>28</v>
      </c>
      <c r="T2940" s="6"/>
      <c r="U2940" s="8"/>
    </row>
    <row r="2941" spans="1:39" ht="13" customHeight="1">
      <c r="A2941" s="8" t="s">
        <v>15782</v>
      </c>
      <c r="B2941" s="16">
        <v>23</v>
      </c>
      <c r="C2941" s="8" t="s">
        <v>20</v>
      </c>
      <c r="D2941" s="8" t="s">
        <v>37</v>
      </c>
      <c r="E2941" s="8" t="s">
        <v>15783</v>
      </c>
      <c r="F2941" s="17">
        <v>41458</v>
      </c>
      <c r="G2941" s="8" t="s">
        <v>15784</v>
      </c>
      <c r="H2941" s="8" t="s">
        <v>1064</v>
      </c>
      <c r="I2941" s="8" t="s">
        <v>46</v>
      </c>
      <c r="J2941" s="16" t="s">
        <v>15785</v>
      </c>
      <c r="K2941" s="2" t="s">
        <v>1291</v>
      </c>
      <c r="L2941" s="8" t="s">
        <v>15786</v>
      </c>
      <c r="M2941" s="8" t="s">
        <v>27</v>
      </c>
      <c r="N2941" s="2" t="s">
        <v>15787</v>
      </c>
      <c r="O2941" s="8" t="s">
        <v>550</v>
      </c>
      <c r="P2941" s="8" t="s">
        <v>401</v>
      </c>
      <c r="Q2941" s="12" t="s">
        <v>15788</v>
      </c>
      <c r="R2941" s="8" t="s">
        <v>100</v>
      </c>
      <c r="S2941" s="7" t="s">
        <v>28</v>
      </c>
      <c r="T2941" s="6"/>
      <c r="U2941" s="8"/>
    </row>
    <row r="2942" spans="1:39" ht="13" customHeight="1">
      <c r="A2942" s="8" t="s">
        <v>15774</v>
      </c>
      <c r="B2942" s="16">
        <v>26</v>
      </c>
      <c r="C2942" s="8" t="s">
        <v>20</v>
      </c>
      <c r="D2942" s="8" t="s">
        <v>37</v>
      </c>
      <c r="E2942" s="8" t="s">
        <v>15775</v>
      </c>
      <c r="F2942" s="17">
        <v>41458</v>
      </c>
      <c r="G2942" s="8" t="s">
        <v>15776</v>
      </c>
      <c r="H2942" s="8" t="s">
        <v>15777</v>
      </c>
      <c r="I2942" s="8" t="s">
        <v>4399</v>
      </c>
      <c r="J2942" s="16" t="s">
        <v>15778</v>
      </c>
      <c r="K2942" s="2" t="s">
        <v>118</v>
      </c>
      <c r="L2942" s="8" t="s">
        <v>15779</v>
      </c>
      <c r="M2942" s="8" t="s">
        <v>27</v>
      </c>
      <c r="N2942" s="2" t="s">
        <v>15780</v>
      </c>
      <c r="O2942" s="8" t="s">
        <v>550</v>
      </c>
      <c r="P2942" s="8" t="s">
        <v>401</v>
      </c>
      <c r="Q2942" s="12" t="s">
        <v>15781</v>
      </c>
      <c r="R2942" s="8" t="s">
        <v>100</v>
      </c>
      <c r="S2942" s="7" t="s">
        <v>28</v>
      </c>
      <c r="T2942" s="6"/>
      <c r="U2942" s="8"/>
    </row>
    <row r="2943" spans="1:39" ht="13" customHeight="1">
      <c r="A2943" s="8" t="s">
        <v>15766</v>
      </c>
      <c r="B2943" s="16">
        <v>30</v>
      </c>
      <c r="C2943" s="8" t="s">
        <v>20</v>
      </c>
      <c r="D2943" s="8" t="s">
        <v>37</v>
      </c>
      <c r="F2943" s="17">
        <v>41458</v>
      </c>
      <c r="G2943" s="8" t="s">
        <v>15767</v>
      </c>
      <c r="H2943" s="8" t="s">
        <v>15768</v>
      </c>
      <c r="I2943" s="8" t="s">
        <v>69</v>
      </c>
      <c r="J2943" s="16" t="s">
        <v>15769</v>
      </c>
      <c r="K2943" s="2" t="s">
        <v>15770</v>
      </c>
      <c r="L2943" s="8" t="s">
        <v>15771</v>
      </c>
      <c r="M2943" s="8" t="s">
        <v>27</v>
      </c>
      <c r="N2943" s="2" t="s">
        <v>15772</v>
      </c>
      <c r="O2943" s="8" t="s">
        <v>400</v>
      </c>
      <c r="P2943" s="8" t="s">
        <v>401</v>
      </c>
      <c r="Q2943" s="12" t="s">
        <v>15773</v>
      </c>
      <c r="R2943" s="8" t="s">
        <v>555</v>
      </c>
      <c r="S2943" s="7" t="s">
        <v>28</v>
      </c>
      <c r="T2943" s="6"/>
      <c r="U2943" s="8"/>
    </row>
    <row r="2944" spans="1:39" ht="13" customHeight="1">
      <c r="A2944" s="8" t="s">
        <v>15789</v>
      </c>
      <c r="B2944" s="16">
        <v>34</v>
      </c>
      <c r="C2944" s="8" t="s">
        <v>20</v>
      </c>
      <c r="D2944" s="8" t="s">
        <v>37</v>
      </c>
      <c r="E2944" s="8" t="s">
        <v>15790</v>
      </c>
      <c r="F2944" s="17">
        <v>41458</v>
      </c>
      <c r="G2944" s="8" t="s">
        <v>15791</v>
      </c>
      <c r="H2944" s="8" t="s">
        <v>15792</v>
      </c>
      <c r="I2944" s="8" t="s">
        <v>981</v>
      </c>
      <c r="J2944" s="16" t="s">
        <v>15793</v>
      </c>
      <c r="K2944" s="2" t="s">
        <v>15794</v>
      </c>
      <c r="L2944" s="8" t="s">
        <v>15795</v>
      </c>
      <c r="M2944" s="8" t="s">
        <v>27</v>
      </c>
      <c r="N2944" s="2" t="s">
        <v>15796</v>
      </c>
      <c r="O2944" s="8" t="s">
        <v>4714</v>
      </c>
      <c r="P2944" s="8" t="s">
        <v>401</v>
      </c>
      <c r="Q2944" s="12" t="s">
        <v>15797</v>
      </c>
      <c r="R2944" s="8" t="s">
        <v>100</v>
      </c>
      <c r="S2944" s="7" t="s">
        <v>28</v>
      </c>
      <c r="T2944" s="6"/>
      <c r="U2944" s="8"/>
    </row>
    <row r="2945" spans="1:39" ht="13" customHeight="1">
      <c r="A2945" s="8" t="s">
        <v>15798</v>
      </c>
      <c r="B2945" s="16">
        <v>37</v>
      </c>
      <c r="C2945" s="8" t="s">
        <v>20</v>
      </c>
      <c r="D2945" s="8" t="s">
        <v>48</v>
      </c>
      <c r="E2945" s="8" t="s">
        <v>15799</v>
      </c>
      <c r="F2945" s="17">
        <v>41457</v>
      </c>
      <c r="G2945" s="8" t="s">
        <v>15800</v>
      </c>
      <c r="H2945" s="8" t="s">
        <v>974</v>
      </c>
      <c r="I2945" s="8" t="s">
        <v>195</v>
      </c>
      <c r="J2945" s="16" t="s">
        <v>7175</v>
      </c>
      <c r="K2945" s="2" t="s">
        <v>975</v>
      </c>
      <c r="L2945" s="8" t="s">
        <v>7176</v>
      </c>
      <c r="M2945" s="8" t="s">
        <v>27</v>
      </c>
      <c r="N2945" s="2" t="s">
        <v>15801</v>
      </c>
      <c r="O2945" s="8" t="s">
        <v>4714</v>
      </c>
      <c r="P2945" s="8" t="s">
        <v>401</v>
      </c>
      <c r="Q2945" s="12" t="s">
        <v>15802</v>
      </c>
      <c r="R2945" s="8" t="s">
        <v>100</v>
      </c>
      <c r="S2945" s="7" t="s">
        <v>28</v>
      </c>
      <c r="T2945" s="6"/>
      <c r="U2945" s="8"/>
    </row>
    <row r="2946" spans="1:39" ht="13" customHeight="1">
      <c r="A2946" s="8" t="s">
        <v>15803</v>
      </c>
      <c r="B2946" s="16">
        <v>54</v>
      </c>
      <c r="C2946" s="8" t="s">
        <v>114</v>
      </c>
      <c r="D2946" s="8" t="s">
        <v>30</v>
      </c>
      <c r="F2946" s="17">
        <v>41457</v>
      </c>
      <c r="G2946" s="8" t="s">
        <v>15804</v>
      </c>
      <c r="H2946" s="8" t="s">
        <v>15805</v>
      </c>
      <c r="I2946" s="8" t="s">
        <v>117</v>
      </c>
      <c r="J2946" s="16" t="s">
        <v>15806</v>
      </c>
      <c r="K2946" s="2" t="s">
        <v>12985</v>
      </c>
      <c r="L2946" s="8" t="s">
        <v>15807</v>
      </c>
      <c r="M2946" s="8" t="s">
        <v>27</v>
      </c>
      <c r="N2946" s="2" t="s">
        <v>15808</v>
      </c>
      <c r="O2946" s="8" t="s">
        <v>550</v>
      </c>
      <c r="P2946" s="8" t="s">
        <v>401</v>
      </c>
      <c r="Q2946" s="12" t="s">
        <v>15809</v>
      </c>
      <c r="R2946" s="8" t="s">
        <v>100</v>
      </c>
      <c r="S2946" s="7" t="s">
        <v>28</v>
      </c>
      <c r="T2946" s="6"/>
      <c r="U2946" s="8"/>
    </row>
    <row r="2947" spans="1:39" ht="13" customHeight="1">
      <c r="A2947" s="8" t="s">
        <v>15810</v>
      </c>
      <c r="B2947" s="16">
        <v>33</v>
      </c>
      <c r="C2947" s="8" t="s">
        <v>20</v>
      </c>
      <c r="D2947" s="8" t="s">
        <v>30</v>
      </c>
      <c r="F2947" s="17">
        <v>41457</v>
      </c>
      <c r="G2947" s="8" t="s">
        <v>15811</v>
      </c>
      <c r="H2947" s="8" t="s">
        <v>8765</v>
      </c>
      <c r="I2947" s="8" t="s">
        <v>45</v>
      </c>
      <c r="J2947" s="16" t="s">
        <v>15812</v>
      </c>
      <c r="K2947" s="2" t="s">
        <v>604</v>
      </c>
      <c r="L2947" s="8" t="s">
        <v>8767</v>
      </c>
      <c r="M2947" s="8" t="s">
        <v>15813</v>
      </c>
      <c r="N2947" s="2" t="s">
        <v>15814</v>
      </c>
      <c r="O2947" s="8" t="s">
        <v>1013</v>
      </c>
      <c r="P2947" s="8" t="s">
        <v>401</v>
      </c>
      <c r="Q2947" s="12" t="s">
        <v>15815</v>
      </c>
      <c r="R2947" s="8" t="s">
        <v>100</v>
      </c>
      <c r="S2947" s="7" t="s">
        <v>28</v>
      </c>
      <c r="T2947" s="6"/>
      <c r="U2947" s="8"/>
    </row>
    <row r="2948" spans="1:39" ht="13" customHeight="1">
      <c r="A2948" s="8" t="s">
        <v>15816</v>
      </c>
      <c r="B2948" s="16" t="s">
        <v>13587</v>
      </c>
      <c r="C2948" s="8" t="s">
        <v>20</v>
      </c>
      <c r="D2948" s="8" t="s">
        <v>37</v>
      </c>
      <c r="F2948" s="17">
        <v>41457</v>
      </c>
      <c r="G2948" s="8" t="s">
        <v>15817</v>
      </c>
      <c r="H2948" s="8" t="s">
        <v>9319</v>
      </c>
      <c r="I2948" s="8" t="s">
        <v>46</v>
      </c>
      <c r="J2948" s="16" t="s">
        <v>15818</v>
      </c>
      <c r="K2948" s="2" t="s">
        <v>42</v>
      </c>
      <c r="L2948" s="8" t="s">
        <v>15819</v>
      </c>
      <c r="M2948" s="8" t="s">
        <v>27</v>
      </c>
      <c r="N2948" s="2" t="s">
        <v>15820</v>
      </c>
      <c r="O2948" s="8" t="s">
        <v>550</v>
      </c>
      <c r="P2948" s="8" t="s">
        <v>401</v>
      </c>
      <c r="Q2948" s="12" t="s">
        <v>15821</v>
      </c>
      <c r="R2948" s="8" t="s">
        <v>967</v>
      </c>
      <c r="S2948" s="7" t="s">
        <v>28</v>
      </c>
      <c r="T2948" s="6"/>
      <c r="U2948" s="8"/>
      <c r="Y2948" s="13"/>
      <c r="Z2948" s="13"/>
      <c r="AA2948" s="13"/>
      <c r="AB2948" s="13"/>
      <c r="AC2948" s="13"/>
      <c r="AD2948" s="13"/>
      <c r="AE2948" s="13"/>
      <c r="AF2948" s="13"/>
      <c r="AG2948" s="13"/>
      <c r="AH2948" s="13"/>
    </row>
    <row r="2949" spans="1:39" ht="13" customHeight="1">
      <c r="A2949" s="8" t="s">
        <v>15830</v>
      </c>
      <c r="B2949" s="16" t="s">
        <v>15831</v>
      </c>
      <c r="C2949" s="8" t="s">
        <v>20</v>
      </c>
      <c r="D2949" s="8" t="s">
        <v>30</v>
      </c>
      <c r="F2949" s="17">
        <v>41456</v>
      </c>
      <c r="G2949" s="8" t="s">
        <v>15832</v>
      </c>
      <c r="H2949" s="8" t="s">
        <v>1195</v>
      </c>
      <c r="I2949" s="8" t="s">
        <v>319</v>
      </c>
      <c r="J2949" s="16">
        <v>38117</v>
      </c>
      <c r="K2949" s="2" t="s">
        <v>1196</v>
      </c>
      <c r="L2949" s="8" t="s">
        <v>1197</v>
      </c>
      <c r="M2949" s="8" t="s">
        <v>27</v>
      </c>
      <c r="N2949" s="2" t="s">
        <v>15833</v>
      </c>
      <c r="O2949" s="8" t="s">
        <v>29</v>
      </c>
      <c r="P2949" s="8" t="s">
        <v>401</v>
      </c>
      <c r="Q2949" s="12" t="s">
        <v>15834</v>
      </c>
      <c r="R2949" s="8" t="s">
        <v>555</v>
      </c>
      <c r="S2949" s="7" t="s">
        <v>28</v>
      </c>
      <c r="T2949" s="6"/>
      <c r="U2949" s="8"/>
    </row>
    <row r="2950" spans="1:39" ht="13" customHeight="1">
      <c r="A2950" s="8" t="s">
        <v>15822</v>
      </c>
      <c r="B2950" s="16">
        <v>76</v>
      </c>
      <c r="C2950" s="8" t="s">
        <v>20</v>
      </c>
      <c r="D2950" s="8" t="s">
        <v>30</v>
      </c>
      <c r="F2950" s="17">
        <v>41456</v>
      </c>
      <c r="G2950" s="8" t="s">
        <v>15823</v>
      </c>
      <c r="H2950" s="8" t="s">
        <v>15824</v>
      </c>
      <c r="I2950" s="8" t="s">
        <v>438</v>
      </c>
      <c r="J2950" s="16" t="s">
        <v>15825</v>
      </c>
      <c r="K2950" s="2" t="s">
        <v>15826</v>
      </c>
      <c r="L2950" s="8" t="s">
        <v>15827</v>
      </c>
      <c r="M2950" s="8" t="s">
        <v>27</v>
      </c>
      <c r="N2950" s="2" t="s">
        <v>15828</v>
      </c>
      <c r="O2950" s="8" t="s">
        <v>4714</v>
      </c>
      <c r="P2950" s="8" t="s">
        <v>401</v>
      </c>
      <c r="Q2950" s="12" t="s">
        <v>15829</v>
      </c>
      <c r="R2950" s="8" t="s">
        <v>555</v>
      </c>
      <c r="S2950" s="7" t="s">
        <v>28</v>
      </c>
      <c r="T2950" s="6"/>
      <c r="U2950" s="8"/>
    </row>
    <row r="2951" spans="1:39" ht="13" customHeight="1">
      <c r="A2951" s="8" t="s">
        <v>15835</v>
      </c>
      <c r="B2951" s="16">
        <v>39</v>
      </c>
      <c r="C2951" s="8" t="s">
        <v>20</v>
      </c>
      <c r="D2951" s="8" t="s">
        <v>85</v>
      </c>
      <c r="E2951" s="8" t="s">
        <v>15836</v>
      </c>
      <c r="F2951" s="17">
        <v>41455</v>
      </c>
      <c r="G2951" s="8" t="s">
        <v>15837</v>
      </c>
      <c r="H2951" s="8" t="s">
        <v>1651</v>
      </c>
      <c r="I2951" s="8" t="s">
        <v>173</v>
      </c>
      <c r="J2951" s="16" t="s">
        <v>1652</v>
      </c>
      <c r="K2951" s="2" t="s">
        <v>877</v>
      </c>
      <c r="L2951" s="8" t="s">
        <v>1653</v>
      </c>
      <c r="M2951" s="8" t="s">
        <v>391</v>
      </c>
      <c r="N2951" s="2" t="s">
        <v>15838</v>
      </c>
      <c r="O2951" s="8" t="s">
        <v>1013</v>
      </c>
      <c r="P2951" s="8" t="s">
        <v>401</v>
      </c>
      <c r="Q2951" s="12" t="s">
        <v>15839</v>
      </c>
      <c r="R2951" s="8" t="s">
        <v>100</v>
      </c>
      <c r="S2951" s="7" t="s">
        <v>28</v>
      </c>
      <c r="T2951" s="6"/>
      <c r="U2951" s="8"/>
    </row>
    <row r="2952" spans="1:39" ht="13" customHeight="1">
      <c r="A2952" s="8" t="s">
        <v>4671</v>
      </c>
      <c r="B2952" s="16">
        <v>34</v>
      </c>
      <c r="C2952" s="8" t="s">
        <v>20</v>
      </c>
      <c r="D2952" s="8" t="s">
        <v>48</v>
      </c>
      <c r="F2952" s="17">
        <v>41455</v>
      </c>
      <c r="G2952" s="8" t="s">
        <v>15840</v>
      </c>
      <c r="H2952" s="8" t="s">
        <v>15841</v>
      </c>
      <c r="I2952" s="8" t="s">
        <v>45</v>
      </c>
      <c r="J2952" s="16" t="s">
        <v>15842</v>
      </c>
      <c r="K2952" s="2" t="s">
        <v>98</v>
      </c>
      <c r="L2952" s="8" t="s">
        <v>99</v>
      </c>
      <c r="M2952" s="8" t="s">
        <v>27</v>
      </c>
      <c r="N2952" s="2" t="s">
        <v>15843</v>
      </c>
      <c r="O2952" s="8" t="s">
        <v>1013</v>
      </c>
      <c r="P2952" s="8" t="s">
        <v>401</v>
      </c>
      <c r="Q2952" s="12" t="s">
        <v>15844</v>
      </c>
      <c r="R2952" s="8" t="s">
        <v>100</v>
      </c>
      <c r="S2952" s="7" t="s">
        <v>28</v>
      </c>
      <c r="T2952" s="6"/>
      <c r="U2952" s="8"/>
    </row>
    <row r="2953" spans="1:39" ht="13" customHeight="1">
      <c r="A2953" s="8" t="s">
        <v>15845</v>
      </c>
      <c r="B2953" s="16">
        <v>21</v>
      </c>
      <c r="C2953" s="8" t="s">
        <v>20</v>
      </c>
      <c r="D2953" s="8" t="s">
        <v>85</v>
      </c>
      <c r="E2953" s="8" t="s">
        <v>15846</v>
      </c>
      <c r="F2953" s="17">
        <v>41454</v>
      </c>
      <c r="G2953" s="8" t="s">
        <v>15847</v>
      </c>
      <c r="H2953" s="8" t="s">
        <v>15447</v>
      </c>
      <c r="I2953" s="8" t="s">
        <v>45</v>
      </c>
      <c r="J2953" s="16" t="s">
        <v>15848</v>
      </c>
      <c r="K2953" s="2" t="s">
        <v>3442</v>
      </c>
      <c r="L2953" s="8" t="s">
        <v>15449</v>
      </c>
      <c r="M2953" s="8" t="s">
        <v>27</v>
      </c>
      <c r="N2953" s="2" t="s">
        <v>15849</v>
      </c>
      <c r="O2953" s="8" t="s">
        <v>1013</v>
      </c>
      <c r="P2953" s="8" t="s">
        <v>401</v>
      </c>
      <c r="Q2953" s="12" t="s">
        <v>15850</v>
      </c>
      <c r="R2953" s="8" t="s">
        <v>100</v>
      </c>
      <c r="S2953" s="7" t="s">
        <v>28</v>
      </c>
      <c r="T2953" s="6"/>
      <c r="U2953" s="8"/>
    </row>
    <row r="2954" spans="1:39" ht="13" customHeight="1">
      <c r="A2954" s="8" t="s">
        <v>15857</v>
      </c>
      <c r="B2954" s="16">
        <v>26</v>
      </c>
      <c r="C2954" s="8" t="s">
        <v>20</v>
      </c>
      <c r="D2954" s="8" t="s">
        <v>30</v>
      </c>
      <c r="F2954" s="17">
        <v>41454</v>
      </c>
      <c r="G2954" s="8" t="s">
        <v>15858</v>
      </c>
      <c r="H2954" s="8" t="s">
        <v>15859</v>
      </c>
      <c r="I2954" s="8" t="s">
        <v>45</v>
      </c>
      <c r="J2954" s="16" t="s">
        <v>15860</v>
      </c>
      <c r="K2954" s="2" t="s">
        <v>309</v>
      </c>
      <c r="L2954" s="8" t="s">
        <v>15861</v>
      </c>
      <c r="M2954" s="8" t="s">
        <v>27</v>
      </c>
      <c r="N2954" s="2" t="s">
        <v>15862</v>
      </c>
      <c r="O2954" s="8" t="s">
        <v>550</v>
      </c>
      <c r="P2954" s="8" t="s">
        <v>401</v>
      </c>
      <c r="Q2954" s="12" t="s">
        <v>15863</v>
      </c>
      <c r="R2954" s="8" t="s">
        <v>100</v>
      </c>
      <c r="S2954" s="7" t="s">
        <v>28</v>
      </c>
      <c r="T2954" s="6"/>
      <c r="U2954" s="8"/>
      <c r="V2954" s="8"/>
      <c r="W2954" s="8"/>
      <c r="X2954" s="8"/>
    </row>
    <row r="2955" spans="1:39" ht="13" customHeight="1">
      <c r="A2955" s="8" t="s">
        <v>15851</v>
      </c>
      <c r="B2955" s="16">
        <v>46</v>
      </c>
      <c r="C2955" s="8" t="s">
        <v>20</v>
      </c>
      <c r="D2955" s="8" t="s">
        <v>30</v>
      </c>
      <c r="F2955" s="17">
        <v>41454</v>
      </c>
      <c r="G2955" s="8" t="s">
        <v>15852</v>
      </c>
      <c r="H2955" s="8" t="s">
        <v>15853</v>
      </c>
      <c r="I2955" s="8" t="s">
        <v>423</v>
      </c>
      <c r="J2955" s="16" t="s">
        <v>15854</v>
      </c>
      <c r="K2955" s="2" t="s">
        <v>1703</v>
      </c>
      <c r="L2955" s="8" t="s">
        <v>3370</v>
      </c>
      <c r="M2955" s="8" t="s">
        <v>27</v>
      </c>
      <c r="N2955" s="2" t="s">
        <v>15855</v>
      </c>
      <c r="O2955" s="8" t="s">
        <v>1013</v>
      </c>
      <c r="P2955" s="8" t="s">
        <v>401</v>
      </c>
      <c r="Q2955" s="12" t="s">
        <v>15856</v>
      </c>
      <c r="R2955" s="8" t="s">
        <v>100</v>
      </c>
      <c r="S2955" s="7" t="s">
        <v>28</v>
      </c>
      <c r="T2955" s="6"/>
      <c r="U2955" s="8"/>
    </row>
    <row r="2956" spans="1:39" ht="13" customHeight="1">
      <c r="A2956" s="8" t="s">
        <v>15864</v>
      </c>
      <c r="B2956" s="16">
        <v>32</v>
      </c>
      <c r="C2956" s="8" t="s">
        <v>20</v>
      </c>
      <c r="D2956" s="8" t="s">
        <v>21</v>
      </c>
      <c r="E2956" s="8" t="s">
        <v>15865</v>
      </c>
      <c r="F2956" s="17">
        <v>41453</v>
      </c>
      <c r="G2956" s="8" t="s">
        <v>15866</v>
      </c>
      <c r="H2956" s="8" t="s">
        <v>575</v>
      </c>
      <c r="I2956" s="8" t="s">
        <v>73</v>
      </c>
      <c r="J2956" s="16" t="s">
        <v>3030</v>
      </c>
      <c r="K2956" s="2" t="s">
        <v>576</v>
      </c>
      <c r="L2956" s="8" t="s">
        <v>577</v>
      </c>
      <c r="M2956" s="8" t="s">
        <v>27</v>
      </c>
      <c r="N2956" s="2" t="s">
        <v>15867</v>
      </c>
      <c r="O2956" s="8" t="s">
        <v>550</v>
      </c>
      <c r="P2956" s="8" t="s">
        <v>401</v>
      </c>
      <c r="Q2956" s="12" t="s">
        <v>15868</v>
      </c>
      <c r="R2956" s="8" t="s">
        <v>29</v>
      </c>
      <c r="S2956" s="7" t="s">
        <v>28</v>
      </c>
      <c r="T2956" s="6"/>
      <c r="U2956" s="8"/>
      <c r="AI2956" s="8"/>
      <c r="AJ2956" s="8"/>
      <c r="AK2956" s="8"/>
      <c r="AL2956" s="8"/>
      <c r="AM2956" s="8"/>
    </row>
    <row r="2957" spans="1:39" ht="13" customHeight="1">
      <c r="A2957" s="8" t="s">
        <v>15869</v>
      </c>
      <c r="B2957" s="16" t="s">
        <v>15112</v>
      </c>
      <c r="C2957" s="8" t="s">
        <v>20</v>
      </c>
      <c r="D2957" s="8" t="s">
        <v>37</v>
      </c>
      <c r="E2957" s="8" t="s">
        <v>15870</v>
      </c>
      <c r="F2957" s="17">
        <v>41453</v>
      </c>
      <c r="G2957" s="8" t="s">
        <v>15871</v>
      </c>
      <c r="H2957" s="8" t="s">
        <v>15872</v>
      </c>
      <c r="I2957" s="8" t="s">
        <v>73</v>
      </c>
      <c r="J2957" s="16" t="s">
        <v>15873</v>
      </c>
      <c r="K2957" s="2" t="s">
        <v>15874</v>
      </c>
      <c r="L2957" s="8" t="s">
        <v>15875</v>
      </c>
      <c r="M2957" s="8" t="s">
        <v>27</v>
      </c>
      <c r="N2957" s="2" t="s">
        <v>15876</v>
      </c>
      <c r="O2957" s="8" t="s">
        <v>29</v>
      </c>
      <c r="P2957" s="8" t="s">
        <v>401</v>
      </c>
      <c r="Q2957" s="12" t="s">
        <v>15877</v>
      </c>
      <c r="R2957" s="8" t="s">
        <v>100</v>
      </c>
      <c r="S2957" s="7" t="s">
        <v>28</v>
      </c>
      <c r="T2957" s="6"/>
      <c r="U2957" s="8"/>
    </row>
    <row r="2958" spans="1:39" ht="13" customHeight="1">
      <c r="A2958" s="8" t="s">
        <v>15885</v>
      </c>
      <c r="B2958" s="16">
        <v>50</v>
      </c>
      <c r="C2958" s="8" t="s">
        <v>20</v>
      </c>
      <c r="D2958" s="8" t="s">
        <v>37</v>
      </c>
      <c r="E2958" s="8" t="s">
        <v>15886</v>
      </c>
      <c r="F2958" s="17">
        <v>41453</v>
      </c>
      <c r="G2958" s="8" t="s">
        <v>15887</v>
      </c>
      <c r="H2958" s="8" t="s">
        <v>15888</v>
      </c>
      <c r="I2958" s="8" t="s">
        <v>404</v>
      </c>
      <c r="J2958" s="16" t="s">
        <v>15889</v>
      </c>
      <c r="K2958" s="2" t="s">
        <v>1520</v>
      </c>
      <c r="L2958" s="8" t="s">
        <v>9400</v>
      </c>
      <c r="M2958" s="8" t="s">
        <v>27</v>
      </c>
      <c r="N2958" s="2" t="s">
        <v>15890</v>
      </c>
      <c r="O2958" s="8" t="s">
        <v>1013</v>
      </c>
      <c r="P2958" s="8" t="s">
        <v>401</v>
      </c>
      <c r="Q2958" s="12" t="s">
        <v>15891</v>
      </c>
      <c r="R2958" s="8" t="s">
        <v>100</v>
      </c>
      <c r="S2958" s="7" t="s">
        <v>28</v>
      </c>
      <c r="T2958" s="6"/>
      <c r="U2958" s="8"/>
    </row>
    <row r="2959" spans="1:39" ht="13" customHeight="1">
      <c r="A2959" s="8" t="s">
        <v>15878</v>
      </c>
      <c r="B2959" s="16" t="s">
        <v>15879</v>
      </c>
      <c r="C2959" s="8" t="s">
        <v>20</v>
      </c>
      <c r="D2959" s="8" t="s">
        <v>37</v>
      </c>
      <c r="E2959" s="8" t="s">
        <v>15880</v>
      </c>
      <c r="F2959" s="17">
        <v>41453</v>
      </c>
      <c r="G2959" s="8" t="s">
        <v>15881</v>
      </c>
      <c r="H2959" s="8" t="s">
        <v>653</v>
      </c>
      <c r="I2959" s="8" t="s">
        <v>981</v>
      </c>
      <c r="J2959" s="16" t="s">
        <v>15882</v>
      </c>
      <c r="K2959" s="2" t="s">
        <v>2505</v>
      </c>
      <c r="L2959" s="8" t="s">
        <v>2361</v>
      </c>
      <c r="M2959" s="8" t="s">
        <v>27</v>
      </c>
      <c r="N2959" s="2" t="s">
        <v>15883</v>
      </c>
      <c r="O2959" s="8" t="s">
        <v>29</v>
      </c>
      <c r="P2959" s="8" t="s">
        <v>401</v>
      </c>
      <c r="Q2959" s="12" t="s">
        <v>15884</v>
      </c>
      <c r="R2959" s="8" t="s">
        <v>100</v>
      </c>
      <c r="S2959" s="7" t="s">
        <v>28</v>
      </c>
      <c r="T2959" s="6"/>
      <c r="U2959" s="8"/>
    </row>
    <row r="2960" spans="1:39" ht="13" customHeight="1">
      <c r="A2960" s="8" t="s">
        <v>15892</v>
      </c>
      <c r="B2960" s="16" t="s">
        <v>15893</v>
      </c>
      <c r="C2960" s="8" t="s">
        <v>20</v>
      </c>
      <c r="D2960" s="8" t="s">
        <v>85</v>
      </c>
      <c r="F2960" s="17">
        <v>41452</v>
      </c>
      <c r="G2960" s="8" t="s">
        <v>15894</v>
      </c>
      <c r="H2960" s="8" t="s">
        <v>5227</v>
      </c>
      <c r="I2960" s="8" t="s">
        <v>45</v>
      </c>
      <c r="J2960" s="16" t="s">
        <v>12563</v>
      </c>
      <c r="K2960" s="2" t="s">
        <v>98</v>
      </c>
      <c r="L2960" s="8" t="s">
        <v>5014</v>
      </c>
      <c r="M2960" s="8" t="s">
        <v>27</v>
      </c>
      <c r="N2960" s="2" t="s">
        <v>15895</v>
      </c>
      <c r="O2960" s="8" t="s">
        <v>29</v>
      </c>
      <c r="P2960" s="8" t="s">
        <v>401</v>
      </c>
      <c r="Q2960" s="12" t="s">
        <v>15896</v>
      </c>
      <c r="R2960" s="8" t="s">
        <v>100</v>
      </c>
      <c r="S2960" s="7" t="s">
        <v>28</v>
      </c>
      <c r="T2960" s="6"/>
      <c r="U2960" s="8"/>
    </row>
    <row r="2961" spans="1:34" ht="13" customHeight="1">
      <c r="A2961" s="8" t="s">
        <v>15897</v>
      </c>
      <c r="B2961" s="16" t="s">
        <v>11124</v>
      </c>
      <c r="C2961" s="8" t="s">
        <v>20</v>
      </c>
      <c r="D2961" s="8" t="s">
        <v>30</v>
      </c>
      <c r="F2961" s="17">
        <v>41452</v>
      </c>
      <c r="G2961" s="8" t="s">
        <v>15898</v>
      </c>
      <c r="H2961" s="8" t="s">
        <v>1919</v>
      </c>
      <c r="I2961" s="8" t="s">
        <v>173</v>
      </c>
      <c r="J2961" s="16" t="s">
        <v>15899</v>
      </c>
      <c r="K2961" s="2" t="s">
        <v>1560</v>
      </c>
      <c r="L2961" s="8" t="s">
        <v>2550</v>
      </c>
      <c r="M2961" s="8" t="s">
        <v>27</v>
      </c>
      <c r="N2961" s="2" t="s">
        <v>15900</v>
      </c>
      <c r="O2961" s="8" t="s">
        <v>29</v>
      </c>
      <c r="P2961" s="8" t="s">
        <v>401</v>
      </c>
      <c r="Q2961" s="12" t="s">
        <v>15901</v>
      </c>
      <c r="R2961" s="8" t="s">
        <v>100</v>
      </c>
      <c r="S2961" s="7" t="s">
        <v>28</v>
      </c>
      <c r="T2961" s="6"/>
      <c r="U2961" s="8"/>
      <c r="Y2961" s="8"/>
      <c r="Z2961" s="8"/>
      <c r="AA2961" s="8"/>
      <c r="AB2961" s="8"/>
      <c r="AC2961" s="8"/>
      <c r="AD2961" s="8"/>
      <c r="AE2961" s="8"/>
      <c r="AF2961" s="8"/>
      <c r="AG2961" s="8"/>
      <c r="AH2961" s="8"/>
    </row>
    <row r="2962" spans="1:34" ht="13" customHeight="1">
      <c r="A2962" s="8" t="s">
        <v>15902</v>
      </c>
      <c r="B2962" s="16" t="s">
        <v>15903</v>
      </c>
      <c r="C2962" s="8" t="s">
        <v>20</v>
      </c>
      <c r="D2962" s="8" t="s">
        <v>37</v>
      </c>
      <c r="E2962" s="8" t="s">
        <v>15904</v>
      </c>
      <c r="F2962" s="17">
        <v>41452</v>
      </c>
      <c r="G2962" s="8" t="s">
        <v>15905</v>
      </c>
      <c r="H2962" s="8" t="s">
        <v>15906</v>
      </c>
      <c r="I2962" s="8" t="s">
        <v>45</v>
      </c>
      <c r="J2962" s="16" t="s">
        <v>15907</v>
      </c>
      <c r="K2962" s="2" t="s">
        <v>98</v>
      </c>
      <c r="L2962" s="8" t="s">
        <v>5014</v>
      </c>
      <c r="M2962" s="8" t="s">
        <v>27</v>
      </c>
      <c r="N2962" s="2" t="s">
        <v>15908</v>
      </c>
      <c r="O2962" s="8" t="s">
        <v>29</v>
      </c>
      <c r="P2962" s="8" t="s">
        <v>401</v>
      </c>
      <c r="Q2962" s="12" t="s">
        <v>15909</v>
      </c>
      <c r="R2962" s="8" t="s">
        <v>100</v>
      </c>
      <c r="S2962" s="7" t="s">
        <v>28</v>
      </c>
      <c r="T2962" s="6"/>
      <c r="U2962" s="8"/>
    </row>
    <row r="2963" spans="1:34" ht="13" customHeight="1">
      <c r="A2963" s="8" t="s">
        <v>15915</v>
      </c>
      <c r="B2963" s="16" t="s">
        <v>15705</v>
      </c>
      <c r="C2963" s="8" t="s">
        <v>20</v>
      </c>
      <c r="D2963" s="8" t="s">
        <v>30</v>
      </c>
      <c r="F2963" s="17">
        <v>41451</v>
      </c>
      <c r="G2963" s="8" t="s">
        <v>15916</v>
      </c>
      <c r="H2963" s="8" t="s">
        <v>15917</v>
      </c>
      <c r="I2963" s="8" t="s">
        <v>150</v>
      </c>
      <c r="J2963" s="16" t="s">
        <v>15918</v>
      </c>
      <c r="K2963" s="2" t="s">
        <v>3414</v>
      </c>
      <c r="L2963" s="8" t="s">
        <v>15919</v>
      </c>
      <c r="M2963" s="8" t="s">
        <v>27</v>
      </c>
      <c r="N2963" s="2" t="s">
        <v>15920</v>
      </c>
      <c r="O2963" s="8" t="s">
        <v>29</v>
      </c>
      <c r="P2963" s="8" t="s">
        <v>401</v>
      </c>
      <c r="Q2963" s="12" t="s">
        <v>15921</v>
      </c>
      <c r="R2963" s="8" t="s">
        <v>100</v>
      </c>
      <c r="S2963" s="7" t="s">
        <v>28</v>
      </c>
      <c r="T2963" s="6"/>
      <c r="U2963" s="8"/>
    </row>
    <row r="2964" spans="1:34" ht="13" customHeight="1">
      <c r="A2964" s="8" t="s">
        <v>15910</v>
      </c>
      <c r="B2964" s="16">
        <v>46</v>
      </c>
      <c r="C2964" s="8" t="s">
        <v>114</v>
      </c>
      <c r="D2964" s="8" t="s">
        <v>30</v>
      </c>
      <c r="F2964" s="17">
        <v>41451</v>
      </c>
      <c r="G2964" s="8" t="s">
        <v>15911</v>
      </c>
      <c r="H2964" s="8" t="s">
        <v>2201</v>
      </c>
      <c r="I2964" s="8" t="s">
        <v>62</v>
      </c>
      <c r="J2964" s="16" t="s">
        <v>15912</v>
      </c>
      <c r="K2964" s="2" t="s">
        <v>1127</v>
      </c>
      <c r="L2964" s="8" t="s">
        <v>4412</v>
      </c>
      <c r="M2964" s="8" t="s">
        <v>379</v>
      </c>
      <c r="N2964" s="2" t="s">
        <v>15913</v>
      </c>
      <c r="O2964" s="8" t="s">
        <v>3400</v>
      </c>
      <c r="P2964" s="8" t="s">
        <v>401</v>
      </c>
      <c r="Q2964" s="12" t="s">
        <v>15914</v>
      </c>
      <c r="R2964" s="8" t="s">
        <v>100</v>
      </c>
      <c r="S2964" s="7" t="s">
        <v>28</v>
      </c>
      <c r="T2964" s="6"/>
      <c r="U2964" s="8"/>
    </row>
    <row r="2965" spans="1:34" ht="13" customHeight="1">
      <c r="A2965" s="8" t="s">
        <v>15931</v>
      </c>
      <c r="B2965" s="16" t="s">
        <v>10931</v>
      </c>
      <c r="C2965" s="8" t="s">
        <v>20</v>
      </c>
      <c r="D2965" s="8" t="s">
        <v>37</v>
      </c>
      <c r="E2965" s="8" t="s">
        <v>15932</v>
      </c>
      <c r="F2965" s="17">
        <v>41451</v>
      </c>
      <c r="G2965" s="8" t="s">
        <v>15933</v>
      </c>
      <c r="H2965" s="8" t="s">
        <v>785</v>
      </c>
      <c r="I2965" s="8" t="s">
        <v>45</v>
      </c>
      <c r="J2965" s="16" t="s">
        <v>2840</v>
      </c>
      <c r="K2965" s="2" t="s">
        <v>786</v>
      </c>
      <c r="L2965" s="8" t="s">
        <v>4807</v>
      </c>
      <c r="M2965" s="8" t="s">
        <v>27</v>
      </c>
      <c r="N2965" s="2" t="s">
        <v>15934</v>
      </c>
      <c r="O2965" s="8" t="s">
        <v>550</v>
      </c>
      <c r="P2965" s="8" t="s">
        <v>401</v>
      </c>
      <c r="Q2965" s="12" t="s">
        <v>15935</v>
      </c>
      <c r="R2965" s="8" t="s">
        <v>100</v>
      </c>
      <c r="S2965" s="7" t="s">
        <v>28</v>
      </c>
      <c r="T2965" s="6"/>
      <c r="U2965" s="8"/>
    </row>
    <row r="2966" spans="1:34" ht="13" customHeight="1">
      <c r="A2966" s="8" t="s">
        <v>15922</v>
      </c>
      <c r="B2966" s="16">
        <v>34</v>
      </c>
      <c r="C2966" s="8" t="s">
        <v>20</v>
      </c>
      <c r="D2966" s="8" t="s">
        <v>37</v>
      </c>
      <c r="E2966" s="8" t="s">
        <v>15923</v>
      </c>
      <c r="F2966" s="17">
        <v>41451</v>
      </c>
      <c r="G2966" s="8" t="s">
        <v>15924</v>
      </c>
      <c r="H2966" s="8" t="s">
        <v>15925</v>
      </c>
      <c r="I2966" s="8" t="s">
        <v>133</v>
      </c>
      <c r="J2966" s="16" t="s">
        <v>15926</v>
      </c>
      <c r="K2966" s="2" t="s">
        <v>15927</v>
      </c>
      <c r="L2966" s="8" t="s">
        <v>15928</v>
      </c>
      <c r="M2966" s="8" t="s">
        <v>27</v>
      </c>
      <c r="N2966" s="2" t="s">
        <v>15929</v>
      </c>
      <c r="O2966" s="8" t="s">
        <v>550</v>
      </c>
      <c r="P2966" s="8" t="s">
        <v>401</v>
      </c>
      <c r="Q2966" s="12" t="s">
        <v>15930</v>
      </c>
      <c r="R2966" s="8" t="s">
        <v>555</v>
      </c>
      <c r="S2966" s="7" t="s">
        <v>28</v>
      </c>
      <c r="T2966" s="6"/>
      <c r="U2966" s="8"/>
    </row>
    <row r="2967" spans="1:34" ht="13" customHeight="1">
      <c r="A2967" s="8" t="s">
        <v>15936</v>
      </c>
      <c r="B2967" s="16" t="s">
        <v>13982</v>
      </c>
      <c r="C2967" s="8" t="s">
        <v>20</v>
      </c>
      <c r="D2967" s="8" t="s">
        <v>30</v>
      </c>
      <c r="F2967" s="17">
        <v>41450</v>
      </c>
      <c r="G2967" s="8" t="s">
        <v>15937</v>
      </c>
      <c r="H2967" s="8" t="s">
        <v>15938</v>
      </c>
      <c r="I2967" s="8" t="s">
        <v>45</v>
      </c>
      <c r="J2967" s="16" t="s">
        <v>15939</v>
      </c>
      <c r="K2967" s="2" t="s">
        <v>786</v>
      </c>
      <c r="L2967" s="8" t="s">
        <v>787</v>
      </c>
      <c r="M2967" s="8" t="s">
        <v>27</v>
      </c>
      <c r="N2967" s="2" t="s">
        <v>15940</v>
      </c>
      <c r="O2967" s="8" t="s">
        <v>29</v>
      </c>
      <c r="P2967" s="8" t="s">
        <v>401</v>
      </c>
      <c r="Q2967" s="12" t="s">
        <v>15941</v>
      </c>
      <c r="R2967" s="8" t="s">
        <v>100</v>
      </c>
      <c r="S2967" s="7" t="s">
        <v>28</v>
      </c>
      <c r="T2967" s="6"/>
      <c r="U2967" s="8"/>
    </row>
    <row r="2968" spans="1:34" ht="13" customHeight="1">
      <c r="A2968" s="8" t="s">
        <v>15942</v>
      </c>
      <c r="B2968" s="16">
        <v>26</v>
      </c>
      <c r="C2968" s="8" t="s">
        <v>20</v>
      </c>
      <c r="D2968" s="8" t="s">
        <v>30</v>
      </c>
      <c r="F2968" s="17">
        <v>41449</v>
      </c>
      <c r="G2968" s="8" t="s">
        <v>15943</v>
      </c>
      <c r="H2968" s="8" t="s">
        <v>8810</v>
      </c>
      <c r="I2968" s="8" t="s">
        <v>330</v>
      </c>
      <c r="J2968" s="16" t="s">
        <v>4447</v>
      </c>
      <c r="K2968" s="2" t="s">
        <v>15944</v>
      </c>
      <c r="L2968" s="8" t="s">
        <v>4448</v>
      </c>
      <c r="M2968" s="8" t="s">
        <v>27</v>
      </c>
      <c r="N2968" s="2" t="s">
        <v>15945</v>
      </c>
      <c r="O2968" s="8" t="s">
        <v>29</v>
      </c>
      <c r="P2968" s="8" t="s">
        <v>401</v>
      </c>
      <c r="Q2968" s="12" t="s">
        <v>15946</v>
      </c>
      <c r="R2968" s="8" t="s">
        <v>29</v>
      </c>
      <c r="S2968" s="7" t="s">
        <v>28</v>
      </c>
      <c r="T2968" s="6"/>
      <c r="U2968" s="8"/>
      <c r="Y2968" s="8"/>
      <c r="Z2968" s="8"/>
      <c r="AA2968" s="8"/>
      <c r="AB2968" s="8"/>
      <c r="AC2968" s="8"/>
      <c r="AD2968" s="8"/>
      <c r="AE2968" s="8"/>
      <c r="AF2968" s="8"/>
      <c r="AG2968" s="8"/>
      <c r="AH2968" s="8"/>
    </row>
    <row r="2969" spans="1:34" ht="13" customHeight="1">
      <c r="A2969" s="8" t="s">
        <v>15947</v>
      </c>
      <c r="B2969" s="16" t="s">
        <v>13637</v>
      </c>
      <c r="C2969" s="8" t="s">
        <v>20</v>
      </c>
      <c r="D2969" s="8" t="s">
        <v>37</v>
      </c>
      <c r="E2969" s="8" t="s">
        <v>15948</v>
      </c>
      <c r="F2969" s="17">
        <v>41449</v>
      </c>
      <c r="G2969" s="8" t="s">
        <v>15949</v>
      </c>
      <c r="H2969" s="8" t="s">
        <v>7767</v>
      </c>
      <c r="I2969" s="8" t="s">
        <v>62</v>
      </c>
      <c r="J2969" s="16" t="s">
        <v>15950</v>
      </c>
      <c r="K2969" s="2" t="s">
        <v>5575</v>
      </c>
      <c r="L2969" s="8" t="s">
        <v>15951</v>
      </c>
      <c r="M2969" s="8" t="s">
        <v>27</v>
      </c>
      <c r="N2969" s="2" t="s">
        <v>15952</v>
      </c>
      <c r="O2969" s="8" t="s">
        <v>550</v>
      </c>
      <c r="P2969" s="8" t="s">
        <v>401</v>
      </c>
      <c r="Q2969" s="12" t="s">
        <v>15953</v>
      </c>
      <c r="R2969" s="8" t="s">
        <v>100</v>
      </c>
      <c r="S2969" s="7" t="s">
        <v>28</v>
      </c>
      <c r="T2969" s="6"/>
      <c r="U2969" s="8"/>
    </row>
    <row r="2970" spans="1:34" ht="13" customHeight="1">
      <c r="A2970" s="8" t="s">
        <v>15954</v>
      </c>
      <c r="B2970" s="16" t="s">
        <v>8817</v>
      </c>
      <c r="C2970" s="8" t="s">
        <v>20</v>
      </c>
      <c r="D2970" s="8" t="s">
        <v>85</v>
      </c>
      <c r="E2970" s="8" t="s">
        <v>15955</v>
      </c>
      <c r="F2970" s="17">
        <v>41448</v>
      </c>
      <c r="G2970" s="8" t="s">
        <v>15956</v>
      </c>
      <c r="H2970" s="8" t="s">
        <v>1010</v>
      </c>
      <c r="I2970" s="8" t="s">
        <v>671</v>
      </c>
      <c r="J2970" s="16" t="s">
        <v>15957</v>
      </c>
      <c r="K2970" s="2" t="s">
        <v>15958</v>
      </c>
      <c r="L2970" s="8" t="s">
        <v>15959</v>
      </c>
      <c r="M2970" s="8" t="s">
        <v>27</v>
      </c>
      <c r="N2970" s="2" t="s">
        <v>15960</v>
      </c>
      <c r="O2970" s="8" t="s">
        <v>29</v>
      </c>
      <c r="P2970" s="8" t="s">
        <v>401</v>
      </c>
      <c r="Q2970" s="12" t="s">
        <v>15961</v>
      </c>
      <c r="R2970" s="8" t="s">
        <v>100</v>
      </c>
      <c r="S2970" s="7" t="s">
        <v>28</v>
      </c>
      <c r="T2970" s="6"/>
      <c r="U2970" s="8"/>
    </row>
    <row r="2971" spans="1:34" ht="13" customHeight="1">
      <c r="A2971" s="8" t="s">
        <v>15962</v>
      </c>
      <c r="B2971" s="16" t="s">
        <v>13480</v>
      </c>
      <c r="C2971" s="8" t="s">
        <v>114</v>
      </c>
      <c r="D2971" s="8" t="s">
        <v>48</v>
      </c>
      <c r="E2971" s="8" t="s">
        <v>15963</v>
      </c>
      <c r="F2971" s="17">
        <v>41448</v>
      </c>
      <c r="G2971" s="8" t="s">
        <v>15964</v>
      </c>
      <c r="H2971" s="8" t="s">
        <v>3712</v>
      </c>
      <c r="I2971" s="8" t="s">
        <v>45</v>
      </c>
      <c r="J2971" s="16" t="s">
        <v>15169</v>
      </c>
      <c r="K2971" s="2" t="s">
        <v>1064</v>
      </c>
      <c r="L2971" s="8" t="s">
        <v>3714</v>
      </c>
      <c r="M2971" s="8" t="s">
        <v>27</v>
      </c>
      <c r="N2971" s="2" t="s">
        <v>15965</v>
      </c>
      <c r="O2971" s="8" t="s">
        <v>550</v>
      </c>
      <c r="P2971" s="8" t="s">
        <v>401</v>
      </c>
      <c r="Q2971" s="12" t="s">
        <v>15966</v>
      </c>
      <c r="R2971" s="8" t="s">
        <v>100</v>
      </c>
      <c r="S2971" s="7" t="s">
        <v>28</v>
      </c>
      <c r="T2971" s="6"/>
      <c r="U2971" s="8"/>
    </row>
    <row r="2972" spans="1:34" ht="13" customHeight="1">
      <c r="A2972" s="8" t="s">
        <v>15967</v>
      </c>
      <c r="B2972" s="16" t="s">
        <v>8771</v>
      </c>
      <c r="C2972" s="8" t="s">
        <v>20</v>
      </c>
      <c r="D2972" s="8" t="s">
        <v>30</v>
      </c>
      <c r="F2972" s="17">
        <v>41448</v>
      </c>
      <c r="G2972" s="8" t="s">
        <v>15968</v>
      </c>
      <c r="H2972" s="8" t="s">
        <v>929</v>
      </c>
      <c r="I2972" s="8" t="s">
        <v>73</v>
      </c>
      <c r="J2972" s="16" t="s">
        <v>6793</v>
      </c>
      <c r="K2972" s="2" t="s">
        <v>74</v>
      </c>
      <c r="L2972" s="8" t="s">
        <v>930</v>
      </c>
      <c r="M2972" s="8" t="s">
        <v>27</v>
      </c>
      <c r="N2972" s="2" t="s">
        <v>15969</v>
      </c>
      <c r="O2972" s="8" t="s">
        <v>29</v>
      </c>
      <c r="P2972" s="8" t="s">
        <v>401</v>
      </c>
      <c r="Q2972" s="12" t="s">
        <v>15970</v>
      </c>
      <c r="R2972" s="8" t="s">
        <v>100</v>
      </c>
      <c r="S2972" s="7" t="s">
        <v>28</v>
      </c>
      <c r="T2972" s="6"/>
      <c r="U2972" s="8"/>
    </row>
    <row r="2973" spans="1:34" ht="13" customHeight="1">
      <c r="A2973" s="8" t="s">
        <v>15971</v>
      </c>
      <c r="B2973" s="16" t="s">
        <v>8817</v>
      </c>
      <c r="C2973" s="8" t="s">
        <v>20</v>
      </c>
      <c r="D2973" s="8" t="s">
        <v>37</v>
      </c>
      <c r="E2973" s="8" t="s">
        <v>15972</v>
      </c>
      <c r="F2973" s="17">
        <v>41448</v>
      </c>
      <c r="G2973" s="8" t="s">
        <v>15973</v>
      </c>
      <c r="H2973" s="8" t="s">
        <v>726</v>
      </c>
      <c r="I2973" s="8" t="s">
        <v>73</v>
      </c>
      <c r="J2973" s="16" t="s">
        <v>6951</v>
      </c>
      <c r="K2973" s="2" t="s">
        <v>558</v>
      </c>
      <c r="L2973" s="8" t="s">
        <v>15974</v>
      </c>
      <c r="M2973" s="8" t="s">
        <v>27</v>
      </c>
      <c r="N2973" s="2" t="s">
        <v>15975</v>
      </c>
      <c r="O2973" s="8" t="s">
        <v>29</v>
      </c>
      <c r="P2973" s="8" t="s">
        <v>401</v>
      </c>
      <c r="Q2973" s="12" t="s">
        <v>15976</v>
      </c>
      <c r="R2973" s="8" t="s">
        <v>100</v>
      </c>
      <c r="S2973" s="7" t="s">
        <v>28</v>
      </c>
      <c r="T2973" s="6"/>
      <c r="U2973" s="8"/>
    </row>
    <row r="2974" spans="1:34" ht="13" customHeight="1">
      <c r="A2974" s="8" t="s">
        <v>15977</v>
      </c>
      <c r="B2974" s="16" t="s">
        <v>10251</v>
      </c>
      <c r="C2974" s="8" t="s">
        <v>114</v>
      </c>
      <c r="D2974" s="8" t="s">
        <v>37</v>
      </c>
      <c r="E2974" s="8" t="s">
        <v>15978</v>
      </c>
      <c r="F2974" s="17">
        <v>41448</v>
      </c>
      <c r="G2974" s="8" t="s">
        <v>15979</v>
      </c>
      <c r="H2974" s="8" t="s">
        <v>11024</v>
      </c>
      <c r="I2974" s="8" t="s">
        <v>73</v>
      </c>
      <c r="J2974" s="16" t="s">
        <v>15980</v>
      </c>
      <c r="K2974" s="2" t="s">
        <v>2593</v>
      </c>
      <c r="L2974" s="8" t="s">
        <v>11026</v>
      </c>
      <c r="M2974" s="8" t="s">
        <v>27</v>
      </c>
      <c r="N2974" s="2" t="s">
        <v>15981</v>
      </c>
      <c r="O2974" s="8" t="s">
        <v>29</v>
      </c>
      <c r="P2974" s="8" t="s">
        <v>401</v>
      </c>
      <c r="Q2974" s="12" t="s">
        <v>15982</v>
      </c>
      <c r="R2974" s="8" t="s">
        <v>29</v>
      </c>
      <c r="S2974" s="7" t="s">
        <v>28</v>
      </c>
      <c r="T2974" s="6"/>
      <c r="U2974" s="8"/>
    </row>
    <row r="2975" spans="1:34" ht="13" customHeight="1">
      <c r="A2975" s="8" t="s">
        <v>15983</v>
      </c>
      <c r="B2975" s="16">
        <v>24</v>
      </c>
      <c r="C2975" s="8" t="s">
        <v>20</v>
      </c>
      <c r="D2975" s="8" t="s">
        <v>48</v>
      </c>
      <c r="E2975" s="8" t="s">
        <v>15984</v>
      </c>
      <c r="F2975" s="17">
        <v>41447</v>
      </c>
      <c r="G2975" s="8" t="s">
        <v>15985</v>
      </c>
      <c r="H2975" s="8" t="s">
        <v>15986</v>
      </c>
      <c r="I2975" s="8" t="s">
        <v>45</v>
      </c>
      <c r="J2975" s="16" t="s">
        <v>15987</v>
      </c>
      <c r="K2975" s="2" t="s">
        <v>98</v>
      </c>
      <c r="L2975" s="8" t="s">
        <v>5014</v>
      </c>
      <c r="M2975" s="8" t="s">
        <v>27</v>
      </c>
      <c r="N2975" s="2" t="s">
        <v>15988</v>
      </c>
      <c r="O2975" s="8" t="s">
        <v>550</v>
      </c>
      <c r="P2975" s="8" t="s">
        <v>401</v>
      </c>
      <c r="Q2975" s="12" t="s">
        <v>15989</v>
      </c>
      <c r="R2975" s="8" t="s">
        <v>29</v>
      </c>
      <c r="S2975" s="7" t="s">
        <v>28</v>
      </c>
      <c r="T2975" s="6"/>
      <c r="U2975" s="8"/>
    </row>
    <row r="2976" spans="1:34" ht="13" customHeight="1">
      <c r="A2976" s="8" t="s">
        <v>15990</v>
      </c>
      <c r="B2976" s="16">
        <v>56</v>
      </c>
      <c r="C2976" s="8" t="s">
        <v>20</v>
      </c>
      <c r="D2976" s="8" t="s">
        <v>30</v>
      </c>
      <c r="F2976" s="17">
        <v>41447</v>
      </c>
      <c r="G2976" s="8" t="s">
        <v>15991</v>
      </c>
      <c r="H2976" s="8" t="s">
        <v>15992</v>
      </c>
      <c r="I2976" s="8" t="s">
        <v>117</v>
      </c>
      <c r="J2976" s="16" t="s">
        <v>15993</v>
      </c>
      <c r="K2976" s="2" t="s">
        <v>941</v>
      </c>
      <c r="L2976" s="8" t="s">
        <v>1633</v>
      </c>
      <c r="M2976" s="8" t="s">
        <v>391</v>
      </c>
      <c r="N2976" s="2" t="s">
        <v>15994</v>
      </c>
      <c r="O2976" s="8" t="s">
        <v>1013</v>
      </c>
      <c r="P2976" s="8" t="s">
        <v>401</v>
      </c>
      <c r="Q2976" s="12" t="s">
        <v>15995</v>
      </c>
      <c r="R2976" s="8" t="s">
        <v>100</v>
      </c>
      <c r="S2976" s="7" t="s">
        <v>28</v>
      </c>
      <c r="T2976" s="6"/>
      <c r="U2976" s="8"/>
    </row>
    <row r="2977" spans="1:21" ht="13" customHeight="1">
      <c r="A2977" s="8" t="s">
        <v>15996</v>
      </c>
      <c r="B2977" s="16">
        <v>46</v>
      </c>
      <c r="C2977" s="8" t="s">
        <v>20</v>
      </c>
      <c r="D2977" s="8" t="s">
        <v>37</v>
      </c>
      <c r="F2977" s="17">
        <v>41447</v>
      </c>
      <c r="G2977" s="8" t="s">
        <v>15997</v>
      </c>
      <c r="H2977" s="8" t="s">
        <v>2106</v>
      </c>
      <c r="I2977" s="8" t="s">
        <v>1720</v>
      </c>
      <c r="J2977" s="16" t="s">
        <v>15998</v>
      </c>
      <c r="K2977" s="2" t="s">
        <v>15999</v>
      </c>
      <c r="L2977" s="8" t="s">
        <v>16000</v>
      </c>
      <c r="M2977" s="8" t="s">
        <v>379</v>
      </c>
      <c r="N2977" s="2" t="s">
        <v>16001</v>
      </c>
      <c r="O2977" s="8" t="s">
        <v>400</v>
      </c>
      <c r="P2977" s="8" t="s">
        <v>401</v>
      </c>
      <c r="Q2977" s="12" t="s">
        <v>16002</v>
      </c>
      <c r="R2977" s="8" t="s">
        <v>100</v>
      </c>
      <c r="S2977" s="7" t="s">
        <v>28</v>
      </c>
      <c r="T2977" s="6"/>
      <c r="U2977" s="8"/>
    </row>
    <row r="2978" spans="1:21" ht="13" customHeight="1">
      <c r="A2978" s="8" t="s">
        <v>16003</v>
      </c>
      <c r="B2978" s="16">
        <v>46</v>
      </c>
      <c r="C2978" s="8" t="s">
        <v>20</v>
      </c>
      <c r="D2978" s="8" t="s">
        <v>37</v>
      </c>
      <c r="E2978" s="8" t="s">
        <v>16004</v>
      </c>
      <c r="F2978" s="17">
        <v>41446</v>
      </c>
      <c r="G2978" s="8" t="s">
        <v>16005</v>
      </c>
      <c r="H2978" s="8" t="s">
        <v>16006</v>
      </c>
      <c r="I2978" s="8" t="s">
        <v>150</v>
      </c>
      <c r="J2978" s="16" t="s">
        <v>16007</v>
      </c>
      <c r="K2978" s="2" t="s">
        <v>151</v>
      </c>
      <c r="L2978" s="8" t="s">
        <v>16008</v>
      </c>
      <c r="M2978" s="8" t="s">
        <v>27</v>
      </c>
      <c r="N2978" s="2" t="s">
        <v>16009</v>
      </c>
      <c r="O2978" s="8" t="s">
        <v>1013</v>
      </c>
      <c r="P2978" s="8" t="s">
        <v>401</v>
      </c>
      <c r="Q2978" s="12" t="s">
        <v>16010</v>
      </c>
      <c r="R2978" s="8" t="s">
        <v>100</v>
      </c>
      <c r="S2978" s="7" t="s">
        <v>28</v>
      </c>
      <c r="T2978" s="6"/>
      <c r="U2978" s="8"/>
    </row>
    <row r="2979" spans="1:21" ht="13" customHeight="1">
      <c r="A2979" s="8" t="s">
        <v>16011</v>
      </c>
      <c r="B2979" s="16" t="s">
        <v>8854</v>
      </c>
      <c r="C2979" s="8" t="s">
        <v>20</v>
      </c>
      <c r="D2979" s="8" t="s">
        <v>85</v>
      </c>
      <c r="E2979" s="8" t="s">
        <v>16012</v>
      </c>
      <c r="F2979" s="17">
        <v>41445</v>
      </c>
      <c r="G2979" s="8" t="s">
        <v>16013</v>
      </c>
      <c r="H2979" s="8" t="s">
        <v>3339</v>
      </c>
      <c r="I2979" s="8" t="s">
        <v>123</v>
      </c>
      <c r="J2979" s="16" t="s">
        <v>16014</v>
      </c>
      <c r="K2979" s="2" t="s">
        <v>635</v>
      </c>
      <c r="L2979" s="8" t="s">
        <v>3342</v>
      </c>
      <c r="M2979" s="8" t="s">
        <v>27</v>
      </c>
      <c r="N2979" s="2" t="s">
        <v>16015</v>
      </c>
      <c r="O2979" s="8" t="s">
        <v>29</v>
      </c>
      <c r="P2979" s="8" t="s">
        <v>401</v>
      </c>
      <c r="Q2979" s="12" t="s">
        <v>16016</v>
      </c>
      <c r="R2979" s="8" t="s">
        <v>100</v>
      </c>
      <c r="S2979" s="7" t="s">
        <v>28</v>
      </c>
      <c r="T2979" s="6"/>
      <c r="U2979" s="8"/>
    </row>
    <row r="2980" spans="1:21" ht="13" customHeight="1">
      <c r="A2980" s="8" t="s">
        <v>16017</v>
      </c>
      <c r="B2980" s="16" t="s">
        <v>16018</v>
      </c>
      <c r="C2980" s="8" t="s">
        <v>20</v>
      </c>
      <c r="D2980" s="8" t="s">
        <v>85</v>
      </c>
      <c r="E2980" s="8" t="s">
        <v>16019</v>
      </c>
      <c r="F2980" s="17">
        <v>41445</v>
      </c>
      <c r="G2980" s="8" t="s">
        <v>16020</v>
      </c>
      <c r="H2980" s="8" t="s">
        <v>890</v>
      </c>
      <c r="I2980" s="8" t="s">
        <v>438</v>
      </c>
      <c r="J2980" s="16" t="s">
        <v>16021</v>
      </c>
      <c r="K2980" s="2" t="s">
        <v>890</v>
      </c>
      <c r="L2980" s="8" t="s">
        <v>3889</v>
      </c>
      <c r="M2980" s="8" t="s">
        <v>27</v>
      </c>
      <c r="N2980" s="2" t="s">
        <v>16022</v>
      </c>
      <c r="O2980" s="8" t="s">
        <v>29</v>
      </c>
      <c r="P2980" s="8" t="s">
        <v>401</v>
      </c>
      <c r="Q2980" s="12" t="s">
        <v>16023</v>
      </c>
      <c r="R2980" s="8" t="s">
        <v>100</v>
      </c>
      <c r="S2980" s="7" t="s">
        <v>28</v>
      </c>
      <c r="T2980" s="6"/>
      <c r="U2980" s="8"/>
    </row>
    <row r="2981" spans="1:21" ht="13" customHeight="1">
      <c r="A2981" s="8" t="s">
        <v>16024</v>
      </c>
      <c r="B2981" s="16" t="s">
        <v>16025</v>
      </c>
      <c r="C2981" s="8" t="s">
        <v>20</v>
      </c>
      <c r="D2981" s="8" t="s">
        <v>37</v>
      </c>
      <c r="E2981" s="8" t="s">
        <v>16026</v>
      </c>
      <c r="F2981" s="17">
        <v>41445</v>
      </c>
      <c r="G2981" s="8" t="s">
        <v>16027</v>
      </c>
      <c r="H2981" s="8" t="s">
        <v>387</v>
      </c>
      <c r="I2981" s="8" t="s">
        <v>319</v>
      </c>
      <c r="J2981" s="16" t="s">
        <v>16028</v>
      </c>
      <c r="K2981" s="2" t="s">
        <v>2692</v>
      </c>
      <c r="L2981" s="8" t="s">
        <v>2693</v>
      </c>
      <c r="M2981" s="8" t="s">
        <v>27</v>
      </c>
      <c r="N2981" s="2" t="s">
        <v>16029</v>
      </c>
      <c r="O2981" s="8" t="s">
        <v>550</v>
      </c>
      <c r="P2981" s="8" t="s">
        <v>401</v>
      </c>
      <c r="Q2981" s="12" t="s">
        <v>16030</v>
      </c>
      <c r="R2981" s="8" t="s">
        <v>555</v>
      </c>
      <c r="S2981" s="7" t="s">
        <v>28</v>
      </c>
      <c r="T2981" s="6"/>
      <c r="U2981" s="8"/>
    </row>
    <row r="2982" spans="1:21" ht="13" customHeight="1">
      <c r="A2982" s="8" t="s">
        <v>16031</v>
      </c>
      <c r="B2982" s="16">
        <v>45</v>
      </c>
      <c r="C2982" s="8" t="s">
        <v>20</v>
      </c>
      <c r="D2982" s="8" t="s">
        <v>85</v>
      </c>
      <c r="E2982" s="8" t="s">
        <v>16032</v>
      </c>
      <c r="F2982" s="17">
        <v>41444</v>
      </c>
      <c r="G2982" s="8" t="s">
        <v>16033</v>
      </c>
      <c r="H2982" s="8" t="s">
        <v>1097</v>
      </c>
      <c r="I2982" s="8" t="s">
        <v>395</v>
      </c>
      <c r="J2982" s="16" t="s">
        <v>5616</v>
      </c>
      <c r="K2982" s="2" t="s">
        <v>1098</v>
      </c>
      <c r="L2982" s="8" t="s">
        <v>1099</v>
      </c>
      <c r="M2982" s="8" t="s">
        <v>27</v>
      </c>
      <c r="N2982" s="2" t="s">
        <v>16034</v>
      </c>
      <c r="O2982" s="8" t="s">
        <v>29</v>
      </c>
      <c r="P2982" s="8" t="s">
        <v>401</v>
      </c>
      <c r="Q2982" s="12" t="s">
        <v>16035</v>
      </c>
      <c r="R2982" s="8" t="s">
        <v>100</v>
      </c>
      <c r="S2982" s="7" t="s">
        <v>28</v>
      </c>
      <c r="T2982" s="6"/>
      <c r="U2982" s="8"/>
    </row>
    <row r="2983" spans="1:21" ht="13" customHeight="1">
      <c r="A2983" s="8" t="s">
        <v>16036</v>
      </c>
      <c r="B2983" s="16" t="s">
        <v>16037</v>
      </c>
      <c r="C2983" s="8" t="s">
        <v>20</v>
      </c>
      <c r="D2983" s="8" t="s">
        <v>48</v>
      </c>
      <c r="E2983" s="8" t="s">
        <v>16038</v>
      </c>
      <c r="F2983" s="17">
        <v>41444</v>
      </c>
      <c r="G2983" s="8" t="s">
        <v>16039</v>
      </c>
      <c r="H2983" s="8" t="s">
        <v>6171</v>
      </c>
      <c r="I2983" s="8" t="s">
        <v>73</v>
      </c>
      <c r="J2983" s="16" t="s">
        <v>16040</v>
      </c>
      <c r="K2983" s="2" t="s">
        <v>285</v>
      </c>
      <c r="L2983" s="8" t="s">
        <v>6173</v>
      </c>
      <c r="M2983" s="8" t="s">
        <v>27</v>
      </c>
      <c r="N2983" s="2" t="s">
        <v>16041</v>
      </c>
      <c r="O2983" s="8" t="s">
        <v>29</v>
      </c>
      <c r="P2983" s="8" t="s">
        <v>401</v>
      </c>
      <c r="Q2983" s="12" t="s">
        <v>16042</v>
      </c>
      <c r="R2983" s="8" t="s">
        <v>100</v>
      </c>
      <c r="S2983" s="7" t="s">
        <v>28</v>
      </c>
      <c r="T2983" s="6"/>
      <c r="U2983" s="8"/>
    </row>
    <row r="2984" spans="1:21" ht="13" customHeight="1">
      <c r="A2984" s="8" t="s">
        <v>16043</v>
      </c>
      <c r="B2984" s="16">
        <v>52</v>
      </c>
      <c r="C2984" s="8" t="s">
        <v>20</v>
      </c>
      <c r="D2984" s="8" t="s">
        <v>48</v>
      </c>
      <c r="F2984" s="17">
        <v>41444</v>
      </c>
      <c r="G2984" s="8" t="s">
        <v>16044</v>
      </c>
      <c r="H2984" s="8" t="s">
        <v>757</v>
      </c>
      <c r="I2984" s="8" t="s">
        <v>423</v>
      </c>
      <c r="J2984" s="16" t="s">
        <v>16045</v>
      </c>
      <c r="K2984" s="2" t="s">
        <v>1847</v>
      </c>
      <c r="L2984" s="8" t="s">
        <v>582</v>
      </c>
      <c r="M2984" s="8" t="s">
        <v>3386</v>
      </c>
      <c r="N2984" s="2" t="s">
        <v>16046</v>
      </c>
      <c r="O2984" s="8" t="s">
        <v>1013</v>
      </c>
      <c r="P2984" s="8" t="s">
        <v>401</v>
      </c>
      <c r="Q2984" s="12" t="s">
        <v>16047</v>
      </c>
      <c r="R2984" s="8" t="s">
        <v>100</v>
      </c>
      <c r="S2984" s="7" t="s">
        <v>28</v>
      </c>
      <c r="T2984" s="6"/>
      <c r="U2984" s="8"/>
    </row>
    <row r="2985" spans="1:21" ht="13" customHeight="1">
      <c r="A2985" s="8" t="s">
        <v>16048</v>
      </c>
      <c r="B2985" s="16">
        <v>28</v>
      </c>
      <c r="C2985" s="8" t="s">
        <v>20</v>
      </c>
      <c r="D2985" s="8" t="s">
        <v>30</v>
      </c>
      <c r="F2985" s="17">
        <v>41444</v>
      </c>
      <c r="G2985" s="8" t="s">
        <v>16049</v>
      </c>
      <c r="H2985" s="8" t="s">
        <v>459</v>
      </c>
      <c r="I2985" s="8" t="s">
        <v>25</v>
      </c>
      <c r="J2985" s="16" t="s">
        <v>16050</v>
      </c>
      <c r="K2985" s="2" t="s">
        <v>5944</v>
      </c>
      <c r="L2985" s="8" t="s">
        <v>16051</v>
      </c>
      <c r="M2985" s="8" t="s">
        <v>27</v>
      </c>
      <c r="N2985" s="2" t="s">
        <v>16052</v>
      </c>
      <c r="O2985" s="8" t="s">
        <v>550</v>
      </c>
      <c r="P2985" s="8" t="s">
        <v>401</v>
      </c>
      <c r="Q2985" s="12" t="s">
        <v>16053</v>
      </c>
      <c r="R2985" s="8" t="s">
        <v>100</v>
      </c>
      <c r="S2985" s="7" t="s">
        <v>28</v>
      </c>
      <c r="T2985" s="6"/>
      <c r="U2985" s="8"/>
    </row>
    <row r="2986" spans="1:21" ht="13" customHeight="1">
      <c r="A2986" s="8" t="s">
        <v>16054</v>
      </c>
      <c r="B2986" s="16" t="s">
        <v>13573</v>
      </c>
      <c r="C2986" s="8" t="s">
        <v>20</v>
      </c>
      <c r="D2986" s="8" t="s">
        <v>30</v>
      </c>
      <c r="F2986" s="17">
        <v>41444</v>
      </c>
      <c r="G2986" s="8" t="s">
        <v>16055</v>
      </c>
      <c r="H2986" s="8" t="s">
        <v>16056</v>
      </c>
      <c r="I2986" s="8" t="s">
        <v>303</v>
      </c>
      <c r="J2986" s="16" t="s">
        <v>16057</v>
      </c>
      <c r="K2986" s="2" t="s">
        <v>2155</v>
      </c>
      <c r="L2986" s="8" t="s">
        <v>2157</v>
      </c>
      <c r="M2986" s="8" t="s">
        <v>27</v>
      </c>
      <c r="N2986" s="2" t="s">
        <v>16058</v>
      </c>
      <c r="O2986" s="8" t="s">
        <v>550</v>
      </c>
      <c r="P2986" s="8" t="s">
        <v>401</v>
      </c>
      <c r="Q2986" s="12" t="s">
        <v>16059</v>
      </c>
      <c r="R2986" s="8" t="s">
        <v>100</v>
      </c>
      <c r="S2986" s="7" t="s">
        <v>28</v>
      </c>
      <c r="T2986" s="6"/>
      <c r="U2986" s="8"/>
    </row>
    <row r="2987" spans="1:21" ht="13" customHeight="1">
      <c r="A2987" s="8" t="s">
        <v>16060</v>
      </c>
      <c r="B2987" s="16" t="s">
        <v>16061</v>
      </c>
      <c r="C2987" s="8" t="s">
        <v>20</v>
      </c>
      <c r="D2987" s="8" t="s">
        <v>85</v>
      </c>
      <c r="E2987" s="8" t="s">
        <v>16062</v>
      </c>
      <c r="F2987" s="17">
        <v>41443</v>
      </c>
      <c r="G2987" s="8" t="s">
        <v>16063</v>
      </c>
      <c r="H2987" s="8" t="s">
        <v>4218</v>
      </c>
      <c r="I2987" s="8" t="s">
        <v>366</v>
      </c>
      <c r="J2987" s="16" t="s">
        <v>16064</v>
      </c>
      <c r="K2987" s="2" t="s">
        <v>4220</v>
      </c>
      <c r="L2987" s="8" t="s">
        <v>4221</v>
      </c>
      <c r="M2987" s="8" t="s">
        <v>27</v>
      </c>
      <c r="N2987" s="2" t="s">
        <v>16065</v>
      </c>
      <c r="O2987" s="8" t="s">
        <v>550</v>
      </c>
      <c r="P2987" s="8" t="s">
        <v>401</v>
      </c>
      <c r="Q2987" s="12" t="s">
        <v>16066</v>
      </c>
      <c r="R2987" s="8" t="s">
        <v>100</v>
      </c>
      <c r="S2987" s="7" t="s">
        <v>28</v>
      </c>
      <c r="T2987" s="6"/>
      <c r="U2987" s="8"/>
    </row>
    <row r="2988" spans="1:21" ht="13" customHeight="1">
      <c r="A2988" s="8" t="s">
        <v>16067</v>
      </c>
      <c r="B2988" s="16">
        <v>41</v>
      </c>
      <c r="C2988" s="8" t="s">
        <v>20</v>
      </c>
      <c r="D2988" s="8" t="s">
        <v>85</v>
      </c>
      <c r="E2988" s="8" t="s">
        <v>16068</v>
      </c>
      <c r="F2988" s="17">
        <v>41443</v>
      </c>
      <c r="G2988" s="8" t="s">
        <v>16069</v>
      </c>
      <c r="H2988" s="8" t="s">
        <v>8433</v>
      </c>
      <c r="I2988" s="8" t="s">
        <v>244</v>
      </c>
      <c r="J2988" s="16" t="s">
        <v>16070</v>
      </c>
      <c r="K2988" s="2" t="s">
        <v>16071</v>
      </c>
      <c r="L2988" s="8" t="s">
        <v>16072</v>
      </c>
      <c r="M2988" s="8" t="s">
        <v>3386</v>
      </c>
      <c r="N2988" s="2" t="s">
        <v>21652</v>
      </c>
      <c r="O2988" s="8" t="s">
        <v>1013</v>
      </c>
      <c r="P2988" s="8" t="s">
        <v>401</v>
      </c>
      <c r="Q2988" s="12" t="s">
        <v>16073</v>
      </c>
      <c r="R2988" s="8" t="s">
        <v>100</v>
      </c>
      <c r="S2988" s="7" t="s">
        <v>28</v>
      </c>
      <c r="T2988" s="6"/>
      <c r="U2988" s="8"/>
    </row>
    <row r="2989" spans="1:21" ht="13" customHeight="1">
      <c r="A2989" s="8" t="s">
        <v>16074</v>
      </c>
      <c r="B2989" s="16" t="s">
        <v>10160</v>
      </c>
      <c r="C2989" s="8" t="s">
        <v>20</v>
      </c>
      <c r="D2989" s="8" t="s">
        <v>30</v>
      </c>
      <c r="F2989" s="17">
        <v>41443</v>
      </c>
      <c r="G2989" s="8" t="s">
        <v>16075</v>
      </c>
      <c r="H2989" s="8" t="s">
        <v>757</v>
      </c>
      <c r="I2989" s="8" t="s">
        <v>423</v>
      </c>
      <c r="J2989" s="16" t="s">
        <v>2144</v>
      </c>
      <c r="K2989" s="2" t="s">
        <v>757</v>
      </c>
      <c r="L2989" s="8" t="s">
        <v>582</v>
      </c>
      <c r="M2989" s="8" t="s">
        <v>27</v>
      </c>
      <c r="N2989" s="2" t="s">
        <v>16076</v>
      </c>
      <c r="O2989" s="8" t="s">
        <v>29</v>
      </c>
      <c r="P2989" s="8" t="s">
        <v>401</v>
      </c>
      <c r="Q2989" s="12" t="s">
        <v>16077</v>
      </c>
      <c r="R2989" s="8" t="s">
        <v>100</v>
      </c>
      <c r="S2989" s="7" t="s">
        <v>28</v>
      </c>
      <c r="T2989" s="6"/>
      <c r="U2989" s="8"/>
    </row>
    <row r="2990" spans="1:21" ht="13" customHeight="1">
      <c r="A2990" s="8" t="s">
        <v>16078</v>
      </c>
      <c r="B2990" s="16" t="s">
        <v>9418</v>
      </c>
      <c r="C2990" s="8" t="s">
        <v>20</v>
      </c>
      <c r="D2990" s="8" t="s">
        <v>37</v>
      </c>
      <c r="F2990" s="17">
        <v>41443</v>
      </c>
      <c r="G2990" s="8" t="s">
        <v>16079</v>
      </c>
      <c r="H2990" s="8" t="s">
        <v>1437</v>
      </c>
      <c r="I2990" s="8" t="s">
        <v>303</v>
      </c>
      <c r="J2990" s="16" t="s">
        <v>16080</v>
      </c>
      <c r="K2990" s="2" t="s">
        <v>886</v>
      </c>
      <c r="L2990" s="8" t="s">
        <v>2755</v>
      </c>
      <c r="M2990" s="8" t="s">
        <v>27</v>
      </c>
      <c r="N2990" s="2" t="s">
        <v>16081</v>
      </c>
      <c r="O2990" s="8" t="s">
        <v>550</v>
      </c>
      <c r="P2990" s="8" t="s">
        <v>401</v>
      </c>
      <c r="Q2990" s="12" t="s">
        <v>16082</v>
      </c>
      <c r="R2990" s="8" t="s">
        <v>100</v>
      </c>
      <c r="S2990" s="7" t="s">
        <v>28</v>
      </c>
      <c r="T2990" s="6"/>
      <c r="U2990" s="8"/>
    </row>
    <row r="2991" spans="1:21" ht="13" customHeight="1">
      <c r="A2991" s="8" t="s">
        <v>16083</v>
      </c>
      <c r="B2991" s="16" t="s">
        <v>13982</v>
      </c>
      <c r="C2991" s="8" t="s">
        <v>20</v>
      </c>
      <c r="D2991" s="8" t="s">
        <v>85</v>
      </c>
      <c r="E2991" s="8" t="s">
        <v>16084</v>
      </c>
      <c r="F2991" s="17">
        <v>41442</v>
      </c>
      <c r="G2991" s="8" t="s">
        <v>16085</v>
      </c>
      <c r="H2991" s="8" t="s">
        <v>575</v>
      </c>
      <c r="I2991" s="8" t="s">
        <v>73</v>
      </c>
      <c r="J2991" s="16" t="s">
        <v>3030</v>
      </c>
      <c r="K2991" s="2" t="s">
        <v>576</v>
      </c>
      <c r="L2991" s="8" t="s">
        <v>577</v>
      </c>
      <c r="M2991" s="8" t="s">
        <v>27</v>
      </c>
      <c r="N2991" s="2" t="s">
        <v>16086</v>
      </c>
      <c r="O2991" s="8" t="s">
        <v>29</v>
      </c>
      <c r="P2991" s="8" t="s">
        <v>401</v>
      </c>
      <c r="Q2991" s="12" t="s">
        <v>16087</v>
      </c>
      <c r="R2991" s="8" t="s">
        <v>100</v>
      </c>
      <c r="S2991" s="7" t="s">
        <v>28</v>
      </c>
      <c r="T2991" s="6"/>
      <c r="U2991" s="8"/>
    </row>
    <row r="2992" spans="1:21" ht="13" customHeight="1">
      <c r="A2992" s="8" t="s">
        <v>16088</v>
      </c>
      <c r="B2992" s="16">
        <v>25</v>
      </c>
      <c r="C2992" s="8" t="s">
        <v>20</v>
      </c>
      <c r="D2992" s="8" t="s">
        <v>48</v>
      </c>
      <c r="E2992" s="8" t="s">
        <v>16089</v>
      </c>
      <c r="F2992" s="17">
        <v>41442</v>
      </c>
      <c r="G2992" s="8" t="s">
        <v>16090</v>
      </c>
      <c r="H2992" s="8" t="s">
        <v>681</v>
      </c>
      <c r="I2992" s="8" t="s">
        <v>45</v>
      </c>
      <c r="J2992" s="16" t="s">
        <v>16091</v>
      </c>
      <c r="K2992" s="2" t="s">
        <v>682</v>
      </c>
      <c r="L2992" s="8" t="s">
        <v>16092</v>
      </c>
      <c r="M2992" s="8" t="s">
        <v>3386</v>
      </c>
      <c r="N2992" s="2" t="s">
        <v>16093</v>
      </c>
      <c r="O2992" s="8" t="s">
        <v>3400</v>
      </c>
      <c r="P2992" s="8" t="s">
        <v>401</v>
      </c>
      <c r="Q2992" s="12" t="s">
        <v>16094</v>
      </c>
      <c r="R2992" s="8" t="s">
        <v>100</v>
      </c>
      <c r="S2992" s="7" t="s">
        <v>28</v>
      </c>
      <c r="T2992" s="6"/>
      <c r="U2992" s="8"/>
    </row>
    <row r="2993" spans="1:34" ht="13" customHeight="1">
      <c r="A2993" s="8" t="s">
        <v>16095</v>
      </c>
      <c r="B2993" s="16" t="s">
        <v>16096</v>
      </c>
      <c r="C2993" s="8" t="s">
        <v>20</v>
      </c>
      <c r="D2993" s="8" t="s">
        <v>30</v>
      </c>
      <c r="F2993" s="17">
        <v>41442</v>
      </c>
      <c r="G2993" s="8" t="s">
        <v>16097</v>
      </c>
      <c r="H2993" s="8" t="s">
        <v>2662</v>
      </c>
      <c r="I2993" s="8" t="s">
        <v>41</v>
      </c>
      <c r="J2993" s="16" t="s">
        <v>16098</v>
      </c>
      <c r="K2993" s="2" t="s">
        <v>6892</v>
      </c>
      <c r="L2993" s="8" t="s">
        <v>43</v>
      </c>
      <c r="M2993" s="8" t="s">
        <v>27</v>
      </c>
      <c r="N2993" s="2" t="s">
        <v>16099</v>
      </c>
      <c r="O2993" s="8" t="s">
        <v>29</v>
      </c>
      <c r="P2993" s="8" t="s">
        <v>401</v>
      </c>
      <c r="Q2993" s="12" t="s">
        <v>16100</v>
      </c>
      <c r="R2993" s="8" t="s">
        <v>555</v>
      </c>
      <c r="S2993" s="7" t="s">
        <v>28</v>
      </c>
      <c r="T2993" s="6"/>
      <c r="U2993" s="8"/>
    </row>
    <row r="2994" spans="1:34" ht="13" customHeight="1">
      <c r="A2994" s="8" t="s">
        <v>16101</v>
      </c>
      <c r="B2994" s="16">
        <v>45</v>
      </c>
      <c r="C2994" s="8" t="s">
        <v>20</v>
      </c>
      <c r="D2994" s="8" t="s">
        <v>30</v>
      </c>
      <c r="F2994" s="17">
        <v>41442</v>
      </c>
      <c r="G2994" s="8" t="s">
        <v>16102</v>
      </c>
      <c r="H2994" s="8" t="s">
        <v>430</v>
      </c>
      <c r="I2994" s="8" t="s">
        <v>431</v>
      </c>
      <c r="J2994" s="16" t="s">
        <v>16103</v>
      </c>
      <c r="K2994" s="2" t="s">
        <v>3414</v>
      </c>
      <c r="L2994" s="8" t="s">
        <v>434</v>
      </c>
      <c r="M2994" s="8" t="s">
        <v>391</v>
      </c>
      <c r="N2994" s="2" t="s">
        <v>16104</v>
      </c>
      <c r="O2994" s="8" t="s">
        <v>4714</v>
      </c>
      <c r="P2994" s="8" t="s">
        <v>401</v>
      </c>
      <c r="Q2994" s="12" t="s">
        <v>16105</v>
      </c>
      <c r="R2994" s="8" t="s">
        <v>555</v>
      </c>
      <c r="S2994" s="7" t="s">
        <v>28</v>
      </c>
      <c r="T2994" s="6"/>
      <c r="U2994" s="8"/>
    </row>
    <row r="2995" spans="1:34" ht="13" customHeight="1">
      <c r="A2995" s="8" t="s">
        <v>16106</v>
      </c>
      <c r="B2995" s="16">
        <v>41</v>
      </c>
      <c r="C2995" s="8" t="s">
        <v>20</v>
      </c>
      <c r="D2995" s="8" t="s">
        <v>37</v>
      </c>
      <c r="E2995" s="8" t="s">
        <v>16107</v>
      </c>
      <c r="F2995" s="17">
        <v>41442</v>
      </c>
      <c r="G2995" s="8" t="s">
        <v>16108</v>
      </c>
      <c r="H2995" s="8" t="s">
        <v>10349</v>
      </c>
      <c r="I2995" s="8" t="s">
        <v>73</v>
      </c>
      <c r="J2995" s="16" t="s">
        <v>16109</v>
      </c>
      <c r="K2995" s="2" t="s">
        <v>10349</v>
      </c>
      <c r="L2995" s="8" t="s">
        <v>10350</v>
      </c>
      <c r="M2995" s="8" t="s">
        <v>27</v>
      </c>
      <c r="N2995" s="2" t="s">
        <v>16110</v>
      </c>
      <c r="O2995" s="8" t="s">
        <v>550</v>
      </c>
      <c r="P2995" s="8" t="s">
        <v>401</v>
      </c>
      <c r="Q2995" s="12" t="s">
        <v>16111</v>
      </c>
      <c r="R2995" s="8" t="s">
        <v>29</v>
      </c>
      <c r="S2995" s="7" t="s">
        <v>28</v>
      </c>
      <c r="T2995" s="6"/>
      <c r="U2995" s="8"/>
    </row>
    <row r="2996" spans="1:34" ht="13" customHeight="1">
      <c r="A2996" s="8" t="s">
        <v>16112</v>
      </c>
      <c r="B2996" s="16">
        <v>15</v>
      </c>
      <c r="C2996" s="8" t="s">
        <v>20</v>
      </c>
      <c r="D2996" s="8" t="s">
        <v>85</v>
      </c>
      <c r="E2996" s="8" t="s">
        <v>16113</v>
      </c>
      <c r="F2996" s="17">
        <v>41441</v>
      </c>
      <c r="G2996" s="8" t="s">
        <v>16114</v>
      </c>
      <c r="H2996" s="8" t="s">
        <v>87</v>
      </c>
      <c r="I2996" s="8" t="s">
        <v>44</v>
      </c>
      <c r="J2996" s="16" t="s">
        <v>15739</v>
      </c>
      <c r="K2996" s="2" t="s">
        <v>88</v>
      </c>
      <c r="L2996" s="8" t="s">
        <v>89</v>
      </c>
      <c r="M2996" s="8" t="s">
        <v>27</v>
      </c>
      <c r="N2996" s="2" t="s">
        <v>16115</v>
      </c>
      <c r="O2996" s="8" t="s">
        <v>1013</v>
      </c>
      <c r="P2996" s="8" t="s">
        <v>401</v>
      </c>
      <c r="Q2996" s="12" t="s">
        <v>16116</v>
      </c>
      <c r="R2996" s="8" t="s">
        <v>100</v>
      </c>
      <c r="S2996" s="7" t="s">
        <v>28</v>
      </c>
      <c r="T2996" s="6"/>
      <c r="U2996" s="8"/>
    </row>
    <row r="2997" spans="1:34" ht="13" customHeight="1">
      <c r="A2997" s="8" t="s">
        <v>16117</v>
      </c>
      <c r="B2997" s="16" t="s">
        <v>10061</v>
      </c>
      <c r="C2997" s="8" t="s">
        <v>20</v>
      </c>
      <c r="D2997" s="8" t="s">
        <v>85</v>
      </c>
      <c r="F2997" s="17">
        <v>41441</v>
      </c>
      <c r="G2997" s="8" t="s">
        <v>16118</v>
      </c>
      <c r="H2997" s="8" t="s">
        <v>87</v>
      </c>
      <c r="I2997" s="8" t="s">
        <v>44</v>
      </c>
      <c r="J2997" s="16" t="s">
        <v>16119</v>
      </c>
      <c r="K2997" s="2" t="s">
        <v>88</v>
      </c>
      <c r="L2997" s="8" t="s">
        <v>89</v>
      </c>
      <c r="M2997" s="8" t="s">
        <v>27</v>
      </c>
      <c r="N2997" s="2" t="s">
        <v>16120</v>
      </c>
      <c r="O2997" s="8" t="s">
        <v>29</v>
      </c>
      <c r="P2997" s="8" t="s">
        <v>401</v>
      </c>
      <c r="Q2997" s="12" t="s">
        <v>16121</v>
      </c>
      <c r="R2997" s="8" t="s">
        <v>100</v>
      </c>
      <c r="S2997" s="7" t="s">
        <v>28</v>
      </c>
      <c r="T2997" s="6"/>
      <c r="U2997" s="8"/>
    </row>
    <row r="2998" spans="1:34" ht="13" customHeight="1">
      <c r="A2998" s="8" t="s">
        <v>16128</v>
      </c>
      <c r="B2998" s="16" t="s">
        <v>8771</v>
      </c>
      <c r="C2998" s="8" t="s">
        <v>20</v>
      </c>
      <c r="D2998" s="8" t="s">
        <v>85</v>
      </c>
      <c r="E2998" s="8" t="s">
        <v>16129</v>
      </c>
      <c r="F2998" s="17">
        <v>41441</v>
      </c>
      <c r="G2998" s="8" t="s">
        <v>16130</v>
      </c>
      <c r="H2998" s="8" t="s">
        <v>16131</v>
      </c>
      <c r="I2998" s="8" t="s">
        <v>395</v>
      </c>
      <c r="J2998" s="16" t="s">
        <v>16132</v>
      </c>
      <c r="K2998" s="2" t="s">
        <v>1098</v>
      </c>
      <c r="L2998" s="8" t="s">
        <v>1149</v>
      </c>
      <c r="M2998" s="8" t="s">
        <v>27</v>
      </c>
      <c r="N2998" s="2" t="s">
        <v>16133</v>
      </c>
      <c r="O2998" s="8" t="s">
        <v>550</v>
      </c>
      <c r="P2998" s="8" t="s">
        <v>401</v>
      </c>
      <c r="Q2998" s="12" t="s">
        <v>16134</v>
      </c>
      <c r="R2998" s="8" t="s">
        <v>555</v>
      </c>
      <c r="S2998" s="7" t="s">
        <v>28</v>
      </c>
      <c r="T2998" s="6"/>
      <c r="U2998" s="8"/>
    </row>
    <row r="2999" spans="1:34" ht="13" customHeight="1">
      <c r="A2999" s="8" t="s">
        <v>16122</v>
      </c>
      <c r="B2999" s="16" t="s">
        <v>16123</v>
      </c>
      <c r="C2999" s="8" t="s">
        <v>20</v>
      </c>
      <c r="D2999" s="8" t="s">
        <v>85</v>
      </c>
      <c r="E2999" s="8" t="s">
        <v>16124</v>
      </c>
      <c r="F2999" s="17">
        <v>41441</v>
      </c>
      <c r="G2999" s="8" t="s">
        <v>16125</v>
      </c>
      <c r="H2999" s="8" t="s">
        <v>213</v>
      </c>
      <c r="I2999" s="8" t="s">
        <v>62</v>
      </c>
      <c r="J2999" s="16" t="s">
        <v>11372</v>
      </c>
      <c r="K2999" s="2" t="s">
        <v>161</v>
      </c>
      <c r="L2999" s="8" t="s">
        <v>162</v>
      </c>
      <c r="M2999" s="8" t="s">
        <v>27</v>
      </c>
      <c r="N2999" s="2" t="s">
        <v>16126</v>
      </c>
      <c r="O2999" s="8" t="s">
        <v>29</v>
      </c>
      <c r="P2999" s="8" t="s">
        <v>401</v>
      </c>
      <c r="Q2999" s="12" t="s">
        <v>16127</v>
      </c>
      <c r="R2999" s="8" t="s">
        <v>100</v>
      </c>
      <c r="S2999" s="7" t="s">
        <v>28</v>
      </c>
      <c r="T2999" s="6"/>
      <c r="U2999" s="8"/>
    </row>
    <row r="3000" spans="1:34" ht="13" customHeight="1">
      <c r="A3000" s="8" t="s">
        <v>16135</v>
      </c>
      <c r="B3000" s="16" t="s">
        <v>16123</v>
      </c>
      <c r="C3000" s="8" t="s">
        <v>20</v>
      </c>
      <c r="D3000" s="8" t="s">
        <v>85</v>
      </c>
      <c r="E3000" s="8" t="s">
        <v>16136</v>
      </c>
      <c r="F3000" s="17">
        <v>41441</v>
      </c>
      <c r="G3000" s="8" t="s">
        <v>16137</v>
      </c>
      <c r="H3000" s="8" t="s">
        <v>16138</v>
      </c>
      <c r="I3000" s="8" t="s">
        <v>32</v>
      </c>
      <c r="J3000" s="16" t="s">
        <v>16139</v>
      </c>
      <c r="K3000" s="2" t="s">
        <v>1010</v>
      </c>
      <c r="L3000" s="8" t="s">
        <v>16140</v>
      </c>
      <c r="M3000" s="8" t="s">
        <v>27</v>
      </c>
      <c r="N3000" s="2" t="s">
        <v>16141</v>
      </c>
      <c r="O3000" s="8" t="s">
        <v>29</v>
      </c>
      <c r="P3000" s="8" t="s">
        <v>401</v>
      </c>
      <c r="Q3000" s="12" t="s">
        <v>16142</v>
      </c>
      <c r="R3000" s="8" t="s">
        <v>100</v>
      </c>
      <c r="S3000" s="7" t="s">
        <v>28</v>
      </c>
      <c r="T3000" s="6"/>
      <c r="U3000" s="8"/>
    </row>
    <row r="3001" spans="1:34" ht="13" customHeight="1">
      <c r="A3001" s="8" t="s">
        <v>16143</v>
      </c>
      <c r="B3001" s="16" t="s">
        <v>16144</v>
      </c>
      <c r="C3001" s="8" t="s">
        <v>20</v>
      </c>
      <c r="D3001" s="8" t="s">
        <v>48</v>
      </c>
      <c r="E3001" s="8" t="s">
        <v>16145</v>
      </c>
      <c r="F3001" s="17">
        <v>41441</v>
      </c>
      <c r="G3001" s="8" t="s">
        <v>16146</v>
      </c>
      <c r="H3001" s="8" t="s">
        <v>11024</v>
      </c>
      <c r="I3001" s="8" t="s">
        <v>73</v>
      </c>
      <c r="J3001" s="16" t="s">
        <v>15980</v>
      </c>
      <c r="K3001" s="2" t="s">
        <v>2593</v>
      </c>
      <c r="L3001" s="8" t="s">
        <v>11026</v>
      </c>
      <c r="M3001" s="8" t="s">
        <v>27</v>
      </c>
      <c r="N3001" s="2" t="s">
        <v>16147</v>
      </c>
      <c r="O3001" s="8" t="s">
        <v>29</v>
      </c>
      <c r="P3001" s="8" t="s">
        <v>401</v>
      </c>
      <c r="Q3001" s="12" t="s">
        <v>16148</v>
      </c>
      <c r="R3001" s="8" t="s">
        <v>100</v>
      </c>
      <c r="S3001" s="7" t="s">
        <v>28</v>
      </c>
      <c r="T3001" s="6"/>
      <c r="U3001" s="8"/>
    </row>
    <row r="3002" spans="1:34" ht="13" customHeight="1">
      <c r="A3002" s="8" t="s">
        <v>3267</v>
      </c>
      <c r="B3002" s="16">
        <v>53</v>
      </c>
      <c r="C3002" s="8" t="s">
        <v>20</v>
      </c>
      <c r="D3002" s="8" t="s">
        <v>30</v>
      </c>
      <c r="F3002" s="17">
        <v>41441</v>
      </c>
      <c r="G3002" s="8" t="s">
        <v>16149</v>
      </c>
      <c r="H3002" s="8" t="s">
        <v>1144</v>
      </c>
      <c r="I3002" s="8" t="s">
        <v>45</v>
      </c>
      <c r="J3002" s="16" t="s">
        <v>16150</v>
      </c>
      <c r="K3002" s="2" t="s">
        <v>604</v>
      </c>
      <c r="L3002" s="8" t="s">
        <v>1145</v>
      </c>
      <c r="M3002" s="8" t="s">
        <v>27</v>
      </c>
      <c r="N3002" s="2" t="s">
        <v>16151</v>
      </c>
      <c r="O3002" s="8" t="s">
        <v>4714</v>
      </c>
      <c r="P3002" s="8" t="s">
        <v>401</v>
      </c>
      <c r="Q3002" s="12" t="s">
        <v>16152</v>
      </c>
      <c r="R3002" s="8" t="s">
        <v>555</v>
      </c>
      <c r="S3002" s="7" t="s">
        <v>28</v>
      </c>
      <c r="T3002" s="6"/>
      <c r="U3002" s="8"/>
    </row>
    <row r="3003" spans="1:34" ht="13" customHeight="1">
      <c r="A3003" s="8" t="s">
        <v>16153</v>
      </c>
      <c r="B3003" s="16" t="s">
        <v>16154</v>
      </c>
      <c r="C3003" s="8" t="s">
        <v>20</v>
      </c>
      <c r="D3003" s="8" t="s">
        <v>30</v>
      </c>
      <c r="F3003" s="17">
        <v>41441</v>
      </c>
      <c r="G3003" s="8" t="s">
        <v>16155</v>
      </c>
      <c r="H3003" s="8" t="s">
        <v>1059</v>
      </c>
      <c r="I3003" s="8" t="s">
        <v>217</v>
      </c>
      <c r="J3003" s="16" t="s">
        <v>16156</v>
      </c>
      <c r="K3003" s="2" t="s">
        <v>2215</v>
      </c>
      <c r="L3003" s="8" t="s">
        <v>5454</v>
      </c>
      <c r="M3003" s="8" t="s">
        <v>27</v>
      </c>
      <c r="N3003" s="2" t="s">
        <v>16157</v>
      </c>
      <c r="O3003" s="8" t="s">
        <v>29</v>
      </c>
      <c r="P3003" s="8" t="s">
        <v>401</v>
      </c>
      <c r="Q3003" s="12" t="s">
        <v>16158</v>
      </c>
      <c r="R3003" s="8" t="s">
        <v>100</v>
      </c>
      <c r="S3003" s="7" t="s">
        <v>28</v>
      </c>
      <c r="T3003" s="6"/>
      <c r="U3003" s="8"/>
    </row>
    <row r="3004" spans="1:34" ht="13" customHeight="1">
      <c r="A3004" s="8" t="s">
        <v>16159</v>
      </c>
      <c r="B3004" s="16">
        <v>33</v>
      </c>
      <c r="C3004" s="8" t="s">
        <v>20</v>
      </c>
      <c r="D3004" s="8" t="s">
        <v>37</v>
      </c>
      <c r="E3004" s="8" t="s">
        <v>16160</v>
      </c>
      <c r="F3004" s="17">
        <v>41441</v>
      </c>
      <c r="G3004" s="8" t="s">
        <v>16161</v>
      </c>
      <c r="H3004" s="8" t="s">
        <v>681</v>
      </c>
      <c r="I3004" s="8" t="s">
        <v>45</v>
      </c>
      <c r="J3004" s="16" t="s">
        <v>3499</v>
      </c>
      <c r="K3004" s="2" t="s">
        <v>682</v>
      </c>
      <c r="L3004" s="8" t="s">
        <v>750</v>
      </c>
      <c r="M3004" s="8" t="s">
        <v>27</v>
      </c>
      <c r="N3004" s="2" t="s">
        <v>16162</v>
      </c>
      <c r="O3004" s="8" t="s">
        <v>1013</v>
      </c>
      <c r="P3004" s="8" t="s">
        <v>401</v>
      </c>
      <c r="Q3004" s="12" t="s">
        <v>16163</v>
      </c>
      <c r="R3004" s="8" t="s">
        <v>100</v>
      </c>
      <c r="S3004" s="7" t="s">
        <v>28</v>
      </c>
      <c r="T3004" s="6"/>
      <c r="U3004" s="8"/>
    </row>
    <row r="3005" spans="1:34" ht="13" customHeight="1">
      <c r="A3005" s="8" t="s">
        <v>16164</v>
      </c>
      <c r="B3005" s="16">
        <v>54</v>
      </c>
      <c r="C3005" s="8" t="s">
        <v>20</v>
      </c>
      <c r="D3005" s="8" t="s">
        <v>37</v>
      </c>
      <c r="E3005" s="8" t="s">
        <v>16165</v>
      </c>
      <c r="F3005" s="17">
        <v>41441</v>
      </c>
      <c r="G3005" s="8" t="s">
        <v>16166</v>
      </c>
      <c r="H3005" s="8" t="s">
        <v>1063</v>
      </c>
      <c r="I3005" s="8" t="s">
        <v>62</v>
      </c>
      <c r="J3005" s="16" t="s">
        <v>12920</v>
      </c>
      <c r="K3005" s="2" t="s">
        <v>1064</v>
      </c>
      <c r="L3005" s="8" t="s">
        <v>4453</v>
      </c>
      <c r="M3005" s="8" t="s">
        <v>27</v>
      </c>
      <c r="N3005" s="2" t="s">
        <v>16167</v>
      </c>
      <c r="O3005" s="8" t="s">
        <v>4714</v>
      </c>
      <c r="P3005" s="8" t="s">
        <v>401</v>
      </c>
      <c r="Q3005" s="12" t="s">
        <v>16168</v>
      </c>
      <c r="R3005" s="8" t="s">
        <v>100</v>
      </c>
      <c r="S3005" s="7" t="s">
        <v>28</v>
      </c>
      <c r="T3005" s="6"/>
      <c r="U3005" s="8"/>
    </row>
    <row r="3006" spans="1:34" ht="13" customHeight="1">
      <c r="A3006" s="8" t="s">
        <v>16169</v>
      </c>
      <c r="B3006" s="16" t="s">
        <v>15831</v>
      </c>
      <c r="C3006" s="8" t="s">
        <v>20</v>
      </c>
      <c r="D3006" s="8" t="s">
        <v>85</v>
      </c>
      <c r="E3006" s="8" t="s">
        <v>16170</v>
      </c>
      <c r="F3006" s="17">
        <v>41440</v>
      </c>
      <c r="G3006" s="8" t="s">
        <v>16171</v>
      </c>
      <c r="H3006" s="8" t="s">
        <v>11405</v>
      </c>
      <c r="I3006" s="8" t="s">
        <v>62</v>
      </c>
      <c r="J3006" s="16" t="s">
        <v>16172</v>
      </c>
      <c r="K3006" s="2" t="s">
        <v>1027</v>
      </c>
      <c r="L3006" s="8" t="s">
        <v>16173</v>
      </c>
      <c r="M3006" s="8" t="s">
        <v>27</v>
      </c>
      <c r="N3006" s="2" t="s">
        <v>16174</v>
      </c>
      <c r="O3006" s="8" t="s">
        <v>29</v>
      </c>
      <c r="P3006" s="8" t="s">
        <v>401</v>
      </c>
      <c r="Q3006" s="12" t="s">
        <v>16175</v>
      </c>
      <c r="R3006" s="8" t="s">
        <v>100</v>
      </c>
      <c r="S3006" s="7" t="s">
        <v>28</v>
      </c>
      <c r="T3006" s="6"/>
      <c r="U3006" s="8"/>
      <c r="Y3006" s="8"/>
      <c r="Z3006" s="8"/>
      <c r="AA3006" s="8"/>
      <c r="AB3006" s="8"/>
      <c r="AC3006" s="8"/>
      <c r="AD3006" s="8"/>
      <c r="AE3006" s="8"/>
      <c r="AF3006" s="8"/>
      <c r="AG3006" s="8"/>
      <c r="AH3006" s="8"/>
    </row>
    <row r="3007" spans="1:34" ht="13" customHeight="1">
      <c r="A3007" s="8" t="s">
        <v>16176</v>
      </c>
      <c r="B3007" s="16" t="s">
        <v>16177</v>
      </c>
      <c r="C3007" s="8" t="s">
        <v>20</v>
      </c>
      <c r="D3007" s="8" t="s">
        <v>48</v>
      </c>
      <c r="F3007" s="17">
        <v>41440</v>
      </c>
      <c r="G3007" s="8" t="s">
        <v>16178</v>
      </c>
      <c r="H3007" s="8" t="s">
        <v>1631</v>
      </c>
      <c r="I3007" s="8" t="s">
        <v>463</v>
      </c>
      <c r="J3007" s="16" t="s">
        <v>16179</v>
      </c>
      <c r="K3007" s="2" t="s">
        <v>941</v>
      </c>
      <c r="L3007" s="8" t="s">
        <v>2258</v>
      </c>
      <c r="M3007" s="8" t="s">
        <v>27</v>
      </c>
      <c r="N3007" s="2" t="s">
        <v>16180</v>
      </c>
      <c r="O3007" s="8" t="s">
        <v>550</v>
      </c>
      <c r="P3007" s="8" t="s">
        <v>401</v>
      </c>
      <c r="Q3007" s="12" t="s">
        <v>16181</v>
      </c>
      <c r="R3007" s="8" t="s">
        <v>100</v>
      </c>
      <c r="S3007" s="7" t="s">
        <v>28</v>
      </c>
      <c r="T3007" s="6"/>
      <c r="U3007" s="8"/>
    </row>
    <row r="3008" spans="1:34" ht="13" customHeight="1">
      <c r="A3008" s="8" t="s">
        <v>3267</v>
      </c>
      <c r="B3008" s="16" t="s">
        <v>11124</v>
      </c>
      <c r="C3008" s="8" t="s">
        <v>20</v>
      </c>
      <c r="D3008" s="8" t="s">
        <v>30</v>
      </c>
      <c r="F3008" s="17">
        <v>41440</v>
      </c>
      <c r="G3008" s="8" t="s">
        <v>16182</v>
      </c>
      <c r="H3008" s="8" t="s">
        <v>213</v>
      </c>
      <c r="I3008" s="8" t="s">
        <v>62</v>
      </c>
      <c r="J3008" s="16" t="s">
        <v>9127</v>
      </c>
      <c r="K3008" s="2" t="s">
        <v>161</v>
      </c>
      <c r="L3008" s="8" t="s">
        <v>162</v>
      </c>
      <c r="M3008" s="8" t="s">
        <v>27</v>
      </c>
      <c r="N3008" s="2" t="s">
        <v>16183</v>
      </c>
      <c r="O3008" s="8" t="s">
        <v>29</v>
      </c>
      <c r="P3008" s="8" t="s">
        <v>401</v>
      </c>
      <c r="Q3008" s="12" t="s">
        <v>16184</v>
      </c>
      <c r="R3008" s="8" t="s">
        <v>100</v>
      </c>
      <c r="S3008" s="7" t="s">
        <v>28</v>
      </c>
      <c r="T3008" s="6"/>
      <c r="U3008" s="8"/>
    </row>
    <row r="3009" spans="1:34" ht="13" customHeight="1">
      <c r="A3009" s="8" t="s">
        <v>16185</v>
      </c>
      <c r="B3009" s="16" t="s">
        <v>16186</v>
      </c>
      <c r="C3009" s="8" t="s">
        <v>20</v>
      </c>
      <c r="D3009" s="8" t="s">
        <v>37</v>
      </c>
      <c r="E3009" s="8" t="s">
        <v>16187</v>
      </c>
      <c r="F3009" s="17">
        <v>41440</v>
      </c>
      <c r="G3009" s="8" t="s">
        <v>16188</v>
      </c>
      <c r="H3009" s="8" t="s">
        <v>16189</v>
      </c>
      <c r="I3009" s="8" t="s">
        <v>209</v>
      </c>
      <c r="J3009" s="16" t="s">
        <v>16190</v>
      </c>
      <c r="K3009" s="2" t="s">
        <v>1432</v>
      </c>
      <c r="L3009" s="8" t="s">
        <v>16191</v>
      </c>
      <c r="M3009" s="8" t="s">
        <v>27</v>
      </c>
      <c r="N3009" s="2" t="s">
        <v>16192</v>
      </c>
      <c r="O3009" s="8" t="s">
        <v>550</v>
      </c>
      <c r="P3009" s="8" t="s">
        <v>401</v>
      </c>
      <c r="Q3009" s="12" t="s">
        <v>16193</v>
      </c>
      <c r="R3009" s="8" t="s">
        <v>100</v>
      </c>
      <c r="S3009" s="7" t="s">
        <v>28</v>
      </c>
      <c r="T3009" s="6"/>
      <c r="U3009" s="8"/>
    </row>
    <row r="3010" spans="1:34" ht="13" customHeight="1">
      <c r="A3010" s="8" t="s">
        <v>16194</v>
      </c>
      <c r="B3010" s="16">
        <v>32</v>
      </c>
      <c r="C3010" s="8" t="s">
        <v>20</v>
      </c>
      <c r="D3010" s="8" t="s">
        <v>85</v>
      </c>
      <c r="E3010" s="8" t="s">
        <v>16195</v>
      </c>
      <c r="F3010" s="17">
        <v>41439</v>
      </c>
      <c r="G3010" s="8" t="s">
        <v>16196</v>
      </c>
      <c r="H3010" s="8" t="s">
        <v>16197</v>
      </c>
      <c r="I3010" s="8" t="s">
        <v>45</v>
      </c>
      <c r="J3010" s="16" t="s">
        <v>16198</v>
      </c>
      <c r="K3010" s="2" t="s">
        <v>604</v>
      </c>
      <c r="L3010" s="8" t="s">
        <v>249</v>
      </c>
      <c r="M3010" s="8" t="s">
        <v>27</v>
      </c>
      <c r="N3010" s="2" t="s">
        <v>16199</v>
      </c>
      <c r="O3010" s="8" t="s">
        <v>550</v>
      </c>
      <c r="P3010" s="8" t="s">
        <v>401</v>
      </c>
      <c r="Q3010" s="12" t="s">
        <v>16200</v>
      </c>
      <c r="R3010" s="8" t="s">
        <v>555</v>
      </c>
      <c r="S3010" s="7" t="s">
        <v>28</v>
      </c>
      <c r="T3010" s="6"/>
      <c r="U3010" s="8"/>
      <c r="Y3010" s="8"/>
      <c r="Z3010" s="8"/>
      <c r="AA3010" s="8"/>
      <c r="AB3010" s="8"/>
      <c r="AC3010" s="8"/>
      <c r="AD3010" s="8"/>
      <c r="AE3010" s="8"/>
      <c r="AF3010" s="8"/>
      <c r="AG3010" s="8"/>
      <c r="AH3010" s="8"/>
    </row>
    <row r="3011" spans="1:34" ht="13" customHeight="1">
      <c r="A3011" s="8" t="s">
        <v>16201</v>
      </c>
      <c r="B3011" s="16" t="s">
        <v>16202</v>
      </c>
      <c r="C3011" s="8" t="s">
        <v>20</v>
      </c>
      <c r="D3011" s="8" t="s">
        <v>37</v>
      </c>
      <c r="E3011" s="8" t="s">
        <v>16203</v>
      </c>
      <c r="F3011" s="17">
        <v>41439</v>
      </c>
      <c r="G3011" s="8" t="s">
        <v>16204</v>
      </c>
      <c r="H3011" s="8" t="s">
        <v>16205</v>
      </c>
      <c r="I3011" s="8" t="s">
        <v>46</v>
      </c>
      <c r="J3011" s="16" t="s">
        <v>16206</v>
      </c>
      <c r="K3011" s="2" t="s">
        <v>3332</v>
      </c>
      <c r="L3011" s="8" t="s">
        <v>16633</v>
      </c>
      <c r="M3011" s="8" t="s">
        <v>27</v>
      </c>
      <c r="N3011" s="2" t="s">
        <v>16207</v>
      </c>
      <c r="O3011" s="8" t="s">
        <v>550</v>
      </c>
      <c r="P3011" s="8" t="s">
        <v>401</v>
      </c>
      <c r="Q3011" s="12" t="s">
        <v>16208</v>
      </c>
      <c r="R3011" s="8" t="s">
        <v>555</v>
      </c>
      <c r="S3011" s="7" t="s">
        <v>28</v>
      </c>
      <c r="T3011" s="6"/>
      <c r="U3011" s="8"/>
    </row>
    <row r="3012" spans="1:34" ht="13" customHeight="1">
      <c r="A3012" s="8" t="s">
        <v>16209</v>
      </c>
      <c r="B3012" s="16">
        <v>17</v>
      </c>
      <c r="C3012" s="8" t="s">
        <v>20</v>
      </c>
      <c r="D3012" s="8" t="s">
        <v>30</v>
      </c>
      <c r="F3012" s="17">
        <v>41438</v>
      </c>
      <c r="G3012" s="8" t="s">
        <v>16210</v>
      </c>
      <c r="H3012" s="8" t="s">
        <v>2163</v>
      </c>
      <c r="I3012" s="8" t="s">
        <v>94</v>
      </c>
      <c r="J3012" s="16" t="s">
        <v>6852</v>
      </c>
      <c r="K3012" s="2" t="s">
        <v>2165</v>
      </c>
      <c r="L3012" s="8" t="s">
        <v>2166</v>
      </c>
      <c r="M3012" s="8" t="s">
        <v>3169</v>
      </c>
      <c r="N3012" s="2" t="s">
        <v>16211</v>
      </c>
      <c r="O3012" s="8" t="s">
        <v>400</v>
      </c>
      <c r="P3012" s="8" t="s">
        <v>401</v>
      </c>
      <c r="Q3012" s="12" t="s">
        <v>16212</v>
      </c>
      <c r="R3012" s="8" t="s">
        <v>967</v>
      </c>
      <c r="S3012" s="7" t="s">
        <v>28</v>
      </c>
      <c r="T3012" s="6"/>
      <c r="U3012" s="8"/>
    </row>
    <row r="3013" spans="1:34" ht="13" customHeight="1">
      <c r="A3013" s="8" t="s">
        <v>16213</v>
      </c>
      <c r="B3013" s="16">
        <v>34</v>
      </c>
      <c r="C3013" s="8" t="s">
        <v>20</v>
      </c>
      <c r="D3013" s="8" t="s">
        <v>37</v>
      </c>
      <c r="E3013" s="8" t="s">
        <v>16214</v>
      </c>
      <c r="F3013" s="17">
        <v>41438</v>
      </c>
      <c r="G3013" s="8" t="s">
        <v>16215</v>
      </c>
      <c r="H3013" s="8" t="s">
        <v>841</v>
      </c>
      <c r="I3013" s="8" t="s">
        <v>303</v>
      </c>
      <c r="J3013" s="16" t="s">
        <v>16216</v>
      </c>
      <c r="K3013" s="2" t="s">
        <v>841</v>
      </c>
      <c r="L3013" s="8" t="s">
        <v>16562</v>
      </c>
      <c r="M3013" s="8" t="s">
        <v>12896</v>
      </c>
      <c r="N3013" s="2" t="s">
        <v>16217</v>
      </c>
      <c r="O3013" s="8" t="s">
        <v>550</v>
      </c>
      <c r="P3013" s="8" t="s">
        <v>401</v>
      </c>
      <c r="Q3013" s="12" t="s">
        <v>16218</v>
      </c>
      <c r="R3013" s="8" t="s">
        <v>100</v>
      </c>
      <c r="S3013" s="7" t="s">
        <v>28</v>
      </c>
      <c r="T3013" s="6"/>
      <c r="U3013" s="8"/>
    </row>
    <row r="3014" spans="1:34" ht="13" customHeight="1">
      <c r="A3014" s="8" t="s">
        <v>16219</v>
      </c>
      <c r="B3014" s="16" t="s">
        <v>16018</v>
      </c>
      <c r="C3014" s="8" t="s">
        <v>20</v>
      </c>
      <c r="D3014" s="8" t="s">
        <v>37</v>
      </c>
      <c r="E3014" s="8" t="s">
        <v>16220</v>
      </c>
      <c r="F3014" s="17">
        <v>41438</v>
      </c>
      <c r="G3014" s="8" t="s">
        <v>16221</v>
      </c>
      <c r="H3014" s="8" t="s">
        <v>16222</v>
      </c>
      <c r="I3014" s="8" t="s">
        <v>438</v>
      </c>
      <c r="J3014" s="16" t="s">
        <v>16223</v>
      </c>
      <c r="K3014" s="2" t="s">
        <v>16224</v>
      </c>
      <c r="L3014" s="8" t="s">
        <v>16225</v>
      </c>
      <c r="M3014" s="8" t="s">
        <v>27</v>
      </c>
      <c r="N3014" s="2" t="s">
        <v>16226</v>
      </c>
      <c r="O3014" s="8" t="s">
        <v>550</v>
      </c>
      <c r="P3014" s="8" t="s">
        <v>401</v>
      </c>
      <c r="Q3014" s="12" t="s">
        <v>16227</v>
      </c>
      <c r="R3014" s="8" t="s">
        <v>100</v>
      </c>
      <c r="S3014" s="7" t="s">
        <v>28</v>
      </c>
      <c r="T3014" s="6"/>
      <c r="U3014" s="8"/>
    </row>
    <row r="3015" spans="1:34" ht="13" customHeight="1">
      <c r="A3015" s="8" t="s">
        <v>16228</v>
      </c>
      <c r="B3015" s="16">
        <v>54</v>
      </c>
      <c r="C3015" s="8" t="s">
        <v>20</v>
      </c>
      <c r="D3015" s="8" t="s">
        <v>30</v>
      </c>
      <c r="F3015" s="17">
        <v>41437</v>
      </c>
      <c r="G3015" s="8" t="s">
        <v>16229</v>
      </c>
      <c r="H3015" s="8" t="s">
        <v>1064</v>
      </c>
      <c r="I3015" s="8" t="s">
        <v>45</v>
      </c>
      <c r="J3015" s="16" t="s">
        <v>16230</v>
      </c>
      <c r="K3015" s="2" t="s">
        <v>1064</v>
      </c>
      <c r="L3015" s="8" t="s">
        <v>16231</v>
      </c>
      <c r="M3015" s="8" t="s">
        <v>27</v>
      </c>
      <c r="N3015" s="2" t="s">
        <v>16232</v>
      </c>
      <c r="O3015" s="8" t="s">
        <v>550</v>
      </c>
      <c r="P3015" s="8" t="s">
        <v>401</v>
      </c>
      <c r="Q3015" s="12" t="s">
        <v>16233</v>
      </c>
      <c r="R3015" s="8" t="s">
        <v>100</v>
      </c>
      <c r="S3015" s="7" t="s">
        <v>28</v>
      </c>
      <c r="T3015" s="6"/>
      <c r="U3015" s="8"/>
    </row>
    <row r="3016" spans="1:34" ht="13" customHeight="1">
      <c r="A3016" s="8" t="s">
        <v>16242</v>
      </c>
      <c r="B3016" s="16" t="s">
        <v>8817</v>
      </c>
      <c r="C3016" s="8" t="s">
        <v>20</v>
      </c>
      <c r="D3016" s="8" t="s">
        <v>37</v>
      </c>
      <c r="E3016" s="8" t="s">
        <v>16243</v>
      </c>
      <c r="F3016" s="17">
        <v>41437</v>
      </c>
      <c r="G3016" s="8" t="s">
        <v>16244</v>
      </c>
      <c r="H3016" s="8" t="s">
        <v>16245</v>
      </c>
      <c r="I3016" s="8" t="s">
        <v>793</v>
      </c>
      <c r="J3016" s="16" t="s">
        <v>16246</v>
      </c>
      <c r="K3016" s="2" t="s">
        <v>16247</v>
      </c>
      <c r="L3016" s="8" t="s">
        <v>16248</v>
      </c>
      <c r="M3016" s="8" t="s">
        <v>27</v>
      </c>
      <c r="N3016" s="2" t="s">
        <v>16249</v>
      </c>
      <c r="O3016" s="8" t="s">
        <v>550</v>
      </c>
      <c r="P3016" s="8" t="s">
        <v>401</v>
      </c>
      <c r="Q3016" s="12" t="s">
        <v>16250</v>
      </c>
      <c r="R3016" s="8" t="s">
        <v>100</v>
      </c>
      <c r="S3016" s="7" t="s">
        <v>28</v>
      </c>
      <c r="T3016" s="6"/>
      <c r="U3016" s="8"/>
    </row>
    <row r="3017" spans="1:34" ht="13" customHeight="1">
      <c r="A3017" s="8" t="s">
        <v>16234</v>
      </c>
      <c r="B3017" s="16" t="s">
        <v>13587</v>
      </c>
      <c r="C3017" s="8" t="s">
        <v>20</v>
      </c>
      <c r="D3017" s="8" t="s">
        <v>37</v>
      </c>
      <c r="E3017" s="8" t="s">
        <v>16235</v>
      </c>
      <c r="F3017" s="17">
        <v>41437</v>
      </c>
      <c r="G3017" s="8" t="s">
        <v>16236</v>
      </c>
      <c r="H3017" s="8" t="s">
        <v>16237</v>
      </c>
      <c r="I3017" s="8" t="s">
        <v>45</v>
      </c>
      <c r="J3017" s="16" t="s">
        <v>16238</v>
      </c>
      <c r="K3017" s="2" t="s">
        <v>1064</v>
      </c>
      <c r="L3017" s="8" t="s">
        <v>16239</v>
      </c>
      <c r="M3017" s="8" t="s">
        <v>27</v>
      </c>
      <c r="N3017" s="2" t="s">
        <v>16240</v>
      </c>
      <c r="O3017" s="8" t="s">
        <v>615</v>
      </c>
      <c r="P3017" s="8" t="s">
        <v>401</v>
      </c>
      <c r="Q3017" s="12" t="s">
        <v>16241</v>
      </c>
      <c r="R3017" s="8" t="s">
        <v>100</v>
      </c>
      <c r="S3017" s="7" t="s">
        <v>28</v>
      </c>
      <c r="T3017" s="6"/>
      <c r="U3017" s="8"/>
    </row>
    <row r="3018" spans="1:34" ht="13" customHeight="1">
      <c r="A3018" s="8" t="s">
        <v>16251</v>
      </c>
      <c r="B3018" s="16" t="s">
        <v>16144</v>
      </c>
      <c r="C3018" s="8" t="s">
        <v>20</v>
      </c>
      <c r="D3018" s="8" t="s">
        <v>85</v>
      </c>
      <c r="E3018" s="8" t="s">
        <v>16252</v>
      </c>
      <c r="F3018" s="17">
        <v>41436</v>
      </c>
      <c r="G3018" s="8" t="s">
        <v>16253</v>
      </c>
      <c r="H3018" s="8" t="s">
        <v>16254</v>
      </c>
      <c r="I3018" s="8" t="s">
        <v>438</v>
      </c>
      <c r="J3018" s="16" t="s">
        <v>16255</v>
      </c>
      <c r="K3018" s="2" t="s">
        <v>16256</v>
      </c>
      <c r="L3018" s="8" t="s">
        <v>16257</v>
      </c>
      <c r="M3018" s="8" t="s">
        <v>27</v>
      </c>
      <c r="N3018" s="2" t="s">
        <v>16258</v>
      </c>
      <c r="O3018" s="8" t="s">
        <v>550</v>
      </c>
      <c r="P3018" s="8" t="s">
        <v>401</v>
      </c>
      <c r="Q3018" s="12" t="s">
        <v>16259</v>
      </c>
      <c r="R3018" s="8" t="s">
        <v>100</v>
      </c>
      <c r="S3018" s="7" t="s">
        <v>28</v>
      </c>
      <c r="T3018" s="6"/>
      <c r="U3018" s="8"/>
    </row>
    <row r="3019" spans="1:34" ht="13" customHeight="1">
      <c r="A3019" s="8" t="s">
        <v>16260</v>
      </c>
      <c r="B3019" s="16">
        <v>26</v>
      </c>
      <c r="C3019" s="8" t="s">
        <v>20</v>
      </c>
      <c r="D3019" s="8" t="s">
        <v>37</v>
      </c>
      <c r="E3019" s="8" t="s">
        <v>16261</v>
      </c>
      <c r="F3019" s="17">
        <v>41436</v>
      </c>
      <c r="G3019" s="8" t="s">
        <v>16262</v>
      </c>
      <c r="H3019" s="8" t="s">
        <v>16263</v>
      </c>
      <c r="I3019" s="8" t="s">
        <v>133</v>
      </c>
      <c r="J3019" s="16" t="s">
        <v>16264</v>
      </c>
      <c r="K3019" s="2" t="s">
        <v>712</v>
      </c>
      <c r="L3019" s="8" t="s">
        <v>16265</v>
      </c>
      <c r="M3019" s="8" t="s">
        <v>27</v>
      </c>
      <c r="N3019" s="2" t="s">
        <v>16266</v>
      </c>
      <c r="O3019" s="8" t="s">
        <v>550</v>
      </c>
      <c r="P3019" s="8" t="s">
        <v>401</v>
      </c>
      <c r="Q3019" s="12" t="s">
        <v>16267</v>
      </c>
      <c r="R3019" s="8" t="s">
        <v>100</v>
      </c>
      <c r="S3019" s="7" t="s">
        <v>28</v>
      </c>
      <c r="T3019" s="6"/>
      <c r="U3019" s="8"/>
    </row>
    <row r="3020" spans="1:34" ht="13" customHeight="1">
      <c r="A3020" s="8" t="s">
        <v>16268</v>
      </c>
      <c r="B3020" s="16" t="s">
        <v>10061</v>
      </c>
      <c r="C3020" s="8" t="s">
        <v>20</v>
      </c>
      <c r="D3020" s="8" t="s">
        <v>85</v>
      </c>
      <c r="E3020" s="8" t="s">
        <v>16269</v>
      </c>
      <c r="F3020" s="17">
        <v>41435</v>
      </c>
      <c r="G3020" s="8" t="s">
        <v>16270</v>
      </c>
      <c r="H3020" s="8" t="s">
        <v>1063</v>
      </c>
      <c r="I3020" s="8" t="s">
        <v>62</v>
      </c>
      <c r="J3020" s="16" t="s">
        <v>7812</v>
      </c>
      <c r="K3020" s="2" t="s">
        <v>1064</v>
      </c>
      <c r="L3020" s="8" t="s">
        <v>1065</v>
      </c>
      <c r="M3020" s="8" t="s">
        <v>27</v>
      </c>
      <c r="N3020" s="2" t="s">
        <v>16271</v>
      </c>
      <c r="O3020" s="8" t="s">
        <v>29</v>
      </c>
      <c r="P3020" s="8" t="s">
        <v>401</v>
      </c>
      <c r="Q3020" s="12" t="s">
        <v>16272</v>
      </c>
      <c r="R3020" s="8" t="s">
        <v>100</v>
      </c>
      <c r="S3020" s="7" t="s">
        <v>28</v>
      </c>
      <c r="T3020" s="6"/>
      <c r="U3020" s="8"/>
    </row>
    <row r="3021" spans="1:34" ht="13" customHeight="1">
      <c r="A3021" s="8" t="s">
        <v>16279</v>
      </c>
      <c r="B3021" s="16" t="s">
        <v>13982</v>
      </c>
      <c r="C3021" s="8" t="s">
        <v>20</v>
      </c>
      <c r="D3021" s="8" t="s">
        <v>37</v>
      </c>
      <c r="E3021" s="8" t="s">
        <v>16280</v>
      </c>
      <c r="F3021" s="17">
        <v>41435</v>
      </c>
      <c r="G3021" s="8" t="s">
        <v>16281</v>
      </c>
      <c r="H3021" s="8" t="s">
        <v>16282</v>
      </c>
      <c r="I3021" s="8" t="s">
        <v>173</v>
      </c>
      <c r="J3021" s="16" t="s">
        <v>16283</v>
      </c>
      <c r="K3021" s="2" t="s">
        <v>11166</v>
      </c>
      <c r="L3021" s="8" t="s">
        <v>16284</v>
      </c>
      <c r="M3021" s="8" t="s">
        <v>27</v>
      </c>
      <c r="N3021" s="2" t="s">
        <v>16285</v>
      </c>
      <c r="O3021" s="8" t="s">
        <v>29</v>
      </c>
      <c r="P3021" s="8" t="s">
        <v>401</v>
      </c>
      <c r="Q3021" s="12" t="s">
        <v>16286</v>
      </c>
      <c r="R3021" s="8" t="s">
        <v>100</v>
      </c>
      <c r="S3021" s="7" t="s">
        <v>28</v>
      </c>
      <c r="T3021" s="6"/>
      <c r="U3021" s="8"/>
    </row>
    <row r="3022" spans="1:34" ht="13" customHeight="1">
      <c r="A3022" s="8" t="s">
        <v>16273</v>
      </c>
      <c r="B3022" s="16" t="s">
        <v>13480</v>
      </c>
      <c r="C3022" s="8" t="s">
        <v>20</v>
      </c>
      <c r="D3022" s="8" t="s">
        <v>37</v>
      </c>
      <c r="E3022" s="8" t="s">
        <v>16274</v>
      </c>
      <c r="F3022" s="17">
        <v>41435</v>
      </c>
      <c r="G3022" s="8" t="s">
        <v>16275</v>
      </c>
      <c r="H3022" s="8" t="s">
        <v>1496</v>
      </c>
      <c r="I3022" s="8" t="s">
        <v>404</v>
      </c>
      <c r="J3022" s="16" t="s">
        <v>16276</v>
      </c>
      <c r="K3022" s="2" t="s">
        <v>1496</v>
      </c>
      <c r="L3022" s="8" t="s">
        <v>2279</v>
      </c>
      <c r="M3022" s="8" t="s">
        <v>27</v>
      </c>
      <c r="N3022" s="2" t="s">
        <v>16277</v>
      </c>
      <c r="O3022" s="8" t="s">
        <v>550</v>
      </c>
      <c r="P3022" s="8" t="s">
        <v>401</v>
      </c>
      <c r="Q3022" s="12" t="s">
        <v>16278</v>
      </c>
      <c r="R3022" s="8" t="s">
        <v>555</v>
      </c>
      <c r="S3022" s="7" t="s">
        <v>28</v>
      </c>
      <c r="T3022" s="6"/>
      <c r="U3022" s="8"/>
    </row>
    <row r="3023" spans="1:34" ht="13" customHeight="1">
      <c r="A3023" s="8" t="s">
        <v>16287</v>
      </c>
      <c r="B3023" s="16">
        <v>43</v>
      </c>
      <c r="C3023" s="8" t="s">
        <v>20</v>
      </c>
      <c r="D3023" s="8" t="s">
        <v>48</v>
      </c>
      <c r="E3023" s="8" t="s">
        <v>16288</v>
      </c>
      <c r="F3023" s="17">
        <v>41434</v>
      </c>
      <c r="G3023" s="8" t="s">
        <v>16289</v>
      </c>
      <c r="H3023" s="8" t="s">
        <v>16290</v>
      </c>
      <c r="I3023" s="8" t="s">
        <v>41</v>
      </c>
      <c r="J3023" s="16" t="s">
        <v>16291</v>
      </c>
      <c r="K3023" s="2" t="s">
        <v>3622</v>
      </c>
      <c r="L3023" s="8" t="s">
        <v>16292</v>
      </c>
      <c r="M3023" s="8" t="s">
        <v>391</v>
      </c>
      <c r="N3023" s="2" t="s">
        <v>16293</v>
      </c>
      <c r="O3023" s="8" t="s">
        <v>29</v>
      </c>
      <c r="P3023" s="8" t="s">
        <v>401</v>
      </c>
      <c r="Q3023" s="12" t="s">
        <v>16294</v>
      </c>
      <c r="R3023" s="8" t="s">
        <v>100</v>
      </c>
      <c r="S3023" s="7" t="s">
        <v>28</v>
      </c>
      <c r="T3023" s="6"/>
      <c r="U3023" s="8"/>
    </row>
    <row r="3024" spans="1:34" ht="13" customHeight="1">
      <c r="A3024" s="8" t="s">
        <v>16295</v>
      </c>
      <c r="B3024" s="16">
        <v>21</v>
      </c>
      <c r="C3024" s="8" t="s">
        <v>20</v>
      </c>
      <c r="D3024" s="8" t="s">
        <v>37</v>
      </c>
      <c r="E3024" s="8" t="s">
        <v>16296</v>
      </c>
      <c r="F3024" s="17">
        <v>41434</v>
      </c>
      <c r="G3024" s="8" t="s">
        <v>16297</v>
      </c>
      <c r="H3024" s="8" t="s">
        <v>8982</v>
      </c>
      <c r="I3024" s="8" t="s">
        <v>4399</v>
      </c>
      <c r="J3024" s="16" t="s">
        <v>16298</v>
      </c>
      <c r="K3024" s="2" t="s">
        <v>7029</v>
      </c>
      <c r="L3024" s="8" t="s">
        <v>16299</v>
      </c>
      <c r="M3024" s="8" t="s">
        <v>27</v>
      </c>
      <c r="N3024" s="2" t="s">
        <v>16300</v>
      </c>
      <c r="O3024" s="8" t="s">
        <v>550</v>
      </c>
      <c r="P3024" s="8" t="s">
        <v>401</v>
      </c>
      <c r="Q3024" s="12" t="s">
        <v>16301</v>
      </c>
      <c r="R3024" s="8" t="s">
        <v>555</v>
      </c>
      <c r="S3024" s="7" t="s">
        <v>28</v>
      </c>
      <c r="T3024" s="6"/>
      <c r="U3024" s="8"/>
    </row>
    <row r="3025" spans="1:39" ht="13" customHeight="1">
      <c r="A3025" s="8" t="s">
        <v>16302</v>
      </c>
      <c r="B3025" s="16">
        <v>48</v>
      </c>
      <c r="C3025" s="8" t="s">
        <v>20</v>
      </c>
      <c r="D3025" s="8" t="s">
        <v>37</v>
      </c>
      <c r="E3025" s="8" t="s">
        <v>16303</v>
      </c>
      <c r="F3025" s="17">
        <v>41434</v>
      </c>
      <c r="G3025" s="8" t="s">
        <v>16304</v>
      </c>
      <c r="H3025" s="8" t="s">
        <v>16305</v>
      </c>
      <c r="I3025" s="8" t="s">
        <v>395</v>
      </c>
      <c r="J3025" s="16" t="s">
        <v>16306</v>
      </c>
      <c r="K3025" s="2" t="s">
        <v>16307</v>
      </c>
      <c r="L3025" s="8" t="s">
        <v>16308</v>
      </c>
      <c r="M3025" s="8" t="s">
        <v>27</v>
      </c>
      <c r="N3025" s="2" t="s">
        <v>16309</v>
      </c>
      <c r="O3025" s="8" t="s">
        <v>400</v>
      </c>
      <c r="P3025" s="8" t="s">
        <v>401</v>
      </c>
      <c r="Q3025" s="12" t="s">
        <v>16310</v>
      </c>
      <c r="R3025" s="8" t="s">
        <v>100</v>
      </c>
      <c r="S3025" s="7" t="s">
        <v>28</v>
      </c>
      <c r="T3025" s="6"/>
      <c r="U3025" s="8"/>
    </row>
    <row r="3026" spans="1:39" ht="13" customHeight="1">
      <c r="A3026" s="8" t="s">
        <v>16311</v>
      </c>
      <c r="B3026" s="16">
        <v>28</v>
      </c>
      <c r="C3026" s="8" t="s">
        <v>20</v>
      </c>
      <c r="D3026" s="8" t="s">
        <v>37</v>
      </c>
      <c r="F3026" s="17">
        <v>41434</v>
      </c>
      <c r="G3026" s="8" t="s">
        <v>16312</v>
      </c>
      <c r="H3026" s="8" t="s">
        <v>12272</v>
      </c>
      <c r="I3026" s="8" t="s">
        <v>44</v>
      </c>
      <c r="J3026" s="16" t="s">
        <v>16313</v>
      </c>
      <c r="K3026" s="2" t="s">
        <v>88</v>
      </c>
      <c r="L3026" s="8" t="s">
        <v>12274</v>
      </c>
      <c r="M3026" s="8" t="s">
        <v>391</v>
      </c>
      <c r="N3026" s="2" t="s">
        <v>16314</v>
      </c>
      <c r="O3026" s="8" t="s">
        <v>400</v>
      </c>
      <c r="P3026" s="8" t="s">
        <v>401</v>
      </c>
      <c r="Q3026" s="12" t="s">
        <v>16315</v>
      </c>
      <c r="R3026" s="8" t="s">
        <v>29</v>
      </c>
      <c r="S3026" s="7" t="s">
        <v>28</v>
      </c>
      <c r="T3026" s="6"/>
      <c r="U3026" s="8"/>
    </row>
    <row r="3027" spans="1:39" ht="13" customHeight="1">
      <c r="A3027" s="8" t="s">
        <v>16316</v>
      </c>
      <c r="B3027" s="16">
        <v>21</v>
      </c>
      <c r="C3027" s="8" t="s">
        <v>20</v>
      </c>
      <c r="D3027" s="8" t="s">
        <v>21</v>
      </c>
      <c r="E3027" s="8" t="s">
        <v>16317</v>
      </c>
      <c r="F3027" s="17">
        <v>41433</v>
      </c>
      <c r="G3027" s="8" t="s">
        <v>16318</v>
      </c>
      <c r="H3027" s="8" t="s">
        <v>16319</v>
      </c>
      <c r="I3027" s="8" t="s">
        <v>94</v>
      </c>
      <c r="J3027" s="16" t="s">
        <v>16320</v>
      </c>
      <c r="K3027" s="2" t="s">
        <v>14070</v>
      </c>
      <c r="L3027" s="8" t="s">
        <v>16321</v>
      </c>
      <c r="M3027" s="8" t="s">
        <v>27</v>
      </c>
      <c r="N3027" s="2" t="s">
        <v>16322</v>
      </c>
      <c r="O3027" s="8" t="s">
        <v>400</v>
      </c>
      <c r="P3027" s="8" t="s">
        <v>401</v>
      </c>
      <c r="Q3027" s="12" t="s">
        <v>16323</v>
      </c>
      <c r="R3027" s="8" t="s">
        <v>100</v>
      </c>
      <c r="S3027" s="7" t="s">
        <v>28</v>
      </c>
      <c r="T3027" s="6"/>
      <c r="U3027" s="8"/>
      <c r="V3027" s="8"/>
      <c r="W3027" s="8"/>
      <c r="X3027" s="8"/>
      <c r="Y3027" s="8"/>
      <c r="Z3027" s="8"/>
      <c r="AA3027" s="8"/>
      <c r="AB3027" s="8"/>
      <c r="AC3027" s="8"/>
      <c r="AD3027" s="8"/>
      <c r="AE3027" s="8"/>
      <c r="AF3027" s="8"/>
      <c r="AG3027" s="8"/>
      <c r="AH3027" s="8"/>
      <c r="AI3027" s="8"/>
      <c r="AJ3027" s="8"/>
      <c r="AK3027" s="8"/>
      <c r="AL3027" s="8"/>
      <c r="AM3027" s="8"/>
    </row>
    <row r="3028" spans="1:39" ht="13" customHeight="1">
      <c r="A3028" s="8" t="s">
        <v>16324</v>
      </c>
      <c r="B3028" s="16" t="s">
        <v>16325</v>
      </c>
      <c r="C3028" s="8" t="s">
        <v>20</v>
      </c>
      <c r="D3028" s="8" t="s">
        <v>21</v>
      </c>
      <c r="F3028" s="17">
        <v>41433</v>
      </c>
      <c r="G3028" s="8" t="s">
        <v>16326</v>
      </c>
      <c r="H3028" s="8" t="s">
        <v>3440</v>
      </c>
      <c r="I3028" s="8" t="s">
        <v>45</v>
      </c>
      <c r="J3028" s="16" t="s">
        <v>10656</v>
      </c>
      <c r="K3028" s="2" t="s">
        <v>3442</v>
      </c>
      <c r="L3028" s="8" t="s">
        <v>3443</v>
      </c>
      <c r="M3028" s="8" t="s">
        <v>27</v>
      </c>
      <c r="N3028" s="2" t="s">
        <v>16327</v>
      </c>
      <c r="O3028" s="8" t="s">
        <v>29</v>
      </c>
      <c r="P3028" s="8" t="s">
        <v>401</v>
      </c>
      <c r="Q3028" s="12" t="s">
        <v>16328</v>
      </c>
      <c r="R3028" s="8" t="s">
        <v>100</v>
      </c>
      <c r="S3028" s="7" t="s">
        <v>28</v>
      </c>
      <c r="T3028" s="6"/>
      <c r="U3028" s="8"/>
      <c r="AI3028" s="8"/>
      <c r="AJ3028" s="8"/>
      <c r="AK3028" s="8"/>
      <c r="AL3028" s="8"/>
      <c r="AM3028" s="8"/>
    </row>
    <row r="3029" spans="1:39" ht="13" customHeight="1">
      <c r="A3029" s="8" t="s">
        <v>16329</v>
      </c>
      <c r="B3029" s="16" t="s">
        <v>10386</v>
      </c>
      <c r="C3029" s="8" t="s">
        <v>20</v>
      </c>
      <c r="D3029" s="8" t="s">
        <v>85</v>
      </c>
      <c r="F3029" s="17">
        <v>41433</v>
      </c>
      <c r="G3029" s="8" t="s">
        <v>21435</v>
      </c>
      <c r="H3029" s="8" t="s">
        <v>5529</v>
      </c>
      <c r="I3029" s="8" t="s">
        <v>45</v>
      </c>
      <c r="J3029" s="16" t="s">
        <v>16330</v>
      </c>
      <c r="K3029" s="2" t="s">
        <v>786</v>
      </c>
      <c r="L3029" s="8" t="s">
        <v>787</v>
      </c>
      <c r="M3029" s="8" t="s">
        <v>27</v>
      </c>
      <c r="N3029" s="2" t="s">
        <v>16331</v>
      </c>
      <c r="O3029" s="8" t="s">
        <v>29</v>
      </c>
      <c r="P3029" s="8" t="s">
        <v>401</v>
      </c>
      <c r="Q3029" s="12" t="s">
        <v>16332</v>
      </c>
      <c r="R3029" s="8" t="s">
        <v>100</v>
      </c>
      <c r="S3029" s="7" t="s">
        <v>28</v>
      </c>
      <c r="T3029" s="6"/>
      <c r="U3029" s="8"/>
    </row>
    <row r="3030" spans="1:39" ht="13" customHeight="1">
      <c r="A3030" s="8" t="s">
        <v>16333</v>
      </c>
      <c r="B3030" s="16">
        <v>24</v>
      </c>
      <c r="C3030" s="8" t="s">
        <v>20</v>
      </c>
      <c r="D3030" s="8" t="s">
        <v>85</v>
      </c>
      <c r="E3030" s="8" t="s">
        <v>16334</v>
      </c>
      <c r="F3030" s="17">
        <v>41433</v>
      </c>
      <c r="G3030" s="8" t="s">
        <v>16335</v>
      </c>
      <c r="H3030" s="8" t="s">
        <v>7343</v>
      </c>
      <c r="I3030" s="8" t="s">
        <v>73</v>
      </c>
      <c r="J3030" s="16" t="s">
        <v>7344</v>
      </c>
      <c r="K3030" s="2" t="s">
        <v>7345</v>
      </c>
      <c r="L3030" s="8" t="s">
        <v>7346</v>
      </c>
      <c r="M3030" s="8" t="s">
        <v>391</v>
      </c>
      <c r="N3030" s="2" t="s">
        <v>16336</v>
      </c>
      <c r="O3030" s="8" t="s">
        <v>1013</v>
      </c>
      <c r="P3030" s="8" t="s">
        <v>401</v>
      </c>
      <c r="Q3030" s="12" t="s">
        <v>16337</v>
      </c>
      <c r="R3030" s="8" t="s">
        <v>29</v>
      </c>
      <c r="S3030" s="7" t="s">
        <v>28</v>
      </c>
      <c r="T3030" s="6"/>
      <c r="U3030" s="8"/>
    </row>
    <row r="3031" spans="1:39" ht="13" customHeight="1">
      <c r="A3031" s="8" t="s">
        <v>16338</v>
      </c>
      <c r="B3031" s="16">
        <v>48</v>
      </c>
      <c r="C3031" s="8" t="s">
        <v>20</v>
      </c>
      <c r="D3031" s="8" t="s">
        <v>48</v>
      </c>
      <c r="F3031" s="17">
        <v>41433</v>
      </c>
      <c r="G3031" s="8" t="s">
        <v>16339</v>
      </c>
      <c r="H3031" s="8" t="s">
        <v>16340</v>
      </c>
      <c r="I3031" s="8" t="s">
        <v>45</v>
      </c>
      <c r="J3031" s="16" t="s">
        <v>16341</v>
      </c>
      <c r="K3031" s="2" t="s">
        <v>2680</v>
      </c>
      <c r="L3031" s="8" t="s">
        <v>16342</v>
      </c>
      <c r="M3031" s="8" t="s">
        <v>27</v>
      </c>
      <c r="N3031" s="2" t="s">
        <v>16343</v>
      </c>
      <c r="O3031" s="8" t="s">
        <v>29</v>
      </c>
      <c r="P3031" s="8" t="s">
        <v>401</v>
      </c>
      <c r="Q3031" s="12" t="s">
        <v>16344</v>
      </c>
      <c r="R3031" s="8" t="s">
        <v>29</v>
      </c>
      <c r="S3031" s="7" t="s">
        <v>28</v>
      </c>
      <c r="T3031" s="6"/>
      <c r="U3031" s="8"/>
      <c r="V3031" s="8"/>
      <c r="W3031" s="8"/>
      <c r="X3031" s="8"/>
    </row>
    <row r="3032" spans="1:39" ht="13" customHeight="1">
      <c r="A3032" s="8" t="s">
        <v>16345</v>
      </c>
      <c r="B3032" s="16" t="s">
        <v>9231</v>
      </c>
      <c r="C3032" s="8" t="s">
        <v>20</v>
      </c>
      <c r="D3032" s="8" t="s">
        <v>30</v>
      </c>
      <c r="F3032" s="17">
        <v>41433</v>
      </c>
      <c r="G3032" s="8" t="s">
        <v>16346</v>
      </c>
      <c r="H3032" s="8" t="s">
        <v>3593</v>
      </c>
      <c r="I3032" s="8" t="s">
        <v>62</v>
      </c>
      <c r="J3032" s="16" t="s">
        <v>3594</v>
      </c>
      <c r="K3032" s="2" t="s">
        <v>3595</v>
      </c>
      <c r="L3032" s="8" t="s">
        <v>5865</v>
      </c>
      <c r="M3032" s="8" t="s">
        <v>27</v>
      </c>
      <c r="N3032" s="2" t="s">
        <v>16347</v>
      </c>
      <c r="O3032" s="8" t="s">
        <v>550</v>
      </c>
      <c r="P3032" s="8" t="s">
        <v>401</v>
      </c>
      <c r="Q3032" s="12" t="s">
        <v>16348</v>
      </c>
      <c r="R3032" s="8" t="s">
        <v>100</v>
      </c>
      <c r="S3032" s="7" t="s">
        <v>28</v>
      </c>
      <c r="T3032" s="6"/>
      <c r="U3032" s="8"/>
    </row>
    <row r="3033" spans="1:39" ht="13" customHeight="1">
      <c r="A3033" s="8" t="s">
        <v>16358</v>
      </c>
      <c r="B3033" s="16" t="s">
        <v>11746</v>
      </c>
      <c r="C3033" s="8" t="s">
        <v>20</v>
      </c>
      <c r="D3033" s="8" t="s">
        <v>37</v>
      </c>
      <c r="E3033" s="8" t="s">
        <v>16359</v>
      </c>
      <c r="F3033" s="17">
        <v>41433</v>
      </c>
      <c r="G3033" s="8" t="s">
        <v>16360</v>
      </c>
      <c r="H3033" s="8" t="s">
        <v>16361</v>
      </c>
      <c r="I3033" s="8" t="s">
        <v>52</v>
      </c>
      <c r="J3033" s="16" t="s">
        <v>16362</v>
      </c>
      <c r="K3033" s="2" t="s">
        <v>3197</v>
      </c>
      <c r="L3033" s="8" t="s">
        <v>16363</v>
      </c>
      <c r="M3033" s="8" t="s">
        <v>27</v>
      </c>
      <c r="N3033" s="2" t="s">
        <v>16364</v>
      </c>
      <c r="O3033" s="8" t="s">
        <v>7772</v>
      </c>
      <c r="P3033" s="8" t="s">
        <v>21434</v>
      </c>
      <c r="Q3033" s="12" t="str">
        <f>HYPERLINK("http://articles.baltimoresun.com/2013-06-11/news/bs-md-ar-road-rage-bail-20130610_1_police-officer-documents-hudson-county","http://articles.baltimoresun.com/2013-06-11/news/bs-md-ar-road-rage-bail-20130610_1_police-officer-documents-hudson-county")</f>
        <v>http://articles.baltimoresun.com/2013-06-11/news/bs-md-ar-road-rage-bail-20130610_1_police-officer-documents-hudson-county</v>
      </c>
      <c r="R3033" s="8" t="s">
        <v>100</v>
      </c>
      <c r="S3033" s="7" t="s">
        <v>28</v>
      </c>
      <c r="T3033" s="6"/>
      <c r="U3033" s="8"/>
    </row>
    <row r="3034" spans="1:39" ht="13" customHeight="1">
      <c r="A3034" s="8" t="s">
        <v>16349</v>
      </c>
      <c r="B3034" s="16" t="s">
        <v>16025</v>
      </c>
      <c r="C3034" s="8" t="s">
        <v>20</v>
      </c>
      <c r="D3034" s="8" t="s">
        <v>37</v>
      </c>
      <c r="E3034" s="8" t="s">
        <v>16350</v>
      </c>
      <c r="F3034" s="17">
        <v>41433</v>
      </c>
      <c r="G3034" s="8" t="s">
        <v>16351</v>
      </c>
      <c r="H3034" s="8" t="s">
        <v>16352</v>
      </c>
      <c r="I3034" s="8" t="s">
        <v>244</v>
      </c>
      <c r="J3034" s="16" t="s">
        <v>16353</v>
      </c>
      <c r="K3034" s="2" t="s">
        <v>16354</v>
      </c>
      <c r="L3034" s="8" t="s">
        <v>16355</v>
      </c>
      <c r="M3034" s="8" t="s">
        <v>27</v>
      </c>
      <c r="N3034" s="2" t="s">
        <v>16356</v>
      </c>
      <c r="O3034" s="8" t="s">
        <v>550</v>
      </c>
      <c r="P3034" s="8" t="s">
        <v>401</v>
      </c>
      <c r="Q3034" s="12" t="s">
        <v>16357</v>
      </c>
      <c r="R3034" s="8" t="s">
        <v>100</v>
      </c>
      <c r="S3034" s="7" t="s">
        <v>28</v>
      </c>
      <c r="T3034" s="6"/>
      <c r="U3034" s="8"/>
      <c r="Y3034" s="8"/>
      <c r="Z3034" s="8"/>
      <c r="AA3034" s="8"/>
      <c r="AB3034" s="8"/>
      <c r="AC3034" s="8"/>
      <c r="AD3034" s="8"/>
      <c r="AE3034" s="8"/>
      <c r="AF3034" s="8"/>
      <c r="AG3034" s="8"/>
      <c r="AH3034" s="8"/>
    </row>
    <row r="3035" spans="1:39" ht="13" customHeight="1">
      <c r="A3035" s="8" t="s">
        <v>16365</v>
      </c>
      <c r="B3035" s="16">
        <v>24</v>
      </c>
      <c r="C3035" s="8" t="s">
        <v>114</v>
      </c>
      <c r="D3035" s="8" t="s">
        <v>37</v>
      </c>
      <c r="E3035" s="8" t="s">
        <v>16366</v>
      </c>
      <c r="F3035" s="17">
        <v>41433</v>
      </c>
      <c r="G3035" s="8" t="s">
        <v>16367</v>
      </c>
      <c r="H3035" s="8" t="s">
        <v>561</v>
      </c>
      <c r="I3035" s="8" t="s">
        <v>123</v>
      </c>
      <c r="J3035" s="16" t="s">
        <v>7449</v>
      </c>
      <c r="K3035" s="2" t="s">
        <v>562</v>
      </c>
      <c r="L3035" s="8" t="s">
        <v>563</v>
      </c>
      <c r="M3035" s="8" t="s">
        <v>27</v>
      </c>
      <c r="N3035" s="2" t="s">
        <v>16368</v>
      </c>
      <c r="O3035" s="8" t="s">
        <v>29</v>
      </c>
      <c r="P3035" s="8" t="s">
        <v>401</v>
      </c>
      <c r="Q3035" s="12" t="s">
        <v>16369</v>
      </c>
      <c r="R3035" s="8" t="s">
        <v>555</v>
      </c>
      <c r="S3035" s="7" t="s">
        <v>28</v>
      </c>
      <c r="T3035" s="6"/>
      <c r="U3035" s="8"/>
    </row>
    <row r="3036" spans="1:39" ht="13" customHeight="1">
      <c r="A3036" s="8" t="s">
        <v>16370</v>
      </c>
      <c r="B3036" s="16" t="s">
        <v>16144</v>
      </c>
      <c r="C3036" s="8" t="s">
        <v>20</v>
      </c>
      <c r="D3036" s="8" t="s">
        <v>21</v>
      </c>
      <c r="E3036" s="8" t="s">
        <v>16371</v>
      </c>
      <c r="F3036" s="17">
        <v>41432</v>
      </c>
      <c r="G3036" s="8" t="s">
        <v>16372</v>
      </c>
      <c r="H3036" s="8" t="s">
        <v>16373</v>
      </c>
      <c r="I3036" s="8" t="s">
        <v>45</v>
      </c>
      <c r="J3036" s="16" t="s">
        <v>16374</v>
      </c>
      <c r="K3036" s="2" t="s">
        <v>98</v>
      </c>
      <c r="L3036" s="8" t="s">
        <v>16375</v>
      </c>
      <c r="M3036" s="8" t="s">
        <v>27</v>
      </c>
      <c r="N3036" s="2" t="s">
        <v>16376</v>
      </c>
      <c r="O3036" s="8" t="s">
        <v>29</v>
      </c>
      <c r="P3036" s="8" t="s">
        <v>401</v>
      </c>
      <c r="Q3036" s="12" t="s">
        <v>16377</v>
      </c>
      <c r="R3036" s="8" t="s">
        <v>100</v>
      </c>
      <c r="S3036" s="7" t="s">
        <v>28</v>
      </c>
      <c r="T3036" s="6"/>
      <c r="U3036" s="8"/>
      <c r="AI3036" s="8"/>
      <c r="AJ3036" s="8"/>
      <c r="AK3036" s="8"/>
      <c r="AL3036" s="8"/>
      <c r="AM3036" s="8"/>
    </row>
    <row r="3037" spans="1:39" ht="13" customHeight="1">
      <c r="A3037" s="8" t="s">
        <v>16378</v>
      </c>
      <c r="B3037" s="16" t="s">
        <v>13982</v>
      </c>
      <c r="C3037" s="8" t="s">
        <v>20</v>
      </c>
      <c r="D3037" s="8" t="s">
        <v>30</v>
      </c>
      <c r="F3037" s="17">
        <v>41432</v>
      </c>
      <c r="G3037" s="8" t="s">
        <v>16379</v>
      </c>
      <c r="H3037" s="8" t="s">
        <v>2892</v>
      </c>
      <c r="I3037" s="8" t="s">
        <v>173</v>
      </c>
      <c r="J3037" s="16" t="s">
        <v>16380</v>
      </c>
      <c r="K3037" s="2" t="s">
        <v>1793</v>
      </c>
      <c r="L3037" s="8" t="s">
        <v>13562</v>
      </c>
      <c r="M3037" s="8" t="s">
        <v>27</v>
      </c>
      <c r="N3037" s="2" t="s">
        <v>16381</v>
      </c>
      <c r="O3037" s="8" t="s">
        <v>29</v>
      </c>
      <c r="P3037" s="8" t="s">
        <v>401</v>
      </c>
      <c r="Q3037" s="12" t="s">
        <v>16382</v>
      </c>
      <c r="R3037" s="8" t="s">
        <v>100</v>
      </c>
      <c r="S3037" s="7" t="s">
        <v>28</v>
      </c>
      <c r="T3037" s="6"/>
      <c r="U3037" s="8"/>
    </row>
    <row r="3038" spans="1:39" ht="13" customHeight="1">
      <c r="A3038" s="8" t="s">
        <v>16383</v>
      </c>
      <c r="B3038" s="16" t="s">
        <v>13480</v>
      </c>
      <c r="C3038" s="8" t="s">
        <v>20</v>
      </c>
      <c r="D3038" s="8" t="s">
        <v>37</v>
      </c>
      <c r="E3038" s="8" t="s">
        <v>16384</v>
      </c>
      <c r="F3038" s="17">
        <v>41432</v>
      </c>
      <c r="G3038" s="8" t="s">
        <v>16385</v>
      </c>
      <c r="H3038" s="8" t="s">
        <v>11153</v>
      </c>
      <c r="I3038" s="8" t="s">
        <v>45</v>
      </c>
      <c r="J3038" s="16" t="s">
        <v>11988</v>
      </c>
      <c r="K3038" s="2" t="s">
        <v>7621</v>
      </c>
      <c r="L3038" s="8" t="s">
        <v>16386</v>
      </c>
      <c r="M3038" s="8" t="s">
        <v>27</v>
      </c>
      <c r="N3038" s="2" t="s">
        <v>16387</v>
      </c>
      <c r="O3038" s="8" t="s">
        <v>550</v>
      </c>
      <c r="P3038" s="8" t="s">
        <v>401</v>
      </c>
      <c r="Q3038" s="12" t="s">
        <v>16388</v>
      </c>
      <c r="R3038" s="8" t="s">
        <v>100</v>
      </c>
      <c r="S3038" s="7" t="s">
        <v>28</v>
      </c>
      <c r="T3038" s="6"/>
      <c r="U3038" s="8"/>
      <c r="V3038" s="8"/>
      <c r="W3038" s="8"/>
      <c r="X3038" s="8"/>
    </row>
    <row r="3039" spans="1:39" ht="13" customHeight="1">
      <c r="A3039" s="8" t="s">
        <v>16389</v>
      </c>
      <c r="B3039" s="16" t="s">
        <v>8771</v>
      </c>
      <c r="C3039" s="8" t="s">
        <v>20</v>
      </c>
      <c r="D3039" s="8" t="s">
        <v>37</v>
      </c>
      <c r="E3039" s="8" t="s">
        <v>16390</v>
      </c>
      <c r="F3039" s="17">
        <v>41432</v>
      </c>
      <c r="G3039" s="8" t="s">
        <v>16391</v>
      </c>
      <c r="H3039" s="8" t="s">
        <v>16392</v>
      </c>
      <c r="I3039" s="8" t="s">
        <v>173</v>
      </c>
      <c r="J3039" s="16" t="s">
        <v>16393</v>
      </c>
      <c r="K3039" s="2" t="s">
        <v>3324</v>
      </c>
      <c r="L3039" s="8" t="s">
        <v>3325</v>
      </c>
      <c r="M3039" s="8" t="s">
        <v>27</v>
      </c>
      <c r="N3039" s="2" t="s">
        <v>16394</v>
      </c>
      <c r="O3039" s="8" t="s">
        <v>29</v>
      </c>
      <c r="P3039" s="8" t="s">
        <v>401</v>
      </c>
      <c r="Q3039" s="12" t="s">
        <v>16395</v>
      </c>
      <c r="R3039" s="8" t="s">
        <v>555</v>
      </c>
      <c r="S3039" s="7" t="s">
        <v>28</v>
      </c>
      <c r="T3039" s="6"/>
      <c r="U3039" s="8"/>
    </row>
    <row r="3040" spans="1:39" ht="13" customHeight="1">
      <c r="A3040" s="8" t="s">
        <v>16396</v>
      </c>
      <c r="B3040" s="16">
        <v>39</v>
      </c>
      <c r="C3040" s="8" t="s">
        <v>20</v>
      </c>
      <c r="D3040" s="8" t="s">
        <v>37</v>
      </c>
      <c r="F3040" s="17">
        <v>41432</v>
      </c>
      <c r="G3040" s="8" t="s">
        <v>16397</v>
      </c>
      <c r="H3040" s="8" t="s">
        <v>16398</v>
      </c>
      <c r="I3040" s="8" t="s">
        <v>62</v>
      </c>
      <c r="J3040" s="16" t="s">
        <v>16399</v>
      </c>
      <c r="K3040" s="2" t="s">
        <v>16400</v>
      </c>
      <c r="L3040" s="8" t="s">
        <v>16401</v>
      </c>
      <c r="M3040" s="8" t="s">
        <v>27</v>
      </c>
      <c r="N3040" s="2" t="s">
        <v>16402</v>
      </c>
      <c r="O3040" s="8" t="s">
        <v>1013</v>
      </c>
      <c r="P3040" s="8" t="s">
        <v>401</v>
      </c>
      <c r="Q3040" s="12" t="s">
        <v>16403</v>
      </c>
      <c r="R3040" s="8" t="s">
        <v>100</v>
      </c>
      <c r="S3040" s="7" t="s">
        <v>28</v>
      </c>
      <c r="T3040" s="6"/>
      <c r="U3040" s="8"/>
    </row>
    <row r="3041" spans="1:24" ht="13" customHeight="1">
      <c r="A3041" s="8" t="s">
        <v>16404</v>
      </c>
      <c r="B3041" s="16" t="s">
        <v>9231</v>
      </c>
      <c r="C3041" s="8" t="s">
        <v>20</v>
      </c>
      <c r="D3041" s="8" t="s">
        <v>37</v>
      </c>
      <c r="F3041" s="17">
        <v>41432</v>
      </c>
      <c r="G3041" s="8" t="s">
        <v>16405</v>
      </c>
      <c r="H3041" s="8" t="s">
        <v>1615</v>
      </c>
      <c r="I3041" s="8" t="s">
        <v>269</v>
      </c>
      <c r="J3041" s="16" t="s">
        <v>16406</v>
      </c>
      <c r="K3041" s="2" t="s">
        <v>6283</v>
      </c>
      <c r="L3041" s="8" t="s">
        <v>16407</v>
      </c>
      <c r="M3041" s="8" t="s">
        <v>27</v>
      </c>
      <c r="N3041" s="2" t="s">
        <v>16408</v>
      </c>
      <c r="O3041" s="8" t="s">
        <v>550</v>
      </c>
      <c r="P3041" s="8" t="s">
        <v>401</v>
      </c>
      <c r="Q3041" s="12" t="s">
        <v>16409</v>
      </c>
      <c r="R3041" s="8" t="s">
        <v>100</v>
      </c>
      <c r="S3041" s="7" t="s">
        <v>28</v>
      </c>
      <c r="T3041" s="6"/>
      <c r="U3041" s="8"/>
    </row>
    <row r="3042" spans="1:24" ht="13" customHeight="1">
      <c r="A3042" s="8" t="s">
        <v>16416</v>
      </c>
      <c r="B3042" s="16">
        <v>27</v>
      </c>
      <c r="C3042" s="8" t="s">
        <v>20</v>
      </c>
      <c r="D3042" s="8" t="s">
        <v>37</v>
      </c>
      <c r="E3042" s="8" t="s">
        <v>16417</v>
      </c>
      <c r="F3042" s="17">
        <v>41431</v>
      </c>
      <c r="G3042" s="8" t="s">
        <v>16418</v>
      </c>
      <c r="H3042" s="8" t="s">
        <v>16419</v>
      </c>
      <c r="I3042" s="8" t="s">
        <v>73</v>
      </c>
      <c r="J3042" s="16" t="s">
        <v>16420</v>
      </c>
      <c r="K3042" s="2" t="s">
        <v>16421</v>
      </c>
      <c r="L3042" s="8" t="s">
        <v>16422</v>
      </c>
      <c r="M3042" s="8" t="s">
        <v>27</v>
      </c>
      <c r="N3042" s="2" t="s">
        <v>16423</v>
      </c>
      <c r="O3042" s="8" t="s">
        <v>550</v>
      </c>
      <c r="P3042" s="8" t="s">
        <v>401</v>
      </c>
      <c r="Q3042" s="12" t="s">
        <v>16424</v>
      </c>
      <c r="R3042" s="8" t="s">
        <v>100</v>
      </c>
      <c r="S3042" s="7" t="s">
        <v>28</v>
      </c>
      <c r="T3042" s="6"/>
      <c r="U3042" s="8"/>
    </row>
    <row r="3043" spans="1:24" ht="13" customHeight="1">
      <c r="A3043" s="8" t="s">
        <v>16410</v>
      </c>
      <c r="B3043" s="16">
        <v>67</v>
      </c>
      <c r="C3043" s="8" t="s">
        <v>20</v>
      </c>
      <c r="D3043" s="8" t="s">
        <v>37</v>
      </c>
      <c r="E3043" s="8" t="s">
        <v>16411</v>
      </c>
      <c r="F3043" s="17">
        <v>41431</v>
      </c>
      <c r="G3043" s="8" t="s">
        <v>16412</v>
      </c>
      <c r="H3043" s="8" t="s">
        <v>9489</v>
      </c>
      <c r="I3043" s="8" t="s">
        <v>366</v>
      </c>
      <c r="J3043" s="16" t="s">
        <v>9490</v>
      </c>
      <c r="K3043" s="2" t="s">
        <v>9491</v>
      </c>
      <c r="L3043" s="8" t="s">
        <v>16413</v>
      </c>
      <c r="M3043" s="8" t="s">
        <v>27</v>
      </c>
      <c r="N3043" s="2" t="s">
        <v>16414</v>
      </c>
      <c r="O3043" s="8" t="s">
        <v>1013</v>
      </c>
      <c r="P3043" s="8" t="s">
        <v>401</v>
      </c>
      <c r="Q3043" s="12" t="s">
        <v>16415</v>
      </c>
      <c r="R3043" s="8" t="s">
        <v>100</v>
      </c>
      <c r="S3043" s="7" t="s">
        <v>28</v>
      </c>
      <c r="T3043" s="6"/>
      <c r="U3043" s="8"/>
    </row>
    <row r="3044" spans="1:24" ht="13" customHeight="1">
      <c r="A3044" s="8" t="s">
        <v>16429</v>
      </c>
      <c r="B3044" s="16" t="s">
        <v>13573</v>
      </c>
      <c r="C3044" s="8" t="s">
        <v>114</v>
      </c>
      <c r="D3044" s="8" t="s">
        <v>85</v>
      </c>
      <c r="E3044" s="8" t="s">
        <v>16430</v>
      </c>
      <c r="F3044" s="17">
        <v>41430</v>
      </c>
      <c r="G3044" s="8" t="s">
        <v>16431</v>
      </c>
      <c r="H3044" s="8" t="s">
        <v>16425</v>
      </c>
      <c r="I3044" s="8" t="s">
        <v>423</v>
      </c>
      <c r="J3044" s="16" t="s">
        <v>16426</v>
      </c>
      <c r="K3044" s="2" t="s">
        <v>757</v>
      </c>
      <c r="L3044" s="8" t="s">
        <v>582</v>
      </c>
      <c r="M3044" s="8" t="s">
        <v>27</v>
      </c>
      <c r="N3044" s="2" t="s">
        <v>16427</v>
      </c>
      <c r="O3044" s="8" t="s">
        <v>1161</v>
      </c>
      <c r="P3044" s="8" t="s">
        <v>1162</v>
      </c>
      <c r="Q3044" s="12" t="s">
        <v>16428</v>
      </c>
      <c r="R3044" s="8" t="s">
        <v>100</v>
      </c>
      <c r="S3044" s="7" t="s">
        <v>28</v>
      </c>
      <c r="T3044" s="6"/>
      <c r="U3044" s="8"/>
    </row>
    <row r="3045" spans="1:24" ht="13" customHeight="1">
      <c r="A3045" s="8" t="s">
        <v>16436</v>
      </c>
      <c r="B3045" s="16">
        <v>36</v>
      </c>
      <c r="C3045" s="8" t="s">
        <v>20</v>
      </c>
      <c r="D3045" s="8" t="s">
        <v>30</v>
      </c>
      <c r="F3045" s="17">
        <v>41430</v>
      </c>
      <c r="G3045" s="8" t="s">
        <v>16437</v>
      </c>
      <c r="H3045" s="8" t="s">
        <v>16438</v>
      </c>
      <c r="I3045" s="8" t="s">
        <v>45</v>
      </c>
      <c r="J3045" s="16" t="s">
        <v>16439</v>
      </c>
      <c r="K3045" s="2" t="s">
        <v>156</v>
      </c>
      <c r="L3045" s="8" t="s">
        <v>2120</v>
      </c>
      <c r="M3045" s="8" t="s">
        <v>3169</v>
      </c>
      <c r="N3045" s="2" t="s">
        <v>16440</v>
      </c>
      <c r="O3045" s="8" t="s">
        <v>1013</v>
      </c>
      <c r="P3045" s="8" t="s">
        <v>401</v>
      </c>
      <c r="Q3045" s="12" t="s">
        <v>16441</v>
      </c>
      <c r="R3045" s="8" t="s">
        <v>100</v>
      </c>
      <c r="S3045" s="7" t="s">
        <v>28</v>
      </c>
      <c r="T3045" s="6"/>
      <c r="U3045" s="8"/>
    </row>
    <row r="3046" spans="1:24" ht="13" customHeight="1">
      <c r="A3046" s="8" t="s">
        <v>16432</v>
      </c>
      <c r="B3046" s="16" t="s">
        <v>16325</v>
      </c>
      <c r="C3046" s="8" t="s">
        <v>20</v>
      </c>
      <c r="D3046" s="8" t="s">
        <v>30</v>
      </c>
      <c r="F3046" s="17">
        <v>41430</v>
      </c>
      <c r="G3046" s="8" t="s">
        <v>16433</v>
      </c>
      <c r="H3046" s="8" t="s">
        <v>8472</v>
      </c>
      <c r="I3046" s="8" t="s">
        <v>52</v>
      </c>
      <c r="J3046" s="16" t="s">
        <v>8473</v>
      </c>
      <c r="K3046" s="2" t="s">
        <v>1596</v>
      </c>
      <c r="L3046" s="8" t="s">
        <v>231</v>
      </c>
      <c r="M3046" s="8" t="s">
        <v>27</v>
      </c>
      <c r="N3046" s="2" t="s">
        <v>16434</v>
      </c>
      <c r="O3046" s="8" t="s">
        <v>29</v>
      </c>
      <c r="P3046" s="8" t="s">
        <v>401</v>
      </c>
      <c r="Q3046" s="12" t="s">
        <v>16435</v>
      </c>
      <c r="R3046" s="8" t="s">
        <v>29</v>
      </c>
      <c r="S3046" s="7" t="s">
        <v>28</v>
      </c>
      <c r="T3046" s="6"/>
      <c r="U3046" s="8"/>
      <c r="V3046" s="8"/>
      <c r="W3046" s="8"/>
      <c r="X3046" s="8"/>
    </row>
    <row r="3047" spans="1:24" ht="13" customHeight="1">
      <c r="A3047" s="8" t="s">
        <v>16442</v>
      </c>
      <c r="B3047" s="16" t="s">
        <v>13755</v>
      </c>
      <c r="C3047" s="8" t="s">
        <v>20</v>
      </c>
      <c r="D3047" s="8" t="s">
        <v>37</v>
      </c>
      <c r="E3047" s="8" t="s">
        <v>16443</v>
      </c>
      <c r="F3047" s="17">
        <v>41430</v>
      </c>
      <c r="G3047" s="8" t="s">
        <v>16444</v>
      </c>
      <c r="H3047" s="8" t="s">
        <v>6304</v>
      </c>
      <c r="I3047" s="8" t="s">
        <v>73</v>
      </c>
      <c r="J3047" s="16" t="s">
        <v>16445</v>
      </c>
      <c r="K3047" s="2" t="s">
        <v>285</v>
      </c>
      <c r="L3047" s="8" t="s">
        <v>6306</v>
      </c>
      <c r="M3047" s="8" t="s">
        <v>27</v>
      </c>
      <c r="N3047" s="2" t="s">
        <v>16446</v>
      </c>
      <c r="O3047" s="8" t="s">
        <v>29</v>
      </c>
      <c r="P3047" s="8" t="s">
        <v>401</v>
      </c>
      <c r="Q3047" s="12" t="s">
        <v>16447</v>
      </c>
      <c r="R3047" s="8" t="s">
        <v>100</v>
      </c>
      <c r="S3047" s="7" t="s">
        <v>28</v>
      </c>
      <c r="T3047" s="6"/>
      <c r="U3047" s="8"/>
    </row>
    <row r="3048" spans="1:24" ht="13" customHeight="1">
      <c r="A3048" s="8" t="s">
        <v>16448</v>
      </c>
      <c r="B3048" s="16" t="s">
        <v>8771</v>
      </c>
      <c r="C3048" s="8" t="s">
        <v>20</v>
      </c>
      <c r="D3048" s="8" t="s">
        <v>37</v>
      </c>
      <c r="E3048" s="8" t="s">
        <v>16449</v>
      </c>
      <c r="F3048" s="17">
        <v>41430</v>
      </c>
      <c r="G3048" s="8" t="s">
        <v>16450</v>
      </c>
      <c r="H3048" s="8" t="s">
        <v>11955</v>
      </c>
      <c r="I3048" s="8" t="s">
        <v>45</v>
      </c>
      <c r="J3048" s="16" t="s">
        <v>16451</v>
      </c>
      <c r="K3048" s="2" t="s">
        <v>156</v>
      </c>
      <c r="L3048" s="8" t="s">
        <v>157</v>
      </c>
      <c r="M3048" s="8" t="s">
        <v>27</v>
      </c>
      <c r="N3048" s="2" t="s">
        <v>16452</v>
      </c>
      <c r="O3048" s="8" t="s">
        <v>29</v>
      </c>
      <c r="P3048" s="8" t="s">
        <v>401</v>
      </c>
      <c r="Q3048" s="12" t="s">
        <v>16453</v>
      </c>
      <c r="R3048" s="8" t="s">
        <v>100</v>
      </c>
      <c r="S3048" s="7" t="s">
        <v>28</v>
      </c>
      <c r="T3048" s="6"/>
      <c r="U3048" s="8"/>
    </row>
    <row r="3049" spans="1:24" ht="13" customHeight="1">
      <c r="A3049" s="8" t="s">
        <v>16454</v>
      </c>
      <c r="B3049" s="16" t="s">
        <v>16177</v>
      </c>
      <c r="C3049" s="8" t="s">
        <v>20</v>
      </c>
      <c r="D3049" s="8" t="s">
        <v>48</v>
      </c>
      <c r="F3049" s="17">
        <v>41429</v>
      </c>
      <c r="G3049" s="8" t="s">
        <v>16455</v>
      </c>
      <c r="H3049" s="8" t="s">
        <v>16456</v>
      </c>
      <c r="I3049" s="8" t="s">
        <v>45</v>
      </c>
      <c r="J3049" s="16" t="s">
        <v>16457</v>
      </c>
      <c r="K3049" s="2" t="s">
        <v>786</v>
      </c>
      <c r="L3049" s="8" t="s">
        <v>4807</v>
      </c>
      <c r="M3049" s="8" t="s">
        <v>27</v>
      </c>
      <c r="N3049" s="2" t="s">
        <v>16458</v>
      </c>
      <c r="O3049" s="8" t="s">
        <v>29</v>
      </c>
      <c r="P3049" s="8" t="s">
        <v>401</v>
      </c>
      <c r="Q3049" s="12" t="s">
        <v>16459</v>
      </c>
      <c r="R3049" s="8" t="s">
        <v>100</v>
      </c>
      <c r="S3049" s="7" t="s">
        <v>28</v>
      </c>
      <c r="T3049" s="6"/>
      <c r="U3049" s="8"/>
    </row>
    <row r="3050" spans="1:24" ht="13" customHeight="1">
      <c r="A3050" s="8" t="s">
        <v>16460</v>
      </c>
      <c r="B3050" s="16" t="s">
        <v>13755</v>
      </c>
      <c r="C3050" s="8" t="s">
        <v>20</v>
      </c>
      <c r="D3050" s="8" t="s">
        <v>30</v>
      </c>
      <c r="F3050" s="17">
        <v>41429</v>
      </c>
      <c r="G3050" s="8" t="s">
        <v>16461</v>
      </c>
      <c r="H3050" s="8" t="s">
        <v>1195</v>
      </c>
      <c r="I3050" s="8" t="s">
        <v>319</v>
      </c>
      <c r="J3050" s="16">
        <v>38120</v>
      </c>
      <c r="K3050" s="2" t="s">
        <v>1196</v>
      </c>
      <c r="L3050" s="8" t="s">
        <v>1197</v>
      </c>
      <c r="M3050" s="8" t="s">
        <v>27</v>
      </c>
      <c r="N3050" s="2" t="s">
        <v>16462</v>
      </c>
      <c r="O3050" s="8" t="s">
        <v>29</v>
      </c>
      <c r="P3050" s="8" t="s">
        <v>401</v>
      </c>
      <c r="Q3050" s="12" t="s">
        <v>16463</v>
      </c>
      <c r="R3050" s="8" t="s">
        <v>100</v>
      </c>
      <c r="S3050" s="7" t="s">
        <v>28</v>
      </c>
      <c r="T3050" s="6"/>
      <c r="U3050" s="8"/>
    </row>
    <row r="3051" spans="1:24" ht="13" customHeight="1">
      <c r="A3051" s="8" t="s">
        <v>16472</v>
      </c>
      <c r="B3051" s="16" t="s">
        <v>9231</v>
      </c>
      <c r="C3051" s="8" t="s">
        <v>20</v>
      </c>
      <c r="D3051" s="8" t="s">
        <v>30</v>
      </c>
      <c r="F3051" s="17">
        <v>41429</v>
      </c>
      <c r="G3051" s="8" t="s">
        <v>16473</v>
      </c>
      <c r="H3051" s="8" t="s">
        <v>3440</v>
      </c>
      <c r="I3051" s="8" t="s">
        <v>45</v>
      </c>
      <c r="J3051" s="16" t="s">
        <v>10656</v>
      </c>
      <c r="K3051" s="2" t="s">
        <v>3442</v>
      </c>
      <c r="L3051" s="8" t="s">
        <v>3443</v>
      </c>
      <c r="M3051" s="8" t="s">
        <v>27</v>
      </c>
      <c r="N3051" s="2" t="s">
        <v>16474</v>
      </c>
      <c r="O3051" s="8" t="s">
        <v>29</v>
      </c>
      <c r="P3051" s="8" t="s">
        <v>401</v>
      </c>
      <c r="Q3051" s="12" t="s">
        <v>16475</v>
      </c>
      <c r="R3051" s="8" t="s">
        <v>100</v>
      </c>
      <c r="S3051" s="7" t="s">
        <v>28</v>
      </c>
      <c r="T3051" s="6"/>
      <c r="U3051" s="8"/>
    </row>
    <row r="3052" spans="1:24" ht="13" customHeight="1">
      <c r="A3052" s="8" t="s">
        <v>16464</v>
      </c>
      <c r="B3052" s="16">
        <v>51</v>
      </c>
      <c r="C3052" s="8" t="s">
        <v>114</v>
      </c>
      <c r="D3052" s="8" t="s">
        <v>30</v>
      </c>
      <c r="F3052" s="17">
        <v>41429</v>
      </c>
      <c r="G3052" s="8" t="s">
        <v>16465</v>
      </c>
      <c r="H3052" s="8" t="s">
        <v>16466</v>
      </c>
      <c r="I3052" s="8" t="s">
        <v>45</v>
      </c>
      <c r="J3052" s="16" t="s">
        <v>16467</v>
      </c>
      <c r="K3052" s="2" t="s">
        <v>16468</v>
      </c>
      <c r="L3052" s="8" t="s">
        <v>16469</v>
      </c>
      <c r="M3052" s="8" t="s">
        <v>27</v>
      </c>
      <c r="N3052" s="2" t="s">
        <v>16470</v>
      </c>
      <c r="O3052" s="8" t="s">
        <v>29</v>
      </c>
      <c r="P3052" s="8" t="s">
        <v>401</v>
      </c>
      <c r="Q3052" s="12" t="s">
        <v>16471</v>
      </c>
      <c r="R3052" s="8" t="s">
        <v>100</v>
      </c>
      <c r="S3052" s="7" t="s">
        <v>28</v>
      </c>
      <c r="T3052" s="6"/>
      <c r="U3052" s="8"/>
    </row>
    <row r="3053" spans="1:24" ht="13" customHeight="1">
      <c r="A3053" s="8" t="s">
        <v>16476</v>
      </c>
      <c r="B3053" s="16" t="s">
        <v>16477</v>
      </c>
      <c r="C3053" s="8" t="s">
        <v>20</v>
      </c>
      <c r="D3053" s="8" t="s">
        <v>37</v>
      </c>
      <c r="E3053" s="8" t="s">
        <v>16478</v>
      </c>
      <c r="F3053" s="17">
        <v>41429</v>
      </c>
      <c r="G3053" s="8" t="s">
        <v>16479</v>
      </c>
      <c r="H3053" s="8" t="s">
        <v>430</v>
      </c>
      <c r="I3053" s="8" t="s">
        <v>431</v>
      </c>
      <c r="J3053" s="16" t="s">
        <v>16480</v>
      </c>
      <c r="K3053" s="2" t="s">
        <v>433</v>
      </c>
      <c r="L3053" s="8" t="s">
        <v>434</v>
      </c>
      <c r="M3053" s="8" t="s">
        <v>27</v>
      </c>
      <c r="N3053" s="2" t="s">
        <v>16481</v>
      </c>
      <c r="O3053" s="8" t="s">
        <v>29</v>
      </c>
      <c r="P3053" s="8" t="s">
        <v>401</v>
      </c>
      <c r="Q3053" s="12" t="s">
        <v>16482</v>
      </c>
      <c r="R3053" s="8" t="s">
        <v>100</v>
      </c>
      <c r="S3053" s="7" t="s">
        <v>28</v>
      </c>
      <c r="T3053" s="6"/>
      <c r="U3053" s="8"/>
    </row>
    <row r="3054" spans="1:24" ht="13" customHeight="1">
      <c r="A3054" s="8" t="s">
        <v>16483</v>
      </c>
      <c r="B3054" s="16" t="s">
        <v>16177</v>
      </c>
      <c r="C3054" s="8" t="s">
        <v>20</v>
      </c>
      <c r="D3054" s="8" t="s">
        <v>48</v>
      </c>
      <c r="F3054" s="17">
        <v>41428</v>
      </c>
      <c r="G3054" s="8" t="s">
        <v>16484</v>
      </c>
      <c r="H3054" s="8" t="s">
        <v>16485</v>
      </c>
      <c r="I3054" s="8" t="s">
        <v>45</v>
      </c>
      <c r="J3054" s="16" t="s">
        <v>16486</v>
      </c>
      <c r="K3054" s="2" t="s">
        <v>200</v>
      </c>
      <c r="L3054" s="8" t="s">
        <v>16487</v>
      </c>
      <c r="M3054" s="8" t="s">
        <v>27</v>
      </c>
      <c r="N3054" s="2" t="s">
        <v>16488</v>
      </c>
      <c r="O3054" s="8" t="s">
        <v>29</v>
      </c>
      <c r="P3054" s="8" t="s">
        <v>401</v>
      </c>
      <c r="Q3054" s="12" t="s">
        <v>16489</v>
      </c>
      <c r="R3054" s="8" t="s">
        <v>100</v>
      </c>
      <c r="S3054" s="7" t="s">
        <v>28</v>
      </c>
      <c r="T3054" s="6"/>
      <c r="U3054" s="8"/>
    </row>
    <row r="3055" spans="1:24" ht="13" customHeight="1">
      <c r="A3055" s="8" t="s">
        <v>16490</v>
      </c>
      <c r="B3055" s="16">
        <v>35</v>
      </c>
      <c r="C3055" s="8" t="s">
        <v>20</v>
      </c>
      <c r="D3055" s="8" t="s">
        <v>37</v>
      </c>
      <c r="E3055" s="8" t="s">
        <v>16491</v>
      </c>
      <c r="F3055" s="17">
        <v>41428</v>
      </c>
      <c r="G3055" s="8" t="s">
        <v>16492</v>
      </c>
      <c r="H3055" s="8" t="s">
        <v>16493</v>
      </c>
      <c r="I3055" s="8" t="s">
        <v>873</v>
      </c>
      <c r="J3055" s="16" t="s">
        <v>16494</v>
      </c>
      <c r="K3055" s="2" t="s">
        <v>2372</v>
      </c>
      <c r="L3055" s="8" t="s">
        <v>3603</v>
      </c>
      <c r="M3055" s="8" t="s">
        <v>12896</v>
      </c>
      <c r="N3055" s="2" t="s">
        <v>16495</v>
      </c>
      <c r="O3055" s="8" t="s">
        <v>1013</v>
      </c>
      <c r="P3055" s="8" t="s">
        <v>401</v>
      </c>
      <c r="Q3055" s="12" t="s">
        <v>16496</v>
      </c>
      <c r="R3055" s="8" t="s">
        <v>100</v>
      </c>
      <c r="S3055" s="7" t="s">
        <v>28</v>
      </c>
      <c r="T3055" s="6"/>
      <c r="U3055" s="8"/>
    </row>
    <row r="3056" spans="1:24" ht="13" customHeight="1">
      <c r="A3056" s="8" t="s">
        <v>16497</v>
      </c>
      <c r="B3056" s="16">
        <v>60</v>
      </c>
      <c r="C3056" s="8" t="s">
        <v>20</v>
      </c>
      <c r="D3056" s="8" t="s">
        <v>37</v>
      </c>
      <c r="E3056" s="8" t="s">
        <v>16498</v>
      </c>
      <c r="F3056" s="17">
        <v>41428</v>
      </c>
      <c r="G3056" s="8" t="s">
        <v>16499</v>
      </c>
      <c r="H3056" s="8" t="s">
        <v>16500</v>
      </c>
      <c r="I3056" s="8" t="s">
        <v>209</v>
      </c>
      <c r="J3056" s="16" t="s">
        <v>16501</v>
      </c>
      <c r="K3056" s="2" t="s">
        <v>553</v>
      </c>
      <c r="L3056" s="8" t="s">
        <v>16502</v>
      </c>
      <c r="M3056" s="8" t="s">
        <v>27</v>
      </c>
      <c r="N3056" s="2" t="s">
        <v>16503</v>
      </c>
      <c r="O3056" s="8" t="s">
        <v>550</v>
      </c>
      <c r="P3056" s="8" t="s">
        <v>401</v>
      </c>
      <c r="Q3056" s="12" t="s">
        <v>16504</v>
      </c>
      <c r="R3056" s="8" t="s">
        <v>967</v>
      </c>
      <c r="S3056" s="7" t="s">
        <v>28</v>
      </c>
      <c r="T3056" s="6"/>
      <c r="U3056" s="8"/>
    </row>
    <row r="3057" spans="1:39" ht="13" customHeight="1">
      <c r="A3057" s="8" t="s">
        <v>16510</v>
      </c>
      <c r="B3057" s="16" t="s">
        <v>9418</v>
      </c>
      <c r="C3057" s="8" t="s">
        <v>114</v>
      </c>
      <c r="D3057" s="8" t="s">
        <v>85</v>
      </c>
      <c r="F3057" s="17">
        <v>41427</v>
      </c>
      <c r="G3057" s="8" t="s">
        <v>16507</v>
      </c>
      <c r="H3057" s="8" t="s">
        <v>12771</v>
      </c>
      <c r="I3057" s="8" t="s">
        <v>94</v>
      </c>
      <c r="J3057" s="16" t="s">
        <v>12772</v>
      </c>
      <c r="K3057" s="2" t="s">
        <v>285</v>
      </c>
      <c r="L3057" s="8" t="s">
        <v>12773</v>
      </c>
      <c r="M3057" s="8" t="s">
        <v>27</v>
      </c>
      <c r="N3057" s="2" t="s">
        <v>16511</v>
      </c>
      <c r="O3057" s="8" t="s">
        <v>1161</v>
      </c>
      <c r="P3057" s="8" t="s">
        <v>1162</v>
      </c>
      <c r="Q3057" s="12" t="s">
        <v>16512</v>
      </c>
      <c r="R3057" s="8" t="s">
        <v>29</v>
      </c>
      <c r="S3057" s="7" t="s">
        <v>28</v>
      </c>
      <c r="T3057" s="6"/>
      <c r="U3057" s="8"/>
    </row>
    <row r="3058" spans="1:39" ht="13" customHeight="1">
      <c r="A3058" s="8" t="s">
        <v>16513</v>
      </c>
      <c r="B3058" s="16" t="s">
        <v>16096</v>
      </c>
      <c r="C3058" s="8" t="s">
        <v>20</v>
      </c>
      <c r="D3058" s="8" t="s">
        <v>85</v>
      </c>
      <c r="F3058" s="17">
        <v>41427</v>
      </c>
      <c r="G3058" s="8" t="s">
        <v>16514</v>
      </c>
      <c r="H3058" s="8" t="s">
        <v>12771</v>
      </c>
      <c r="I3058" s="8" t="s">
        <v>94</v>
      </c>
      <c r="J3058" s="16" t="s">
        <v>12772</v>
      </c>
      <c r="K3058" s="2" t="s">
        <v>285</v>
      </c>
      <c r="L3058" s="8" t="s">
        <v>12773</v>
      </c>
      <c r="M3058" s="8" t="s">
        <v>27</v>
      </c>
      <c r="N3058" s="2" t="s">
        <v>16515</v>
      </c>
      <c r="O3058" s="8" t="s">
        <v>1161</v>
      </c>
      <c r="P3058" s="8" t="s">
        <v>1162</v>
      </c>
      <c r="Q3058" s="12" t="str">
        <f>HYPERLINK("http://www.wsfa.com/story/22481859/selma-police-stunned-that-off-duty-officer-killed-two-then-self-over-the-weekend","http://www.wsfa.com/story/22481859/selma-police-stunned-that-off-duty-officer-killed-two-then-self-over-the-weekend")</f>
        <v>http://www.wsfa.com/story/22481859/selma-police-stunned-that-off-duty-officer-killed-two-then-self-over-the-weekend</v>
      </c>
      <c r="R3058" s="8" t="s">
        <v>100</v>
      </c>
      <c r="S3058" s="7" t="s">
        <v>28</v>
      </c>
      <c r="T3058" s="6"/>
      <c r="U3058" s="8"/>
    </row>
    <row r="3059" spans="1:39" ht="13" customHeight="1">
      <c r="A3059" s="8" t="s">
        <v>16505</v>
      </c>
      <c r="B3059" s="16" t="s">
        <v>9418</v>
      </c>
      <c r="C3059" s="8" t="s">
        <v>20</v>
      </c>
      <c r="D3059" s="8" t="s">
        <v>85</v>
      </c>
      <c r="E3059" s="8" t="s">
        <v>16506</v>
      </c>
      <c r="F3059" s="17">
        <v>41427</v>
      </c>
      <c r="G3059" s="8" t="s">
        <v>16507</v>
      </c>
      <c r="H3059" s="8" t="s">
        <v>12771</v>
      </c>
      <c r="I3059" s="8" t="s">
        <v>94</v>
      </c>
      <c r="J3059" s="16" t="s">
        <v>12772</v>
      </c>
      <c r="K3059" s="2" t="s">
        <v>285</v>
      </c>
      <c r="L3059" s="8" t="s">
        <v>12773</v>
      </c>
      <c r="M3059" s="8" t="s">
        <v>27</v>
      </c>
      <c r="N3059" s="2" t="s">
        <v>16508</v>
      </c>
      <c r="O3059" s="8" t="s">
        <v>615</v>
      </c>
      <c r="P3059" s="8" t="s">
        <v>401</v>
      </c>
      <c r="Q3059" s="12" t="s">
        <v>16509</v>
      </c>
      <c r="R3059" s="8" t="s">
        <v>29</v>
      </c>
      <c r="S3059" s="7" t="s">
        <v>28</v>
      </c>
      <c r="T3059" s="6"/>
      <c r="U3059" s="8"/>
    </row>
    <row r="3060" spans="1:39" ht="13" customHeight="1">
      <c r="A3060" s="8" t="s">
        <v>16516</v>
      </c>
      <c r="B3060" s="16" t="s">
        <v>15831</v>
      </c>
      <c r="C3060" s="8" t="s">
        <v>20</v>
      </c>
      <c r="D3060" s="8" t="s">
        <v>85</v>
      </c>
      <c r="E3060" s="8" t="s">
        <v>16517</v>
      </c>
      <c r="F3060" s="17">
        <v>41427</v>
      </c>
      <c r="G3060" s="8" t="s">
        <v>16518</v>
      </c>
      <c r="H3060" s="8" t="s">
        <v>16519</v>
      </c>
      <c r="I3060" s="8" t="s">
        <v>217</v>
      </c>
      <c r="J3060" s="16" t="s">
        <v>16520</v>
      </c>
      <c r="K3060" s="2" t="s">
        <v>11206</v>
      </c>
      <c r="L3060" s="8" t="s">
        <v>16521</v>
      </c>
      <c r="M3060" s="8" t="s">
        <v>27</v>
      </c>
      <c r="N3060" s="2" t="s">
        <v>16522</v>
      </c>
      <c r="O3060" s="8" t="s">
        <v>550</v>
      </c>
      <c r="P3060" s="8" t="s">
        <v>401</v>
      </c>
      <c r="Q3060" s="12" t="s">
        <v>16523</v>
      </c>
      <c r="R3060" s="8" t="s">
        <v>29</v>
      </c>
      <c r="S3060" s="7" t="s">
        <v>28</v>
      </c>
      <c r="T3060" s="6"/>
      <c r="U3060" s="8"/>
    </row>
    <row r="3061" spans="1:39" ht="13" customHeight="1">
      <c r="A3061" s="8" t="s">
        <v>16529</v>
      </c>
      <c r="B3061" s="16" t="s">
        <v>13982</v>
      </c>
      <c r="C3061" s="8" t="s">
        <v>20</v>
      </c>
      <c r="D3061" s="8" t="s">
        <v>48</v>
      </c>
      <c r="F3061" s="17">
        <v>41427</v>
      </c>
      <c r="G3061" s="8" t="s">
        <v>16530</v>
      </c>
      <c r="H3061" s="8" t="s">
        <v>16531</v>
      </c>
      <c r="I3061" s="8" t="s">
        <v>45</v>
      </c>
      <c r="J3061" s="16" t="s">
        <v>16532</v>
      </c>
      <c r="K3061" s="2" t="s">
        <v>98</v>
      </c>
      <c r="L3061" s="8" t="s">
        <v>16533</v>
      </c>
      <c r="M3061" s="8" t="s">
        <v>27</v>
      </c>
      <c r="N3061" s="2" t="s">
        <v>16534</v>
      </c>
      <c r="O3061" s="8" t="s">
        <v>29</v>
      </c>
      <c r="P3061" s="8" t="s">
        <v>401</v>
      </c>
      <c r="Q3061" s="12" t="s">
        <v>16535</v>
      </c>
      <c r="R3061" s="8" t="s">
        <v>100</v>
      </c>
      <c r="S3061" s="7" t="s">
        <v>28</v>
      </c>
      <c r="T3061" s="6"/>
      <c r="U3061" s="8"/>
    </row>
    <row r="3062" spans="1:39" ht="13" customHeight="1">
      <c r="A3062" s="8" t="s">
        <v>16524</v>
      </c>
      <c r="B3062" s="16" t="s">
        <v>11124</v>
      </c>
      <c r="C3062" s="8" t="s">
        <v>20</v>
      </c>
      <c r="D3062" s="8" t="s">
        <v>48</v>
      </c>
      <c r="E3062" s="8" t="s">
        <v>16525</v>
      </c>
      <c r="F3062" s="17">
        <v>41427</v>
      </c>
      <c r="G3062" s="8" t="s">
        <v>16526</v>
      </c>
      <c r="H3062" s="8" t="s">
        <v>825</v>
      </c>
      <c r="I3062" s="8" t="s">
        <v>46</v>
      </c>
      <c r="J3062" s="16" t="s">
        <v>12729</v>
      </c>
      <c r="K3062" s="2" t="s">
        <v>1703</v>
      </c>
      <c r="L3062" s="8" t="s">
        <v>3245</v>
      </c>
      <c r="M3062" s="8" t="s">
        <v>27</v>
      </c>
      <c r="N3062" s="2" t="s">
        <v>16527</v>
      </c>
      <c r="O3062" s="8" t="s">
        <v>29</v>
      </c>
      <c r="P3062" s="8" t="s">
        <v>401</v>
      </c>
      <c r="Q3062" s="12" t="s">
        <v>16528</v>
      </c>
      <c r="R3062" s="8" t="s">
        <v>29</v>
      </c>
      <c r="S3062" s="7" t="s">
        <v>28</v>
      </c>
      <c r="T3062" s="6"/>
      <c r="U3062" s="8"/>
    </row>
    <row r="3063" spans="1:39" ht="13" customHeight="1">
      <c r="A3063" s="8" t="s">
        <v>16536</v>
      </c>
      <c r="B3063" s="16">
        <v>55</v>
      </c>
      <c r="C3063" s="8" t="s">
        <v>20</v>
      </c>
      <c r="D3063" s="8" t="s">
        <v>30</v>
      </c>
      <c r="F3063" s="17">
        <v>41427</v>
      </c>
      <c r="G3063" s="8" t="s">
        <v>16537</v>
      </c>
      <c r="H3063" s="8" t="s">
        <v>7180</v>
      </c>
      <c r="I3063" s="8" t="s">
        <v>209</v>
      </c>
      <c r="J3063" s="16" t="s">
        <v>16538</v>
      </c>
      <c r="K3063" s="2" t="s">
        <v>1781</v>
      </c>
      <c r="L3063" s="8" t="s">
        <v>7302</v>
      </c>
      <c r="M3063" s="8" t="s">
        <v>391</v>
      </c>
      <c r="N3063" s="2" t="s">
        <v>16539</v>
      </c>
      <c r="O3063" s="8" t="s">
        <v>1013</v>
      </c>
      <c r="P3063" s="8" t="s">
        <v>401</v>
      </c>
      <c r="Q3063" s="12" t="s">
        <v>16540</v>
      </c>
      <c r="R3063" s="8" t="s">
        <v>555</v>
      </c>
      <c r="S3063" s="7" t="s">
        <v>28</v>
      </c>
      <c r="T3063" s="6"/>
      <c r="U3063" s="8"/>
    </row>
    <row r="3064" spans="1:39" ht="13" customHeight="1">
      <c r="A3064" s="8" t="s">
        <v>16541</v>
      </c>
      <c r="B3064" s="16">
        <v>21</v>
      </c>
      <c r="C3064" s="8" t="s">
        <v>20</v>
      </c>
      <c r="D3064" s="8" t="s">
        <v>48</v>
      </c>
      <c r="F3064" s="17">
        <v>41426</v>
      </c>
      <c r="G3064" s="8" t="s">
        <v>16542</v>
      </c>
      <c r="H3064" s="8" t="s">
        <v>16543</v>
      </c>
      <c r="I3064" s="8" t="s">
        <v>73</v>
      </c>
      <c r="J3064" s="16" t="s">
        <v>16544</v>
      </c>
      <c r="K3064" s="2" t="s">
        <v>12650</v>
      </c>
      <c r="L3064" s="8" t="s">
        <v>16545</v>
      </c>
      <c r="M3064" s="8" t="s">
        <v>27</v>
      </c>
      <c r="N3064" s="2" t="s">
        <v>16546</v>
      </c>
      <c r="O3064" s="8" t="s">
        <v>615</v>
      </c>
      <c r="P3064" s="8" t="s">
        <v>401</v>
      </c>
      <c r="Q3064" s="12" t="s">
        <v>16547</v>
      </c>
      <c r="R3064" s="8" t="s">
        <v>29</v>
      </c>
      <c r="S3064" s="7" t="s">
        <v>28</v>
      </c>
      <c r="T3064" s="6"/>
      <c r="U3064" s="8"/>
    </row>
    <row r="3065" spans="1:39" ht="13" customHeight="1">
      <c r="A3065" s="8" t="s">
        <v>16548</v>
      </c>
      <c r="B3065" s="16" t="s">
        <v>8817</v>
      </c>
      <c r="C3065" s="8" t="s">
        <v>20</v>
      </c>
      <c r="D3065" s="8" t="s">
        <v>30</v>
      </c>
      <c r="F3065" s="17">
        <v>41426</v>
      </c>
      <c r="G3065" s="8" t="s">
        <v>16549</v>
      </c>
      <c r="H3065" s="8" t="s">
        <v>634</v>
      </c>
      <c r="I3065" s="8" t="s">
        <v>123</v>
      </c>
      <c r="J3065" s="16" t="s">
        <v>16550</v>
      </c>
      <c r="K3065" s="2" t="s">
        <v>635</v>
      </c>
      <c r="L3065" s="8" t="s">
        <v>636</v>
      </c>
      <c r="M3065" s="8" t="s">
        <v>27</v>
      </c>
      <c r="N3065" s="2" t="s">
        <v>16551</v>
      </c>
      <c r="O3065" s="8" t="s">
        <v>29</v>
      </c>
      <c r="P3065" s="8" t="s">
        <v>401</v>
      </c>
      <c r="Q3065" s="12" t="s">
        <v>16552</v>
      </c>
      <c r="R3065" s="8" t="s">
        <v>100</v>
      </c>
      <c r="S3065" s="7" t="s">
        <v>28</v>
      </c>
      <c r="T3065" s="6"/>
      <c r="U3065" s="8"/>
    </row>
    <row r="3066" spans="1:39" ht="13" customHeight="1">
      <c r="A3066" s="8" t="s">
        <v>16553</v>
      </c>
      <c r="B3066" s="16" t="s">
        <v>16025</v>
      </c>
      <c r="C3066" s="8" t="s">
        <v>20</v>
      </c>
      <c r="D3066" s="8" t="s">
        <v>37</v>
      </c>
      <c r="E3066" s="8" t="s">
        <v>16554</v>
      </c>
      <c r="F3066" s="17">
        <v>41426</v>
      </c>
      <c r="G3066" s="8" t="s">
        <v>16555</v>
      </c>
      <c r="H3066" s="8" t="s">
        <v>156</v>
      </c>
      <c r="I3066" s="8" t="s">
        <v>45</v>
      </c>
      <c r="J3066" s="16" t="s">
        <v>16556</v>
      </c>
      <c r="K3066" s="2" t="s">
        <v>156</v>
      </c>
      <c r="L3066" s="8" t="s">
        <v>157</v>
      </c>
      <c r="M3066" s="8" t="s">
        <v>27</v>
      </c>
      <c r="N3066" s="2" t="s">
        <v>16557</v>
      </c>
      <c r="O3066" s="8" t="s">
        <v>29</v>
      </c>
      <c r="P3066" s="8" t="s">
        <v>401</v>
      </c>
      <c r="Q3066" s="12" t="s">
        <v>16558</v>
      </c>
      <c r="R3066" s="8" t="s">
        <v>100</v>
      </c>
      <c r="S3066" s="7" t="s">
        <v>28</v>
      </c>
      <c r="T3066" s="6"/>
      <c r="U3066" s="8"/>
    </row>
    <row r="3067" spans="1:39" ht="13" customHeight="1">
      <c r="A3067" s="8" t="s">
        <v>16559</v>
      </c>
      <c r="B3067" s="16" t="s">
        <v>16123</v>
      </c>
      <c r="C3067" s="8" t="s">
        <v>20</v>
      </c>
      <c r="D3067" s="8" t="s">
        <v>37</v>
      </c>
      <c r="E3067" s="8" t="s">
        <v>16560</v>
      </c>
      <c r="F3067" s="17">
        <v>41426</v>
      </c>
      <c r="G3067" s="8" t="s">
        <v>16561</v>
      </c>
      <c r="H3067" s="8" t="s">
        <v>841</v>
      </c>
      <c r="I3067" s="8" t="s">
        <v>303</v>
      </c>
      <c r="J3067" s="16" t="s">
        <v>11696</v>
      </c>
      <c r="K3067" s="2" t="s">
        <v>841</v>
      </c>
      <c r="L3067" s="8" t="s">
        <v>16562</v>
      </c>
      <c r="M3067" s="8" t="s">
        <v>27</v>
      </c>
      <c r="N3067" s="2" t="s">
        <v>16563</v>
      </c>
      <c r="O3067" s="8" t="s">
        <v>550</v>
      </c>
      <c r="P3067" s="8" t="s">
        <v>401</v>
      </c>
      <c r="Q3067" s="12" t="s">
        <v>16564</v>
      </c>
      <c r="R3067" s="8" t="s">
        <v>967</v>
      </c>
      <c r="S3067" s="7" t="s">
        <v>28</v>
      </c>
      <c r="T3067" s="6"/>
      <c r="U3067" s="8"/>
    </row>
    <row r="3068" spans="1:39" ht="13" customHeight="1">
      <c r="A3068" s="8" t="s">
        <v>16565</v>
      </c>
      <c r="B3068" s="16">
        <v>18</v>
      </c>
      <c r="C3068" s="8" t="s">
        <v>20</v>
      </c>
      <c r="D3068" s="8" t="s">
        <v>85</v>
      </c>
      <c r="F3068" s="17">
        <v>41425</v>
      </c>
      <c r="G3068" s="8" t="s">
        <v>16566</v>
      </c>
      <c r="H3068" s="8" t="s">
        <v>6085</v>
      </c>
      <c r="I3068" s="8" t="s">
        <v>366</v>
      </c>
      <c r="J3068" s="16" t="s">
        <v>16567</v>
      </c>
      <c r="K3068" s="2" t="s">
        <v>16568</v>
      </c>
      <c r="L3068" s="8" t="s">
        <v>16569</v>
      </c>
      <c r="M3068" s="8" t="s">
        <v>379</v>
      </c>
      <c r="N3068" s="2" t="s">
        <v>16570</v>
      </c>
      <c r="O3068" s="8" t="s">
        <v>1013</v>
      </c>
      <c r="P3068" s="8" t="s">
        <v>401</v>
      </c>
      <c r="Q3068" s="12" t="s">
        <v>16571</v>
      </c>
      <c r="R3068" s="8" t="s">
        <v>100</v>
      </c>
      <c r="S3068" s="7" t="s">
        <v>28</v>
      </c>
      <c r="T3068" s="6"/>
      <c r="U3068" s="8"/>
    </row>
    <row r="3069" spans="1:39" ht="13" customHeight="1">
      <c r="A3069" s="8" t="s">
        <v>16572</v>
      </c>
      <c r="B3069" s="16">
        <v>54</v>
      </c>
      <c r="C3069" s="8" t="s">
        <v>20</v>
      </c>
      <c r="D3069" s="8" t="s">
        <v>37</v>
      </c>
      <c r="E3069" s="8" t="s">
        <v>16573</v>
      </c>
      <c r="F3069" s="17">
        <v>41425</v>
      </c>
      <c r="G3069" s="8" t="s">
        <v>16574</v>
      </c>
      <c r="H3069" s="8" t="s">
        <v>16575</v>
      </c>
      <c r="I3069" s="8" t="s">
        <v>366</v>
      </c>
      <c r="J3069" s="16" t="s">
        <v>16576</v>
      </c>
      <c r="K3069" s="2" t="s">
        <v>13314</v>
      </c>
      <c r="L3069" s="8" t="s">
        <v>16577</v>
      </c>
      <c r="M3069" s="8" t="s">
        <v>27</v>
      </c>
      <c r="N3069" s="2" t="s">
        <v>16578</v>
      </c>
      <c r="O3069" s="8" t="s">
        <v>550</v>
      </c>
      <c r="P3069" s="8" t="s">
        <v>401</v>
      </c>
      <c r="Q3069" s="12" t="s">
        <v>16579</v>
      </c>
      <c r="R3069" s="8" t="s">
        <v>555</v>
      </c>
      <c r="S3069" s="7" t="s">
        <v>28</v>
      </c>
      <c r="T3069" s="6"/>
      <c r="U3069" s="8"/>
    </row>
    <row r="3070" spans="1:39" ht="13" customHeight="1">
      <c r="A3070" s="8" t="s">
        <v>16580</v>
      </c>
      <c r="B3070" s="16" t="s">
        <v>11124</v>
      </c>
      <c r="C3070" s="8" t="s">
        <v>114</v>
      </c>
      <c r="D3070" s="8" t="s">
        <v>21</v>
      </c>
      <c r="E3070" s="8" t="s">
        <v>16581</v>
      </c>
      <c r="F3070" s="17">
        <v>41424</v>
      </c>
      <c r="G3070" s="8" t="s">
        <v>16582</v>
      </c>
      <c r="H3070" s="8" t="s">
        <v>16583</v>
      </c>
      <c r="I3070" s="8" t="s">
        <v>244</v>
      </c>
      <c r="J3070" s="16" t="s">
        <v>16584</v>
      </c>
      <c r="K3070" s="2" t="s">
        <v>9685</v>
      </c>
      <c r="L3070" s="8" t="s">
        <v>16585</v>
      </c>
      <c r="M3070" s="8" t="s">
        <v>27</v>
      </c>
      <c r="N3070" s="2" t="s">
        <v>16586</v>
      </c>
      <c r="O3070" s="8" t="s">
        <v>550</v>
      </c>
      <c r="P3070" s="8" t="s">
        <v>401</v>
      </c>
      <c r="Q3070" s="12" t="s">
        <v>16587</v>
      </c>
      <c r="R3070" s="8" t="s">
        <v>555</v>
      </c>
      <c r="S3070" s="7" t="s">
        <v>28</v>
      </c>
      <c r="T3070" s="6"/>
      <c r="U3070" s="8"/>
      <c r="AI3070" s="8"/>
      <c r="AJ3070" s="8"/>
      <c r="AK3070" s="8"/>
      <c r="AL3070" s="8"/>
      <c r="AM3070" s="8"/>
    </row>
    <row r="3071" spans="1:39" ht="13" customHeight="1">
      <c r="A3071" s="8" t="s">
        <v>16588</v>
      </c>
      <c r="B3071" s="16" t="s">
        <v>8817</v>
      </c>
      <c r="C3071" s="8" t="s">
        <v>20</v>
      </c>
      <c r="D3071" s="8" t="s">
        <v>48</v>
      </c>
      <c r="F3071" s="17">
        <v>41424</v>
      </c>
      <c r="G3071" s="8" t="s">
        <v>16589</v>
      </c>
      <c r="H3071" s="8" t="s">
        <v>3712</v>
      </c>
      <c r="I3071" s="8" t="s">
        <v>45</v>
      </c>
      <c r="J3071" s="16" t="s">
        <v>16590</v>
      </c>
      <c r="K3071" s="2" t="s">
        <v>1064</v>
      </c>
      <c r="L3071" s="8" t="s">
        <v>3714</v>
      </c>
      <c r="M3071" s="8" t="s">
        <v>27</v>
      </c>
      <c r="N3071" s="2" t="s">
        <v>16591</v>
      </c>
      <c r="O3071" s="8" t="s">
        <v>29</v>
      </c>
      <c r="P3071" s="8" t="s">
        <v>401</v>
      </c>
      <c r="Q3071" s="12" t="s">
        <v>16592</v>
      </c>
      <c r="R3071" s="8" t="s">
        <v>100</v>
      </c>
      <c r="S3071" s="7" t="s">
        <v>28</v>
      </c>
      <c r="T3071" s="6"/>
      <c r="U3071" s="8"/>
    </row>
    <row r="3072" spans="1:39" ht="13" customHeight="1">
      <c r="A3072" s="8" t="s">
        <v>16593</v>
      </c>
      <c r="B3072" s="16">
        <v>24</v>
      </c>
      <c r="C3072" s="8" t="s">
        <v>20</v>
      </c>
      <c r="D3072" s="8" t="s">
        <v>48</v>
      </c>
      <c r="E3072" s="8" t="s">
        <v>16594</v>
      </c>
      <c r="F3072" s="17">
        <v>41424</v>
      </c>
      <c r="G3072" s="8" t="s">
        <v>16595</v>
      </c>
      <c r="H3072" s="8" t="s">
        <v>1432</v>
      </c>
      <c r="I3072" s="8" t="s">
        <v>123</v>
      </c>
      <c r="J3072" s="16" t="s">
        <v>16596</v>
      </c>
      <c r="K3072" s="2" t="s">
        <v>635</v>
      </c>
      <c r="L3072" s="8" t="s">
        <v>16597</v>
      </c>
      <c r="M3072" s="8" t="s">
        <v>391</v>
      </c>
      <c r="N3072" s="2" t="s">
        <v>16598</v>
      </c>
      <c r="O3072" s="8" t="s">
        <v>400</v>
      </c>
      <c r="P3072" s="8" t="s">
        <v>401</v>
      </c>
      <c r="Q3072" s="12" t="s">
        <v>16599</v>
      </c>
      <c r="R3072" s="8" t="s">
        <v>967</v>
      </c>
      <c r="S3072" s="7" t="s">
        <v>28</v>
      </c>
      <c r="T3072" s="6"/>
      <c r="U3072" s="8"/>
    </row>
    <row r="3073" spans="1:21" ht="13" customHeight="1">
      <c r="A3073" s="8" t="s">
        <v>16600</v>
      </c>
      <c r="B3073" s="16" t="s">
        <v>15831</v>
      </c>
      <c r="C3073" s="8" t="s">
        <v>20</v>
      </c>
      <c r="D3073" s="8" t="s">
        <v>37</v>
      </c>
      <c r="E3073" s="8" t="s">
        <v>16601</v>
      </c>
      <c r="F3073" s="17">
        <v>41424</v>
      </c>
      <c r="G3073" s="8" t="s">
        <v>16602</v>
      </c>
      <c r="H3073" s="8" t="s">
        <v>3712</v>
      </c>
      <c r="I3073" s="8" t="s">
        <v>45</v>
      </c>
      <c r="J3073" s="16" t="s">
        <v>16590</v>
      </c>
      <c r="K3073" s="2" t="s">
        <v>1064</v>
      </c>
      <c r="L3073" s="8" t="s">
        <v>3714</v>
      </c>
      <c r="M3073" s="8" t="s">
        <v>379</v>
      </c>
      <c r="N3073" s="2" t="s">
        <v>16603</v>
      </c>
      <c r="O3073" s="8" t="s">
        <v>550</v>
      </c>
      <c r="P3073" s="8" t="s">
        <v>401</v>
      </c>
      <c r="Q3073" s="12" t="s">
        <v>16604</v>
      </c>
      <c r="R3073" s="8" t="s">
        <v>100</v>
      </c>
      <c r="S3073" s="7" t="s">
        <v>28</v>
      </c>
      <c r="T3073" s="6"/>
      <c r="U3073" s="8"/>
    </row>
    <row r="3074" spans="1:21" ht="13" customHeight="1">
      <c r="A3074" s="8" t="s">
        <v>16610</v>
      </c>
      <c r="B3074" s="16">
        <v>22</v>
      </c>
      <c r="C3074" s="8" t="s">
        <v>20</v>
      </c>
      <c r="D3074" s="8" t="s">
        <v>85</v>
      </c>
      <c r="E3074" s="8" t="s">
        <v>16611</v>
      </c>
      <c r="F3074" s="17">
        <v>41423</v>
      </c>
      <c r="G3074" s="8" t="s">
        <v>16612</v>
      </c>
      <c r="H3074" s="8" t="s">
        <v>603</v>
      </c>
      <c r="I3074" s="8" t="s">
        <v>45</v>
      </c>
      <c r="J3074" s="16" t="s">
        <v>16613</v>
      </c>
      <c r="K3074" s="2" t="s">
        <v>604</v>
      </c>
      <c r="L3074" s="8" t="s">
        <v>605</v>
      </c>
      <c r="M3074" s="8" t="s">
        <v>27</v>
      </c>
      <c r="N3074" s="2" t="s">
        <v>16614</v>
      </c>
      <c r="O3074" s="8" t="s">
        <v>1013</v>
      </c>
      <c r="P3074" s="8" t="s">
        <v>401</v>
      </c>
      <c r="Q3074" s="12" t="s">
        <v>16615</v>
      </c>
      <c r="R3074" s="8" t="s">
        <v>100</v>
      </c>
      <c r="S3074" s="7" t="s">
        <v>28</v>
      </c>
      <c r="T3074" s="6"/>
      <c r="U3074" s="8"/>
    </row>
    <row r="3075" spans="1:21" ht="13" customHeight="1">
      <c r="A3075" s="8" t="s">
        <v>16616</v>
      </c>
      <c r="B3075" s="16" t="s">
        <v>15893</v>
      </c>
      <c r="C3075" s="8" t="s">
        <v>20</v>
      </c>
      <c r="D3075" s="8" t="s">
        <v>85</v>
      </c>
      <c r="F3075" s="17">
        <v>41423</v>
      </c>
      <c r="G3075" s="8" t="s">
        <v>16617</v>
      </c>
      <c r="H3075" s="8" t="s">
        <v>1103</v>
      </c>
      <c r="I3075" s="8" t="s">
        <v>404</v>
      </c>
      <c r="J3075" s="16" t="s">
        <v>16618</v>
      </c>
      <c r="K3075" s="2" t="s">
        <v>1103</v>
      </c>
      <c r="L3075" s="8" t="s">
        <v>1104</v>
      </c>
      <c r="M3075" s="8" t="s">
        <v>27</v>
      </c>
      <c r="N3075" s="2" t="s">
        <v>16619</v>
      </c>
      <c r="O3075" s="8" t="s">
        <v>29</v>
      </c>
      <c r="P3075" s="8" t="s">
        <v>401</v>
      </c>
      <c r="Q3075" s="12" t="s">
        <v>16620</v>
      </c>
      <c r="R3075" s="8" t="s">
        <v>100</v>
      </c>
      <c r="S3075" s="7" t="s">
        <v>28</v>
      </c>
      <c r="T3075" s="6"/>
      <c r="U3075" s="8"/>
    </row>
    <row r="3076" spans="1:21" ht="13" customHeight="1">
      <c r="A3076" s="8" t="s">
        <v>16605</v>
      </c>
      <c r="B3076" s="16">
        <v>34</v>
      </c>
      <c r="C3076" s="8" t="s">
        <v>20</v>
      </c>
      <c r="D3076" s="8" t="s">
        <v>85</v>
      </c>
      <c r="E3076" s="8" t="s">
        <v>16606</v>
      </c>
      <c r="F3076" s="17">
        <v>41423</v>
      </c>
      <c r="G3076" s="8" t="s">
        <v>16607</v>
      </c>
      <c r="H3076" s="8" t="s">
        <v>118</v>
      </c>
      <c r="I3076" s="8" t="s">
        <v>3685</v>
      </c>
      <c r="J3076" s="16" t="s">
        <v>6899</v>
      </c>
      <c r="K3076" s="2" t="s">
        <v>3687</v>
      </c>
      <c r="L3076" s="8" t="s">
        <v>19723</v>
      </c>
      <c r="M3076" s="8" t="s">
        <v>27</v>
      </c>
      <c r="N3076" s="2" t="s">
        <v>16608</v>
      </c>
      <c r="O3076" s="8" t="s">
        <v>1013</v>
      </c>
      <c r="P3076" s="8" t="s">
        <v>401</v>
      </c>
      <c r="Q3076" s="12" t="s">
        <v>16609</v>
      </c>
      <c r="R3076" s="8" t="s">
        <v>100</v>
      </c>
      <c r="S3076" s="7" t="s">
        <v>28</v>
      </c>
      <c r="T3076" s="6"/>
      <c r="U3076" s="8"/>
    </row>
    <row r="3077" spans="1:21" ht="13" customHeight="1">
      <c r="A3077" s="8" t="s">
        <v>16621</v>
      </c>
      <c r="B3077" s="16" t="s">
        <v>15408</v>
      </c>
      <c r="C3077" s="8" t="s">
        <v>20</v>
      </c>
      <c r="D3077" s="8" t="s">
        <v>30</v>
      </c>
      <c r="F3077" s="17">
        <v>41423</v>
      </c>
      <c r="G3077" s="8" t="s">
        <v>16622</v>
      </c>
      <c r="H3077" s="8" t="s">
        <v>16623</v>
      </c>
      <c r="I3077" s="8" t="s">
        <v>857</v>
      </c>
      <c r="J3077" s="16" t="s">
        <v>16624</v>
      </c>
      <c r="K3077" s="2" t="s">
        <v>16625</v>
      </c>
      <c r="L3077" s="8" t="s">
        <v>16626</v>
      </c>
      <c r="M3077" s="8" t="s">
        <v>27</v>
      </c>
      <c r="N3077" s="2" t="s">
        <v>16627</v>
      </c>
      <c r="O3077" s="8" t="s">
        <v>550</v>
      </c>
      <c r="P3077" s="8" t="s">
        <v>401</v>
      </c>
      <c r="Q3077" s="12" t="s">
        <v>16628</v>
      </c>
      <c r="R3077" s="8" t="s">
        <v>555</v>
      </c>
      <c r="S3077" s="7" t="s">
        <v>28</v>
      </c>
      <c r="T3077" s="6"/>
      <c r="U3077" s="8"/>
    </row>
    <row r="3078" spans="1:21" ht="13" customHeight="1">
      <c r="A3078" s="8" t="s">
        <v>16629</v>
      </c>
      <c r="B3078" s="16">
        <v>48</v>
      </c>
      <c r="C3078" s="8" t="s">
        <v>20</v>
      </c>
      <c r="D3078" s="8" t="s">
        <v>30</v>
      </c>
      <c r="F3078" s="17">
        <v>41423</v>
      </c>
      <c r="G3078" s="8" t="s">
        <v>16630</v>
      </c>
      <c r="H3078" s="8" t="s">
        <v>16631</v>
      </c>
      <c r="I3078" s="8" t="s">
        <v>46</v>
      </c>
      <c r="J3078" s="16" t="s">
        <v>16632</v>
      </c>
      <c r="K3078" s="2" t="s">
        <v>1703</v>
      </c>
      <c r="L3078" s="8" t="s">
        <v>16633</v>
      </c>
      <c r="M3078" s="8" t="s">
        <v>14474</v>
      </c>
      <c r="N3078" s="2" t="s">
        <v>16634</v>
      </c>
      <c r="O3078" s="8" t="s">
        <v>1013</v>
      </c>
      <c r="P3078" s="8" t="s">
        <v>401</v>
      </c>
      <c r="Q3078" s="12" t="s">
        <v>16635</v>
      </c>
      <c r="R3078" s="8" t="s">
        <v>29</v>
      </c>
      <c r="S3078" s="7" t="s">
        <v>28</v>
      </c>
      <c r="T3078" s="6"/>
      <c r="U3078" s="8"/>
    </row>
    <row r="3079" spans="1:21" ht="13" customHeight="1">
      <c r="A3079" s="8" t="s">
        <v>16636</v>
      </c>
      <c r="B3079" s="16">
        <v>37</v>
      </c>
      <c r="C3079" s="8" t="s">
        <v>114</v>
      </c>
      <c r="D3079" s="8" t="s">
        <v>37</v>
      </c>
      <c r="E3079" s="8" t="s">
        <v>16637</v>
      </c>
      <c r="F3079" s="17">
        <v>41422</v>
      </c>
      <c r="G3079" s="8" t="s">
        <v>16638</v>
      </c>
      <c r="H3079" s="8" t="s">
        <v>16639</v>
      </c>
      <c r="I3079" s="8" t="s">
        <v>319</v>
      </c>
      <c r="J3079" s="16" t="s">
        <v>16640</v>
      </c>
      <c r="K3079" s="2" t="s">
        <v>3167</v>
      </c>
      <c r="L3079" s="8" t="s">
        <v>6535</v>
      </c>
      <c r="M3079" s="8" t="s">
        <v>27</v>
      </c>
      <c r="N3079" s="2" t="s">
        <v>16641</v>
      </c>
      <c r="O3079" s="8" t="s">
        <v>550</v>
      </c>
      <c r="P3079" s="8" t="s">
        <v>401</v>
      </c>
      <c r="Q3079" s="12" t="s">
        <v>16642</v>
      </c>
      <c r="R3079" s="8" t="s">
        <v>100</v>
      </c>
      <c r="S3079" s="7" t="s">
        <v>28</v>
      </c>
      <c r="T3079" s="6"/>
      <c r="U3079" s="8"/>
    </row>
    <row r="3080" spans="1:21" ht="13" customHeight="1">
      <c r="A3080" s="8" t="s">
        <v>16643</v>
      </c>
      <c r="B3080" s="16">
        <v>72</v>
      </c>
      <c r="C3080" s="8" t="s">
        <v>20</v>
      </c>
      <c r="D3080" s="8" t="s">
        <v>37</v>
      </c>
      <c r="E3080" s="8" t="s">
        <v>16644</v>
      </c>
      <c r="F3080" s="17">
        <v>41422</v>
      </c>
      <c r="G3080" s="8" t="s">
        <v>16645</v>
      </c>
      <c r="H3080" s="8" t="s">
        <v>929</v>
      </c>
      <c r="I3080" s="8" t="s">
        <v>73</v>
      </c>
      <c r="J3080" s="16" t="s">
        <v>6793</v>
      </c>
      <c r="K3080" s="2" t="s">
        <v>74</v>
      </c>
      <c r="L3080" s="8" t="s">
        <v>930</v>
      </c>
      <c r="M3080" s="8" t="s">
        <v>27</v>
      </c>
      <c r="N3080" s="2" t="s">
        <v>16646</v>
      </c>
      <c r="O3080" s="8" t="s">
        <v>550</v>
      </c>
      <c r="P3080" s="8" t="s">
        <v>401</v>
      </c>
      <c r="Q3080" s="12" t="s">
        <v>16647</v>
      </c>
      <c r="R3080" s="8" t="s">
        <v>100</v>
      </c>
      <c r="S3080" s="7" t="s">
        <v>28</v>
      </c>
      <c r="T3080" s="6"/>
      <c r="U3080" s="8"/>
    </row>
    <row r="3081" spans="1:21" ht="13" customHeight="1">
      <c r="A3081" s="8" t="s">
        <v>16648</v>
      </c>
      <c r="B3081" s="16" t="s">
        <v>13755</v>
      </c>
      <c r="C3081" s="8" t="s">
        <v>20</v>
      </c>
      <c r="D3081" s="8" t="s">
        <v>85</v>
      </c>
      <c r="E3081" s="8" t="s">
        <v>16649</v>
      </c>
      <c r="F3081" s="17">
        <v>41421</v>
      </c>
      <c r="G3081" s="8" t="s">
        <v>16650</v>
      </c>
      <c r="H3081" s="8" t="s">
        <v>712</v>
      </c>
      <c r="I3081" s="8" t="s">
        <v>431</v>
      </c>
      <c r="J3081" s="16" t="s">
        <v>5428</v>
      </c>
      <c r="K3081" s="2" t="s">
        <v>712</v>
      </c>
      <c r="L3081" s="8" t="s">
        <v>16651</v>
      </c>
      <c r="M3081" s="8" t="s">
        <v>27</v>
      </c>
      <c r="N3081" s="2" t="s">
        <v>16652</v>
      </c>
      <c r="O3081" s="8" t="s">
        <v>16653</v>
      </c>
      <c r="P3081" s="8" t="s">
        <v>1162</v>
      </c>
      <c r="Q3081" s="12" t="s">
        <v>16654</v>
      </c>
      <c r="R3081" s="8" t="s">
        <v>100</v>
      </c>
      <c r="S3081" s="7" t="s">
        <v>28</v>
      </c>
      <c r="T3081" s="6"/>
      <c r="U3081" s="8"/>
    </row>
    <row r="3082" spans="1:21" ht="13" customHeight="1">
      <c r="A3082" s="8" t="s">
        <v>16655</v>
      </c>
      <c r="B3082" s="16" t="s">
        <v>16144</v>
      </c>
      <c r="C3082" s="8" t="s">
        <v>20</v>
      </c>
      <c r="D3082" s="8" t="s">
        <v>48</v>
      </c>
      <c r="E3082" s="8" t="s">
        <v>16656</v>
      </c>
      <c r="F3082" s="17">
        <v>41420</v>
      </c>
      <c r="G3082" s="8" t="s">
        <v>16657</v>
      </c>
      <c r="H3082" s="8" t="s">
        <v>16658</v>
      </c>
      <c r="I3082" s="8" t="s">
        <v>73</v>
      </c>
      <c r="J3082" s="16" t="s">
        <v>16659</v>
      </c>
      <c r="K3082" s="2" t="s">
        <v>16660</v>
      </c>
      <c r="L3082" s="8" t="s">
        <v>16661</v>
      </c>
      <c r="M3082" s="8" t="s">
        <v>27</v>
      </c>
      <c r="N3082" s="2" t="s">
        <v>16662</v>
      </c>
      <c r="O3082" s="8" t="s">
        <v>29</v>
      </c>
      <c r="P3082" s="8" t="s">
        <v>401</v>
      </c>
      <c r="Q3082" s="12" t="s">
        <v>16663</v>
      </c>
      <c r="R3082" s="8" t="s">
        <v>100</v>
      </c>
      <c r="S3082" s="7" t="s">
        <v>28</v>
      </c>
      <c r="T3082" s="6"/>
      <c r="U3082" s="8"/>
    </row>
    <row r="3083" spans="1:21" ht="13" customHeight="1">
      <c r="A3083" s="8" t="s">
        <v>16664</v>
      </c>
      <c r="B3083" s="16" t="s">
        <v>16123</v>
      </c>
      <c r="C3083" s="8" t="s">
        <v>20</v>
      </c>
      <c r="D3083" s="8" t="s">
        <v>48</v>
      </c>
      <c r="E3083" s="8" t="s">
        <v>16665</v>
      </c>
      <c r="F3083" s="17">
        <v>41420</v>
      </c>
      <c r="G3083" s="8" t="s">
        <v>16666</v>
      </c>
      <c r="H3083" s="8" t="s">
        <v>16667</v>
      </c>
      <c r="I3083" s="8" t="s">
        <v>423</v>
      </c>
      <c r="J3083" s="16" t="s">
        <v>16668</v>
      </c>
      <c r="K3083" s="2" t="s">
        <v>581</v>
      </c>
      <c r="L3083" s="8" t="s">
        <v>16669</v>
      </c>
      <c r="M3083" s="8" t="s">
        <v>27</v>
      </c>
      <c r="N3083" s="2" t="s">
        <v>16670</v>
      </c>
      <c r="O3083" s="8" t="s">
        <v>550</v>
      </c>
      <c r="P3083" s="8" t="s">
        <v>401</v>
      </c>
      <c r="Q3083" s="12" t="s">
        <v>16671</v>
      </c>
      <c r="R3083" s="8" t="s">
        <v>555</v>
      </c>
      <c r="S3083" s="7" t="s">
        <v>28</v>
      </c>
      <c r="T3083" s="6"/>
      <c r="U3083" s="8"/>
    </row>
    <row r="3084" spans="1:21" ht="13" customHeight="1">
      <c r="A3084" s="8" t="s">
        <v>16680</v>
      </c>
      <c r="B3084" s="16" t="s">
        <v>13755</v>
      </c>
      <c r="C3084" s="8" t="s">
        <v>20</v>
      </c>
      <c r="D3084" s="8" t="s">
        <v>37</v>
      </c>
      <c r="E3084" s="8" t="s">
        <v>16681</v>
      </c>
      <c r="F3084" s="17">
        <v>41420</v>
      </c>
      <c r="G3084" s="8" t="s">
        <v>16682</v>
      </c>
      <c r="H3084" s="8" t="s">
        <v>16683</v>
      </c>
      <c r="I3084" s="8" t="s">
        <v>404</v>
      </c>
      <c r="J3084" s="16" t="s">
        <v>16684</v>
      </c>
      <c r="K3084" s="2" t="s">
        <v>909</v>
      </c>
      <c r="L3084" s="8" t="s">
        <v>16685</v>
      </c>
      <c r="M3084" s="8" t="s">
        <v>27</v>
      </c>
      <c r="N3084" s="2" t="s">
        <v>16686</v>
      </c>
      <c r="O3084" s="8" t="s">
        <v>29</v>
      </c>
      <c r="P3084" s="8" t="s">
        <v>401</v>
      </c>
      <c r="Q3084" s="12" t="s">
        <v>16687</v>
      </c>
      <c r="R3084" s="8" t="s">
        <v>100</v>
      </c>
      <c r="S3084" s="7" t="s">
        <v>28</v>
      </c>
      <c r="T3084" s="6"/>
      <c r="U3084" s="8"/>
    </row>
    <row r="3085" spans="1:21" ht="13" customHeight="1">
      <c r="A3085" s="8" t="s">
        <v>16672</v>
      </c>
      <c r="B3085" s="16" t="s">
        <v>11746</v>
      </c>
      <c r="C3085" s="8" t="s">
        <v>20</v>
      </c>
      <c r="D3085" s="8" t="s">
        <v>37</v>
      </c>
      <c r="F3085" s="17">
        <v>41420</v>
      </c>
      <c r="G3085" s="8" t="s">
        <v>16673</v>
      </c>
      <c r="H3085" s="8" t="s">
        <v>16674</v>
      </c>
      <c r="I3085" s="8" t="s">
        <v>209</v>
      </c>
      <c r="J3085" s="16" t="s">
        <v>16675</v>
      </c>
      <c r="K3085" s="2" t="s">
        <v>16676</v>
      </c>
      <c r="L3085" s="8" t="s">
        <v>16677</v>
      </c>
      <c r="M3085" s="8" t="s">
        <v>27</v>
      </c>
      <c r="N3085" s="2" t="s">
        <v>16678</v>
      </c>
      <c r="O3085" s="8" t="s">
        <v>550</v>
      </c>
      <c r="P3085" s="8" t="s">
        <v>401</v>
      </c>
      <c r="Q3085" s="12" t="s">
        <v>16679</v>
      </c>
      <c r="R3085" s="8" t="s">
        <v>100</v>
      </c>
      <c r="S3085" s="7" t="s">
        <v>28</v>
      </c>
      <c r="T3085" s="6"/>
      <c r="U3085" s="8"/>
    </row>
    <row r="3086" spans="1:21" ht="13" customHeight="1">
      <c r="A3086" s="8" t="s">
        <v>16688</v>
      </c>
      <c r="B3086" s="16" t="s">
        <v>16025</v>
      </c>
      <c r="C3086" s="8" t="s">
        <v>20</v>
      </c>
      <c r="D3086" s="8" t="s">
        <v>85</v>
      </c>
      <c r="E3086" s="8" t="s">
        <v>16689</v>
      </c>
      <c r="F3086" s="17">
        <v>41419</v>
      </c>
      <c r="G3086" s="8" t="s">
        <v>16690</v>
      </c>
      <c r="H3086" s="8" t="s">
        <v>51</v>
      </c>
      <c r="I3086" s="8" t="s">
        <v>32</v>
      </c>
      <c r="J3086" s="16" t="s">
        <v>16691</v>
      </c>
      <c r="K3086" s="2" t="s">
        <v>2599</v>
      </c>
      <c r="L3086" s="8" t="s">
        <v>1843</v>
      </c>
      <c r="M3086" s="8" t="s">
        <v>27</v>
      </c>
      <c r="N3086" s="2" t="s">
        <v>16692</v>
      </c>
      <c r="O3086" s="8" t="s">
        <v>550</v>
      </c>
      <c r="P3086" s="8" t="s">
        <v>401</v>
      </c>
      <c r="Q3086" s="12" t="s">
        <v>16693</v>
      </c>
      <c r="R3086" s="8" t="s">
        <v>29</v>
      </c>
      <c r="S3086" s="7" t="s">
        <v>28</v>
      </c>
      <c r="T3086" s="6"/>
      <c r="U3086" s="8"/>
    </row>
    <row r="3087" spans="1:21" ht="13" customHeight="1">
      <c r="A3087" s="8" t="s">
        <v>16694</v>
      </c>
      <c r="B3087" s="16" t="s">
        <v>8817</v>
      </c>
      <c r="C3087" s="8" t="s">
        <v>20</v>
      </c>
      <c r="D3087" s="8" t="s">
        <v>85</v>
      </c>
      <c r="E3087" s="8" t="s">
        <v>16695</v>
      </c>
      <c r="F3087" s="17">
        <v>41419</v>
      </c>
      <c r="G3087" s="8" t="s">
        <v>16696</v>
      </c>
      <c r="H3087" s="8" t="s">
        <v>16697</v>
      </c>
      <c r="I3087" s="8" t="s">
        <v>57</v>
      </c>
      <c r="J3087" s="16" t="s">
        <v>8555</v>
      </c>
      <c r="K3087" s="2" t="s">
        <v>8556</v>
      </c>
      <c r="L3087" s="8" t="s">
        <v>3978</v>
      </c>
      <c r="M3087" s="8" t="s">
        <v>27</v>
      </c>
      <c r="N3087" s="2" t="s">
        <v>16698</v>
      </c>
      <c r="O3087" s="8" t="s">
        <v>550</v>
      </c>
      <c r="P3087" s="8" t="s">
        <v>401</v>
      </c>
      <c r="Q3087" s="12" t="s">
        <v>16699</v>
      </c>
      <c r="R3087" s="8" t="s">
        <v>100</v>
      </c>
      <c r="S3087" s="7" t="s">
        <v>28</v>
      </c>
      <c r="T3087" s="6"/>
      <c r="U3087" s="8"/>
    </row>
    <row r="3088" spans="1:21" ht="13" customHeight="1">
      <c r="A3088" s="8" t="s">
        <v>3267</v>
      </c>
      <c r="B3088" s="16">
        <v>23</v>
      </c>
      <c r="C3088" s="8" t="s">
        <v>20</v>
      </c>
      <c r="D3088" s="8" t="s">
        <v>30</v>
      </c>
      <c r="F3088" s="17">
        <v>41419</v>
      </c>
      <c r="G3088" s="8" t="s">
        <v>16704</v>
      </c>
      <c r="H3088" s="8" t="s">
        <v>1103</v>
      </c>
      <c r="I3088" s="8" t="s">
        <v>404</v>
      </c>
      <c r="J3088" s="16" t="s">
        <v>11810</v>
      </c>
      <c r="K3088" s="2" t="s">
        <v>1103</v>
      </c>
      <c r="L3088" s="8" t="s">
        <v>1104</v>
      </c>
      <c r="M3088" s="8" t="s">
        <v>27</v>
      </c>
      <c r="N3088" s="2" t="s">
        <v>16705</v>
      </c>
      <c r="O3088" s="8" t="s">
        <v>400</v>
      </c>
      <c r="P3088" s="8" t="s">
        <v>401</v>
      </c>
      <c r="Q3088" s="12" t="s">
        <v>16706</v>
      </c>
      <c r="R3088" s="8" t="s">
        <v>29</v>
      </c>
      <c r="S3088" s="7" t="s">
        <v>28</v>
      </c>
      <c r="T3088" s="6"/>
      <c r="U3088" s="8"/>
    </row>
    <row r="3089" spans="1:34" ht="13" customHeight="1">
      <c r="A3089" s="8" t="s">
        <v>3267</v>
      </c>
      <c r="B3089" s="16">
        <v>25</v>
      </c>
      <c r="C3089" s="8" t="s">
        <v>20</v>
      </c>
      <c r="D3089" s="8" t="s">
        <v>30</v>
      </c>
      <c r="F3089" s="17">
        <v>41419</v>
      </c>
      <c r="G3089" s="8" t="s">
        <v>16700</v>
      </c>
      <c r="H3089" s="8" t="s">
        <v>489</v>
      </c>
      <c r="I3089" s="8" t="s">
        <v>45</v>
      </c>
      <c r="J3089" s="16" t="s">
        <v>16701</v>
      </c>
      <c r="K3089" s="2" t="s">
        <v>98</v>
      </c>
      <c r="L3089" s="8" t="s">
        <v>490</v>
      </c>
      <c r="M3089" s="8" t="s">
        <v>3386</v>
      </c>
      <c r="N3089" s="2" t="s">
        <v>16702</v>
      </c>
      <c r="O3089" s="8" t="s">
        <v>1013</v>
      </c>
      <c r="P3089" s="8" t="s">
        <v>401</v>
      </c>
      <c r="Q3089" s="12" t="s">
        <v>16703</v>
      </c>
      <c r="R3089" s="8" t="s">
        <v>100</v>
      </c>
      <c r="S3089" s="7" t="s">
        <v>28</v>
      </c>
      <c r="T3089" s="6"/>
      <c r="U3089" s="8"/>
    </row>
    <row r="3090" spans="1:34" ht="13" customHeight="1">
      <c r="A3090" s="8" t="s">
        <v>16707</v>
      </c>
      <c r="B3090" s="16">
        <v>42</v>
      </c>
      <c r="C3090" s="8" t="s">
        <v>20</v>
      </c>
      <c r="D3090" s="8" t="s">
        <v>37</v>
      </c>
      <c r="E3090" s="8" t="s">
        <v>16708</v>
      </c>
      <c r="F3090" s="17">
        <v>41419</v>
      </c>
      <c r="G3090" s="8" t="s">
        <v>16709</v>
      </c>
      <c r="H3090" s="8" t="s">
        <v>1646</v>
      </c>
      <c r="I3090" s="8" t="s">
        <v>45</v>
      </c>
      <c r="J3090" s="16" t="s">
        <v>16710</v>
      </c>
      <c r="K3090" s="2" t="s">
        <v>1646</v>
      </c>
      <c r="L3090" s="8" t="s">
        <v>2331</v>
      </c>
      <c r="M3090" s="8" t="s">
        <v>3169</v>
      </c>
      <c r="N3090" s="2" t="s">
        <v>16711</v>
      </c>
      <c r="O3090" s="8" t="s">
        <v>29</v>
      </c>
      <c r="P3090" s="8" t="s">
        <v>401</v>
      </c>
      <c r="Q3090" s="12" t="s">
        <v>16712</v>
      </c>
      <c r="R3090" s="8" t="s">
        <v>29</v>
      </c>
      <c r="S3090" s="7" t="s">
        <v>28</v>
      </c>
      <c r="T3090" s="6"/>
      <c r="U3090" s="8"/>
    </row>
    <row r="3091" spans="1:34" ht="13" customHeight="1">
      <c r="A3091" s="8" t="s">
        <v>16713</v>
      </c>
      <c r="B3091" s="16" t="s">
        <v>16018</v>
      </c>
      <c r="C3091" s="8" t="s">
        <v>20</v>
      </c>
      <c r="D3091" s="8" t="s">
        <v>37</v>
      </c>
      <c r="E3091" s="8" t="s">
        <v>16714</v>
      </c>
      <c r="F3091" s="17">
        <v>41419</v>
      </c>
      <c r="G3091" s="8" t="s">
        <v>16715</v>
      </c>
      <c r="H3091" s="8" t="s">
        <v>16716</v>
      </c>
      <c r="I3091" s="8" t="s">
        <v>240</v>
      </c>
      <c r="J3091" s="16" t="s">
        <v>16717</v>
      </c>
      <c r="K3091" s="2" t="s">
        <v>1451</v>
      </c>
      <c r="L3091" s="8" t="s">
        <v>16718</v>
      </c>
      <c r="M3091" s="8" t="s">
        <v>27</v>
      </c>
      <c r="N3091" s="2" t="s">
        <v>16719</v>
      </c>
      <c r="O3091" s="8" t="s">
        <v>550</v>
      </c>
      <c r="P3091" s="8" t="s">
        <v>401</v>
      </c>
      <c r="Q3091" s="12" t="s">
        <v>16720</v>
      </c>
      <c r="R3091" s="8" t="s">
        <v>555</v>
      </c>
      <c r="S3091" s="7" t="s">
        <v>28</v>
      </c>
      <c r="T3091" s="6"/>
      <c r="U3091" s="8"/>
    </row>
    <row r="3092" spans="1:34" ht="13" customHeight="1">
      <c r="A3092" s="8" t="s">
        <v>16721</v>
      </c>
      <c r="B3092" s="16">
        <v>47</v>
      </c>
      <c r="C3092" s="8" t="s">
        <v>20</v>
      </c>
      <c r="D3092" s="8" t="s">
        <v>48</v>
      </c>
      <c r="F3092" s="17">
        <v>41418</v>
      </c>
      <c r="G3092" s="8" t="s">
        <v>16722</v>
      </c>
      <c r="H3092" s="8" t="s">
        <v>156</v>
      </c>
      <c r="I3092" s="8" t="s">
        <v>45</v>
      </c>
      <c r="J3092" s="16" t="s">
        <v>16723</v>
      </c>
      <c r="K3092" s="2" t="s">
        <v>156</v>
      </c>
      <c r="L3092" s="8" t="s">
        <v>157</v>
      </c>
      <c r="M3092" s="8" t="s">
        <v>27</v>
      </c>
      <c r="N3092" s="2" t="s">
        <v>16724</v>
      </c>
      <c r="O3092" s="8" t="s">
        <v>29</v>
      </c>
      <c r="P3092" s="8" t="s">
        <v>401</v>
      </c>
      <c r="Q3092" s="12" t="s">
        <v>16725</v>
      </c>
      <c r="R3092" s="8" t="s">
        <v>100</v>
      </c>
      <c r="S3092" s="7" t="s">
        <v>28</v>
      </c>
      <c r="T3092" s="6"/>
      <c r="U3092" s="8"/>
    </row>
    <row r="3093" spans="1:34" ht="13" customHeight="1">
      <c r="A3093" s="8" t="s">
        <v>16733</v>
      </c>
      <c r="B3093" s="16">
        <v>49</v>
      </c>
      <c r="C3093" s="8" t="s">
        <v>20</v>
      </c>
      <c r="D3093" s="8" t="s">
        <v>30</v>
      </c>
      <c r="F3093" s="17">
        <v>41418</v>
      </c>
      <c r="G3093" s="8" t="s">
        <v>16734</v>
      </c>
      <c r="H3093" s="8" t="s">
        <v>16735</v>
      </c>
      <c r="I3093" s="8" t="s">
        <v>857</v>
      </c>
      <c r="J3093" s="16" t="s">
        <v>16736</v>
      </c>
      <c r="K3093" s="2" t="s">
        <v>4604</v>
      </c>
      <c r="L3093" s="8" t="s">
        <v>5059</v>
      </c>
      <c r="M3093" s="8" t="s">
        <v>27</v>
      </c>
      <c r="N3093" s="2" t="s">
        <v>16737</v>
      </c>
      <c r="O3093" s="8" t="s">
        <v>550</v>
      </c>
      <c r="P3093" s="8" t="s">
        <v>401</v>
      </c>
      <c r="Q3093" s="12" t="s">
        <v>16738</v>
      </c>
      <c r="R3093" s="8" t="s">
        <v>100</v>
      </c>
      <c r="S3093" s="7" t="s">
        <v>28</v>
      </c>
      <c r="T3093" s="6"/>
      <c r="U3093" s="8"/>
      <c r="V3093" s="8"/>
      <c r="W3093" s="8"/>
      <c r="X3093" s="8"/>
    </row>
    <row r="3094" spans="1:34" ht="13" customHeight="1">
      <c r="A3094" s="8" t="s">
        <v>16726</v>
      </c>
      <c r="B3094" s="16">
        <v>72</v>
      </c>
      <c r="C3094" s="8" t="s">
        <v>20</v>
      </c>
      <c r="D3094" s="8" t="s">
        <v>30</v>
      </c>
      <c r="F3094" s="17">
        <v>41418</v>
      </c>
      <c r="G3094" s="8" t="s">
        <v>16727</v>
      </c>
      <c r="H3094" s="8" t="s">
        <v>16728</v>
      </c>
      <c r="I3094" s="8" t="s">
        <v>303</v>
      </c>
      <c r="J3094" s="16" t="s">
        <v>16729</v>
      </c>
      <c r="K3094" s="2" t="s">
        <v>2155</v>
      </c>
      <c r="L3094" s="8" t="s">
        <v>16730</v>
      </c>
      <c r="M3094" s="8" t="s">
        <v>379</v>
      </c>
      <c r="N3094" s="2" t="s">
        <v>16731</v>
      </c>
      <c r="O3094" s="8" t="s">
        <v>1013</v>
      </c>
      <c r="P3094" s="8" t="s">
        <v>401</v>
      </c>
      <c r="Q3094" s="12" t="s">
        <v>16732</v>
      </c>
      <c r="R3094" s="8" t="s">
        <v>100</v>
      </c>
      <c r="S3094" s="7" t="s">
        <v>28</v>
      </c>
      <c r="T3094" s="6"/>
      <c r="U3094" s="8"/>
    </row>
    <row r="3095" spans="1:34" ht="13" customHeight="1">
      <c r="A3095" s="8" t="s">
        <v>16739</v>
      </c>
      <c r="B3095" s="16" t="s">
        <v>10931</v>
      </c>
      <c r="C3095" s="8" t="s">
        <v>20</v>
      </c>
      <c r="D3095" s="8" t="s">
        <v>37</v>
      </c>
      <c r="F3095" s="17">
        <v>41418</v>
      </c>
      <c r="G3095" s="8" t="s">
        <v>16740</v>
      </c>
      <c r="H3095" s="8" t="s">
        <v>1211</v>
      </c>
      <c r="I3095" s="8" t="s">
        <v>303</v>
      </c>
      <c r="J3095" s="16" t="s">
        <v>16741</v>
      </c>
      <c r="K3095" s="2" t="s">
        <v>1212</v>
      </c>
      <c r="L3095" s="8" t="s">
        <v>16742</v>
      </c>
      <c r="M3095" s="8" t="s">
        <v>27</v>
      </c>
      <c r="N3095" s="2" t="s">
        <v>16743</v>
      </c>
      <c r="O3095" s="8" t="s">
        <v>29</v>
      </c>
      <c r="P3095" s="8" t="s">
        <v>401</v>
      </c>
      <c r="Q3095" s="12" t="s">
        <v>16744</v>
      </c>
      <c r="R3095" s="8" t="s">
        <v>967</v>
      </c>
      <c r="S3095" s="7" t="s">
        <v>28</v>
      </c>
      <c r="T3095" s="6"/>
      <c r="U3095" s="8"/>
    </row>
    <row r="3096" spans="1:34" ht="13" customHeight="1">
      <c r="A3096" s="8" t="s">
        <v>16753</v>
      </c>
      <c r="B3096" s="16">
        <v>42</v>
      </c>
      <c r="C3096" s="8" t="s">
        <v>20</v>
      </c>
      <c r="D3096" s="8" t="s">
        <v>37</v>
      </c>
      <c r="E3096" s="8" t="s">
        <v>16754</v>
      </c>
      <c r="F3096" s="17">
        <v>41418</v>
      </c>
      <c r="G3096" s="8" t="s">
        <v>16755</v>
      </c>
      <c r="H3096" s="8" t="s">
        <v>1646</v>
      </c>
      <c r="I3096" s="8" t="s">
        <v>45</v>
      </c>
      <c r="J3096" s="16" t="s">
        <v>16710</v>
      </c>
      <c r="K3096" s="2" t="s">
        <v>1646</v>
      </c>
      <c r="L3096" s="8" t="s">
        <v>2331</v>
      </c>
      <c r="M3096" s="8" t="s">
        <v>27</v>
      </c>
      <c r="N3096" s="2" t="s">
        <v>16711</v>
      </c>
      <c r="O3096" s="8" t="s">
        <v>1013</v>
      </c>
      <c r="P3096" s="8" t="s">
        <v>401</v>
      </c>
      <c r="Q3096" s="12" t="s">
        <v>16756</v>
      </c>
      <c r="R3096" s="8" t="s">
        <v>100</v>
      </c>
      <c r="S3096" s="7" t="s">
        <v>28</v>
      </c>
      <c r="T3096" s="6"/>
      <c r="U3096" s="8"/>
    </row>
    <row r="3097" spans="1:34" ht="13" customHeight="1">
      <c r="A3097" s="8" t="s">
        <v>16745</v>
      </c>
      <c r="B3097" s="16" t="s">
        <v>16746</v>
      </c>
      <c r="C3097" s="8" t="s">
        <v>20</v>
      </c>
      <c r="D3097" s="8" t="s">
        <v>37</v>
      </c>
      <c r="E3097" s="8" t="s">
        <v>16747</v>
      </c>
      <c r="F3097" s="17">
        <v>41418</v>
      </c>
      <c r="G3097" s="8" t="s">
        <v>16748</v>
      </c>
      <c r="H3097" s="8" t="s">
        <v>11137</v>
      </c>
      <c r="I3097" s="8" t="s">
        <v>41</v>
      </c>
      <c r="J3097" s="16" t="s">
        <v>16749</v>
      </c>
      <c r="K3097" s="2" t="s">
        <v>4915</v>
      </c>
      <c r="L3097" s="8" t="s">
        <v>16750</v>
      </c>
      <c r="M3097" s="8" t="s">
        <v>27</v>
      </c>
      <c r="N3097" s="2" t="s">
        <v>16751</v>
      </c>
      <c r="O3097" s="8" t="s">
        <v>29</v>
      </c>
      <c r="P3097" s="8" t="s">
        <v>401</v>
      </c>
      <c r="Q3097" s="12" t="s">
        <v>16752</v>
      </c>
      <c r="R3097" s="8" t="s">
        <v>29</v>
      </c>
      <c r="S3097" s="7" t="s">
        <v>28</v>
      </c>
      <c r="T3097" s="6"/>
      <c r="U3097" s="8"/>
    </row>
    <row r="3098" spans="1:34" ht="13" customHeight="1">
      <c r="A3098" s="8" t="s">
        <v>16757</v>
      </c>
      <c r="B3098" s="16">
        <v>27</v>
      </c>
      <c r="C3098" s="8" t="s">
        <v>20</v>
      </c>
      <c r="D3098" s="8" t="s">
        <v>85</v>
      </c>
      <c r="F3098" s="17">
        <v>41417</v>
      </c>
      <c r="G3098" s="8" t="s">
        <v>16758</v>
      </c>
      <c r="H3098" s="8" t="s">
        <v>5227</v>
      </c>
      <c r="I3098" s="8" t="s">
        <v>45</v>
      </c>
      <c r="J3098" s="16" t="s">
        <v>9016</v>
      </c>
      <c r="K3098" s="2" t="s">
        <v>98</v>
      </c>
      <c r="L3098" s="8" t="s">
        <v>5014</v>
      </c>
      <c r="M3098" s="8" t="s">
        <v>27</v>
      </c>
      <c r="N3098" s="2" t="s">
        <v>16759</v>
      </c>
      <c r="O3098" s="8" t="s">
        <v>1013</v>
      </c>
      <c r="P3098" s="8" t="s">
        <v>401</v>
      </c>
      <c r="Q3098" s="12" t="s">
        <v>16760</v>
      </c>
      <c r="R3098" s="8" t="s">
        <v>100</v>
      </c>
      <c r="S3098" s="7" t="s">
        <v>28</v>
      </c>
      <c r="T3098" s="6"/>
      <c r="U3098" s="8"/>
    </row>
    <row r="3099" spans="1:34" ht="13" customHeight="1">
      <c r="A3099" s="8" t="s">
        <v>16761</v>
      </c>
      <c r="B3099" s="16" t="s">
        <v>8532</v>
      </c>
      <c r="C3099" s="8" t="s">
        <v>20</v>
      </c>
      <c r="D3099" s="8" t="s">
        <v>85</v>
      </c>
      <c r="E3099" s="8" t="s">
        <v>16762</v>
      </c>
      <c r="F3099" s="17">
        <v>41417</v>
      </c>
      <c r="G3099" s="8" t="s">
        <v>16763</v>
      </c>
      <c r="H3099" s="8" t="s">
        <v>778</v>
      </c>
      <c r="I3099" s="8" t="s">
        <v>69</v>
      </c>
      <c r="J3099" s="16" t="s">
        <v>16764</v>
      </c>
      <c r="K3099" s="2" t="s">
        <v>779</v>
      </c>
      <c r="L3099" s="8" t="s">
        <v>780</v>
      </c>
      <c r="M3099" s="8" t="s">
        <v>27</v>
      </c>
      <c r="N3099" s="2" t="s">
        <v>16765</v>
      </c>
      <c r="O3099" s="8" t="s">
        <v>29</v>
      </c>
      <c r="P3099" s="8" t="s">
        <v>401</v>
      </c>
      <c r="Q3099" s="12" t="s">
        <v>16766</v>
      </c>
      <c r="R3099" s="8" t="s">
        <v>100</v>
      </c>
      <c r="S3099" s="7" t="s">
        <v>28</v>
      </c>
      <c r="T3099" s="6"/>
      <c r="U3099" s="8"/>
    </row>
    <row r="3100" spans="1:34" ht="13" customHeight="1">
      <c r="A3100" s="8" t="s">
        <v>16772</v>
      </c>
      <c r="B3100" s="16">
        <v>28</v>
      </c>
      <c r="C3100" s="8" t="s">
        <v>20</v>
      </c>
      <c r="D3100" s="8" t="s">
        <v>30</v>
      </c>
      <c r="F3100" s="17">
        <v>41417</v>
      </c>
      <c r="G3100" s="8" t="s">
        <v>16773</v>
      </c>
      <c r="H3100" s="8" t="s">
        <v>757</v>
      </c>
      <c r="I3100" s="8" t="s">
        <v>423</v>
      </c>
      <c r="J3100" s="16" t="s">
        <v>16774</v>
      </c>
      <c r="K3100" s="2" t="s">
        <v>1716</v>
      </c>
      <c r="L3100" s="8" t="s">
        <v>582</v>
      </c>
      <c r="M3100" s="8" t="s">
        <v>27</v>
      </c>
      <c r="N3100" s="2" t="s">
        <v>16775</v>
      </c>
      <c r="O3100" s="8" t="s">
        <v>1013</v>
      </c>
      <c r="P3100" s="8" t="s">
        <v>401</v>
      </c>
      <c r="Q3100" s="12" t="str">
        <f>HYPERLINK("http://www.nydailynews.com/new-york/brooklyn/crazed-brooklyn-man-shot-cops-bad-mouthed-article-1.1297528","http://www.nydailynews.com/new-york/brooklyn/crazed-brooklyn-man-shot-cops-bad-mouthed-article-1.1297528")</f>
        <v>http://www.nydailynews.com/new-york/brooklyn/crazed-brooklyn-man-shot-cops-bad-mouthed-article-1.1297528</v>
      </c>
      <c r="R3100" s="8" t="s">
        <v>555</v>
      </c>
      <c r="S3100" s="7" t="s">
        <v>28</v>
      </c>
      <c r="T3100" s="6"/>
      <c r="U3100" s="8"/>
    </row>
    <row r="3101" spans="1:34" ht="13" customHeight="1">
      <c r="A3101" s="8" t="s">
        <v>16767</v>
      </c>
      <c r="B3101" s="16">
        <v>49</v>
      </c>
      <c r="C3101" s="8" t="s">
        <v>20</v>
      </c>
      <c r="D3101" s="8" t="s">
        <v>30</v>
      </c>
      <c r="F3101" s="17">
        <v>41417</v>
      </c>
      <c r="G3101" s="8" t="s">
        <v>16768</v>
      </c>
      <c r="H3101" s="8" t="s">
        <v>216</v>
      </c>
      <c r="I3101" s="8" t="s">
        <v>217</v>
      </c>
      <c r="J3101" s="16" t="s">
        <v>16769</v>
      </c>
      <c r="K3101" s="2" t="s">
        <v>420</v>
      </c>
      <c r="L3101" s="8" t="s">
        <v>218</v>
      </c>
      <c r="M3101" s="8" t="s">
        <v>379</v>
      </c>
      <c r="N3101" s="2" t="s">
        <v>16770</v>
      </c>
      <c r="O3101" s="8" t="s">
        <v>1013</v>
      </c>
      <c r="P3101" s="8" t="s">
        <v>401</v>
      </c>
      <c r="Q3101" s="12" t="s">
        <v>16771</v>
      </c>
      <c r="R3101" s="8" t="s">
        <v>100</v>
      </c>
      <c r="S3101" s="7" t="s">
        <v>28</v>
      </c>
      <c r="T3101" s="6"/>
      <c r="U3101" s="8"/>
    </row>
    <row r="3102" spans="1:34" ht="13" customHeight="1">
      <c r="A3102" s="8" t="s">
        <v>16776</v>
      </c>
      <c r="B3102" s="16" t="s">
        <v>15893</v>
      </c>
      <c r="C3102" s="8" t="s">
        <v>20</v>
      </c>
      <c r="D3102" s="8" t="s">
        <v>85</v>
      </c>
      <c r="E3102" s="8" t="s">
        <v>16777</v>
      </c>
      <c r="F3102" s="17">
        <v>41416</v>
      </c>
      <c r="G3102" s="8" t="s">
        <v>21437</v>
      </c>
      <c r="H3102" s="8" t="s">
        <v>339</v>
      </c>
      <c r="I3102" s="8" t="s">
        <v>244</v>
      </c>
      <c r="J3102" s="16" t="s">
        <v>16778</v>
      </c>
      <c r="K3102" s="2" t="s">
        <v>16779</v>
      </c>
      <c r="L3102" s="8" t="s">
        <v>16780</v>
      </c>
      <c r="M3102" s="8" t="s">
        <v>27</v>
      </c>
      <c r="N3102" s="2" t="s">
        <v>16781</v>
      </c>
      <c r="O3102" s="8" t="s">
        <v>16782</v>
      </c>
      <c r="P3102" s="8" t="s">
        <v>21433</v>
      </c>
      <c r="Q3102" s="12" t="s">
        <v>16783</v>
      </c>
      <c r="R3102" s="8" t="s">
        <v>29</v>
      </c>
      <c r="S3102" s="7" t="s">
        <v>18</v>
      </c>
      <c r="T3102" s="6"/>
      <c r="U3102" s="8"/>
      <c r="Y3102" s="8"/>
      <c r="Z3102" s="8"/>
      <c r="AA3102" s="8"/>
      <c r="AB3102" s="8"/>
      <c r="AC3102" s="8"/>
      <c r="AD3102" s="8"/>
      <c r="AE3102" s="8"/>
      <c r="AF3102" s="8"/>
      <c r="AG3102" s="8"/>
      <c r="AH3102" s="8"/>
    </row>
    <row r="3103" spans="1:34" ht="13" customHeight="1">
      <c r="A3103" s="8" t="s">
        <v>16784</v>
      </c>
      <c r="B3103" s="16" t="s">
        <v>13480</v>
      </c>
      <c r="C3103" s="8" t="s">
        <v>20</v>
      </c>
      <c r="D3103" s="8" t="s">
        <v>85</v>
      </c>
      <c r="F3103" s="17">
        <v>41416</v>
      </c>
      <c r="G3103" s="8" t="s">
        <v>16785</v>
      </c>
      <c r="H3103" s="8" t="s">
        <v>1103</v>
      </c>
      <c r="I3103" s="8" t="s">
        <v>404</v>
      </c>
      <c r="J3103" s="16" t="s">
        <v>16786</v>
      </c>
      <c r="K3103" s="2" t="s">
        <v>1103</v>
      </c>
      <c r="L3103" s="8" t="s">
        <v>1104</v>
      </c>
      <c r="M3103" s="8" t="s">
        <v>27</v>
      </c>
      <c r="N3103" s="2" t="s">
        <v>16787</v>
      </c>
      <c r="O3103" s="8" t="s">
        <v>29</v>
      </c>
      <c r="P3103" s="8" t="s">
        <v>401</v>
      </c>
      <c r="Q3103" s="12" t="s">
        <v>16788</v>
      </c>
      <c r="R3103" s="8" t="s">
        <v>100</v>
      </c>
      <c r="S3103" s="7" t="s">
        <v>28</v>
      </c>
      <c r="T3103" s="6"/>
      <c r="U3103" s="8"/>
    </row>
    <row r="3104" spans="1:34" ht="13" customHeight="1">
      <c r="A3104" s="8" t="s">
        <v>3267</v>
      </c>
      <c r="B3104" s="16" t="s">
        <v>29</v>
      </c>
      <c r="C3104" s="8" t="s">
        <v>20</v>
      </c>
      <c r="D3104" s="8" t="s">
        <v>30</v>
      </c>
      <c r="F3104" s="17">
        <v>41416</v>
      </c>
      <c r="G3104" s="8" t="s">
        <v>21436</v>
      </c>
      <c r="H3104" s="8" t="s">
        <v>1103</v>
      </c>
      <c r="I3104" s="8" t="s">
        <v>404</v>
      </c>
      <c r="J3104" s="16" t="s">
        <v>16789</v>
      </c>
      <c r="K3104" s="2" t="s">
        <v>1103</v>
      </c>
      <c r="L3104" s="8" t="s">
        <v>1104</v>
      </c>
      <c r="M3104" s="8" t="s">
        <v>27</v>
      </c>
      <c r="N3104" s="2" t="s">
        <v>16790</v>
      </c>
      <c r="O3104" s="8" t="s">
        <v>1013</v>
      </c>
      <c r="P3104" s="8" t="s">
        <v>401</v>
      </c>
      <c r="Q3104" s="12" t="s">
        <v>16788</v>
      </c>
      <c r="R3104" s="8" t="s">
        <v>100</v>
      </c>
      <c r="S3104" s="7" t="s">
        <v>28</v>
      </c>
      <c r="T3104" s="6"/>
      <c r="U3104" s="8"/>
    </row>
    <row r="3105" spans="1:39" ht="13" customHeight="1">
      <c r="A3105" s="8" t="s">
        <v>16791</v>
      </c>
      <c r="B3105" s="16" t="s">
        <v>13587</v>
      </c>
      <c r="C3105" s="8" t="s">
        <v>20</v>
      </c>
      <c r="D3105" s="8" t="s">
        <v>37</v>
      </c>
      <c r="E3105" s="8" t="s">
        <v>16792</v>
      </c>
      <c r="F3105" s="17">
        <v>41416</v>
      </c>
      <c r="G3105" s="8" t="s">
        <v>16793</v>
      </c>
      <c r="H3105" s="8" t="s">
        <v>1063</v>
      </c>
      <c r="I3105" s="8" t="s">
        <v>62</v>
      </c>
      <c r="J3105" s="16" t="s">
        <v>16794</v>
      </c>
      <c r="K3105" s="2" t="s">
        <v>1064</v>
      </c>
      <c r="L3105" s="8" t="s">
        <v>405</v>
      </c>
      <c r="M3105" s="8" t="s">
        <v>27</v>
      </c>
      <c r="N3105" s="2" t="s">
        <v>16795</v>
      </c>
      <c r="O3105" s="8" t="s">
        <v>29</v>
      </c>
      <c r="P3105" s="8" t="s">
        <v>401</v>
      </c>
      <c r="Q3105" s="12" t="s">
        <v>16796</v>
      </c>
      <c r="R3105" s="8" t="s">
        <v>29</v>
      </c>
      <c r="S3105" s="7" t="s">
        <v>28</v>
      </c>
      <c r="T3105" s="6"/>
      <c r="U3105" s="8"/>
    </row>
    <row r="3106" spans="1:39" ht="13" customHeight="1">
      <c r="A3106" s="8" t="s">
        <v>16797</v>
      </c>
      <c r="B3106" s="16">
        <v>18</v>
      </c>
      <c r="C3106" s="8" t="s">
        <v>20</v>
      </c>
      <c r="D3106" s="8" t="s">
        <v>48</v>
      </c>
      <c r="F3106" s="17">
        <v>41415</v>
      </c>
      <c r="G3106" s="8" t="s">
        <v>16798</v>
      </c>
      <c r="H3106" s="8" t="s">
        <v>98</v>
      </c>
      <c r="I3106" s="8" t="s">
        <v>45</v>
      </c>
      <c r="J3106" s="16" t="s">
        <v>3016</v>
      </c>
      <c r="K3106" s="2" t="s">
        <v>98</v>
      </c>
      <c r="L3106" s="8" t="s">
        <v>99</v>
      </c>
      <c r="M3106" s="8" t="s">
        <v>27</v>
      </c>
      <c r="N3106" s="2" t="s">
        <v>16799</v>
      </c>
      <c r="O3106" s="8" t="s">
        <v>1013</v>
      </c>
      <c r="P3106" s="8" t="s">
        <v>401</v>
      </c>
      <c r="Q3106" s="12" t="s">
        <v>16800</v>
      </c>
      <c r="R3106" s="8" t="s">
        <v>100</v>
      </c>
      <c r="S3106" s="7" t="s">
        <v>28</v>
      </c>
      <c r="T3106" s="6"/>
      <c r="U3106" s="8"/>
    </row>
    <row r="3107" spans="1:39" ht="13" customHeight="1">
      <c r="A3107" s="8" t="s">
        <v>16809</v>
      </c>
      <c r="B3107" s="16" t="s">
        <v>15893</v>
      </c>
      <c r="C3107" s="8" t="s">
        <v>20</v>
      </c>
      <c r="D3107" s="8" t="s">
        <v>85</v>
      </c>
      <c r="E3107" s="8" t="s">
        <v>16810</v>
      </c>
      <c r="F3107" s="17">
        <v>41414</v>
      </c>
      <c r="G3107" s="8" t="s">
        <v>16811</v>
      </c>
      <c r="H3107" s="8" t="s">
        <v>3332</v>
      </c>
      <c r="I3107" s="8" t="s">
        <v>244</v>
      </c>
      <c r="J3107" s="16" t="s">
        <v>16812</v>
      </c>
      <c r="K3107" s="2" t="s">
        <v>16813</v>
      </c>
      <c r="L3107" s="8" t="s">
        <v>5085</v>
      </c>
      <c r="M3107" s="8" t="s">
        <v>27</v>
      </c>
      <c r="N3107" s="2" t="s">
        <v>16814</v>
      </c>
      <c r="O3107" s="8" t="s">
        <v>550</v>
      </c>
      <c r="P3107" s="8" t="s">
        <v>401</v>
      </c>
      <c r="Q3107" s="12" t="s">
        <v>16815</v>
      </c>
      <c r="R3107" s="8" t="s">
        <v>100</v>
      </c>
      <c r="S3107" s="7" t="s">
        <v>28</v>
      </c>
      <c r="T3107" s="6"/>
      <c r="U3107" s="8"/>
    </row>
    <row r="3108" spans="1:39" ht="13" customHeight="1">
      <c r="A3108" s="8" t="s">
        <v>16801</v>
      </c>
      <c r="B3108" s="16" t="s">
        <v>8817</v>
      </c>
      <c r="C3108" s="8" t="s">
        <v>20</v>
      </c>
      <c r="D3108" s="8" t="s">
        <v>85</v>
      </c>
      <c r="E3108" s="8" t="s">
        <v>16802</v>
      </c>
      <c r="F3108" s="17">
        <v>41414</v>
      </c>
      <c r="G3108" s="8" t="s">
        <v>16803</v>
      </c>
      <c r="H3108" s="8" t="s">
        <v>3382</v>
      </c>
      <c r="I3108" s="8" t="s">
        <v>244</v>
      </c>
      <c r="J3108" s="16" t="s">
        <v>16804</v>
      </c>
      <c r="K3108" s="2" t="s">
        <v>16805</v>
      </c>
      <c r="L3108" s="8" t="s">
        <v>16806</v>
      </c>
      <c r="M3108" s="8" t="s">
        <v>27</v>
      </c>
      <c r="N3108" s="2" t="s">
        <v>16807</v>
      </c>
      <c r="O3108" s="8" t="s">
        <v>550</v>
      </c>
      <c r="P3108" s="8" t="s">
        <v>401</v>
      </c>
      <c r="Q3108" s="12" t="s">
        <v>16808</v>
      </c>
      <c r="R3108" s="8" t="s">
        <v>29</v>
      </c>
      <c r="S3108" s="7" t="s">
        <v>28</v>
      </c>
      <c r="T3108" s="6"/>
      <c r="U3108" s="8"/>
      <c r="V3108" s="8"/>
      <c r="W3108" s="8"/>
      <c r="X3108" s="8"/>
    </row>
    <row r="3109" spans="1:39" ht="13" customHeight="1">
      <c r="A3109" s="8" t="s">
        <v>16816</v>
      </c>
      <c r="B3109" s="16">
        <v>28</v>
      </c>
      <c r="C3109" s="8" t="s">
        <v>20</v>
      </c>
      <c r="D3109" s="8" t="s">
        <v>48</v>
      </c>
      <c r="E3109" s="8" t="s">
        <v>16817</v>
      </c>
      <c r="F3109" s="17">
        <v>41414</v>
      </c>
      <c r="G3109" s="8" t="s">
        <v>16818</v>
      </c>
      <c r="H3109" s="8" t="s">
        <v>595</v>
      </c>
      <c r="I3109" s="8" t="s">
        <v>73</v>
      </c>
      <c r="J3109" s="16" t="s">
        <v>4768</v>
      </c>
      <c r="K3109" s="2" t="s">
        <v>596</v>
      </c>
      <c r="L3109" s="8" t="s">
        <v>597</v>
      </c>
      <c r="M3109" s="8" t="s">
        <v>27</v>
      </c>
      <c r="N3109" s="2" t="s">
        <v>16819</v>
      </c>
      <c r="O3109" s="8" t="s">
        <v>550</v>
      </c>
      <c r="P3109" s="8" t="s">
        <v>401</v>
      </c>
      <c r="Q3109" s="12" t="s">
        <v>16820</v>
      </c>
      <c r="R3109" s="8" t="s">
        <v>29</v>
      </c>
      <c r="S3109" s="7" t="s">
        <v>28</v>
      </c>
      <c r="T3109" s="6"/>
      <c r="U3109" s="8"/>
    </row>
    <row r="3110" spans="1:39" ht="13" customHeight="1">
      <c r="A3110" s="8" t="s">
        <v>16840</v>
      </c>
      <c r="C3110" s="8" t="s">
        <v>20</v>
      </c>
      <c r="D3110" s="8" t="s">
        <v>85</v>
      </c>
      <c r="F3110" s="17">
        <v>41412</v>
      </c>
      <c r="G3110" s="8" t="s">
        <v>16841</v>
      </c>
      <c r="H3110" s="8" t="s">
        <v>1195</v>
      </c>
      <c r="I3110" s="8" t="s">
        <v>319</v>
      </c>
      <c r="J3110" s="16">
        <v>38116</v>
      </c>
      <c r="K3110" s="2" t="s">
        <v>1196</v>
      </c>
      <c r="L3110" s="8" t="s">
        <v>1197</v>
      </c>
      <c r="M3110" s="8" t="s">
        <v>379</v>
      </c>
      <c r="N3110" s="2" t="s">
        <v>16842</v>
      </c>
      <c r="O3110" s="8" t="s">
        <v>8814</v>
      </c>
      <c r="P3110" s="8" t="s">
        <v>1162</v>
      </c>
      <c r="Q3110" s="12" t="str">
        <f>HYPERLINK("http://wreg.com/2013/05/30/funeral-escort-riders-say-farewell-to-one-of-their-own/","http://wreg.com/2013/05/30/funeral-escort-riders-say-farewell-to-one-of-their-own/")</f>
        <v>http://wreg.com/2013/05/30/funeral-escort-riders-say-farewell-to-one-of-their-own/</v>
      </c>
      <c r="R3110" s="8" t="s">
        <v>100</v>
      </c>
      <c r="S3110" s="7" t="s">
        <v>28</v>
      </c>
      <c r="T3110" s="6"/>
      <c r="U3110" s="8"/>
    </row>
    <row r="3111" spans="1:39" ht="13" customHeight="1">
      <c r="A3111" s="8" t="s">
        <v>16821</v>
      </c>
      <c r="B3111" s="16" t="s">
        <v>10931</v>
      </c>
      <c r="C3111" s="8" t="s">
        <v>20</v>
      </c>
      <c r="D3111" s="8" t="s">
        <v>85</v>
      </c>
      <c r="E3111" s="8" t="s">
        <v>16822</v>
      </c>
      <c r="F3111" s="17">
        <v>41412</v>
      </c>
      <c r="G3111" s="8" t="s">
        <v>16823</v>
      </c>
      <c r="H3111" s="8" t="s">
        <v>16824</v>
      </c>
      <c r="I3111" s="8" t="s">
        <v>981</v>
      </c>
      <c r="J3111" s="16" t="s">
        <v>16825</v>
      </c>
      <c r="K3111" s="2" t="s">
        <v>982</v>
      </c>
      <c r="L3111" s="8" t="s">
        <v>16826</v>
      </c>
      <c r="M3111" s="8" t="s">
        <v>27</v>
      </c>
      <c r="N3111" s="2" t="s">
        <v>16827</v>
      </c>
      <c r="O3111" s="8" t="s">
        <v>550</v>
      </c>
      <c r="P3111" s="8" t="s">
        <v>401</v>
      </c>
      <c r="Q3111" s="12" t="s">
        <v>16828</v>
      </c>
      <c r="R3111" s="8" t="s">
        <v>100</v>
      </c>
      <c r="S3111" s="7" t="s">
        <v>28</v>
      </c>
      <c r="T3111" s="6"/>
      <c r="U3111" s="8"/>
    </row>
    <row r="3112" spans="1:39" ht="13" customHeight="1">
      <c r="A3112" s="8" t="s">
        <v>16829</v>
      </c>
      <c r="B3112" s="16" t="s">
        <v>13573</v>
      </c>
      <c r="C3112" s="8" t="s">
        <v>20</v>
      </c>
      <c r="D3112" s="8" t="s">
        <v>85</v>
      </c>
      <c r="F3112" s="17">
        <v>41412</v>
      </c>
      <c r="G3112" s="8" t="s">
        <v>16830</v>
      </c>
      <c r="H3112" s="8" t="s">
        <v>8939</v>
      </c>
      <c r="I3112" s="8" t="s">
        <v>45</v>
      </c>
      <c r="J3112" s="16" t="s">
        <v>16831</v>
      </c>
      <c r="K3112" s="2" t="s">
        <v>98</v>
      </c>
      <c r="L3112" s="8" t="s">
        <v>8941</v>
      </c>
      <c r="M3112" s="8" t="s">
        <v>27</v>
      </c>
      <c r="N3112" s="2" t="s">
        <v>16832</v>
      </c>
      <c r="O3112" s="8" t="s">
        <v>29</v>
      </c>
      <c r="P3112" s="8" t="s">
        <v>401</v>
      </c>
      <c r="Q3112" s="12" t="s">
        <v>16833</v>
      </c>
      <c r="R3112" s="8" t="s">
        <v>100</v>
      </c>
      <c r="S3112" s="7" t="s">
        <v>28</v>
      </c>
      <c r="T3112" s="6"/>
      <c r="U3112" s="8"/>
    </row>
    <row r="3113" spans="1:39" ht="13" customHeight="1">
      <c r="A3113" s="8" t="s">
        <v>16834</v>
      </c>
      <c r="B3113" s="16">
        <v>50</v>
      </c>
      <c r="C3113" s="8" t="s">
        <v>20</v>
      </c>
      <c r="D3113" s="8" t="s">
        <v>85</v>
      </c>
      <c r="E3113" s="8" t="s">
        <v>16835</v>
      </c>
      <c r="F3113" s="17">
        <v>41412</v>
      </c>
      <c r="G3113" s="8" t="s">
        <v>16836</v>
      </c>
      <c r="H3113" s="8" t="s">
        <v>98</v>
      </c>
      <c r="I3113" s="8" t="s">
        <v>45</v>
      </c>
      <c r="J3113" s="16" t="s">
        <v>16837</v>
      </c>
      <c r="K3113" s="2" t="s">
        <v>98</v>
      </c>
      <c r="L3113" s="8" t="s">
        <v>414</v>
      </c>
      <c r="M3113" s="8" t="s">
        <v>27</v>
      </c>
      <c r="N3113" s="2" t="s">
        <v>16838</v>
      </c>
      <c r="O3113" s="8" t="s">
        <v>29</v>
      </c>
      <c r="P3113" s="8" t="s">
        <v>401</v>
      </c>
      <c r="Q3113" s="12" t="s">
        <v>16839</v>
      </c>
      <c r="R3113" s="8" t="s">
        <v>100</v>
      </c>
      <c r="S3113" s="7" t="s">
        <v>28</v>
      </c>
      <c r="T3113" s="6"/>
      <c r="U3113" s="8"/>
    </row>
    <row r="3114" spans="1:39" ht="13" customHeight="1">
      <c r="A3114" s="8" t="s">
        <v>16843</v>
      </c>
      <c r="B3114" s="16" t="s">
        <v>8532</v>
      </c>
      <c r="C3114" s="8" t="s">
        <v>20</v>
      </c>
      <c r="D3114" s="8" t="s">
        <v>37</v>
      </c>
      <c r="E3114" s="8" t="s">
        <v>16844</v>
      </c>
      <c r="F3114" s="17">
        <v>41412</v>
      </c>
      <c r="G3114" s="8" t="s">
        <v>16845</v>
      </c>
      <c r="H3114" s="8" t="s">
        <v>12546</v>
      </c>
      <c r="I3114" s="8" t="s">
        <v>1086</v>
      </c>
      <c r="J3114" s="16" t="s">
        <v>16846</v>
      </c>
      <c r="K3114" s="2" t="s">
        <v>16847</v>
      </c>
      <c r="L3114" s="8" t="s">
        <v>16848</v>
      </c>
      <c r="M3114" s="8" t="s">
        <v>27</v>
      </c>
      <c r="N3114" s="2" t="s">
        <v>16849</v>
      </c>
      <c r="O3114" s="8" t="s">
        <v>29</v>
      </c>
      <c r="P3114" s="8" t="s">
        <v>401</v>
      </c>
      <c r="Q3114" s="12" t="s">
        <v>16850</v>
      </c>
      <c r="R3114" s="8" t="s">
        <v>29</v>
      </c>
      <c r="S3114" s="7" t="s">
        <v>28</v>
      </c>
      <c r="T3114" s="6"/>
      <c r="U3114" s="8"/>
    </row>
    <row r="3115" spans="1:39" ht="13" customHeight="1">
      <c r="A3115" s="8" t="s">
        <v>16851</v>
      </c>
      <c r="B3115" s="16" t="s">
        <v>13480</v>
      </c>
      <c r="C3115" s="8" t="s">
        <v>20</v>
      </c>
      <c r="D3115" s="8" t="s">
        <v>21</v>
      </c>
      <c r="F3115" s="17">
        <v>41411</v>
      </c>
      <c r="G3115" s="8" t="s">
        <v>16852</v>
      </c>
      <c r="H3115" s="8" t="s">
        <v>16853</v>
      </c>
      <c r="I3115" s="8" t="s">
        <v>45</v>
      </c>
      <c r="J3115" s="16" t="s">
        <v>16854</v>
      </c>
      <c r="K3115" s="2" t="s">
        <v>98</v>
      </c>
      <c r="L3115" s="8" t="s">
        <v>16855</v>
      </c>
      <c r="M3115" s="8" t="s">
        <v>27</v>
      </c>
      <c r="N3115" s="2" t="s">
        <v>16856</v>
      </c>
      <c r="O3115" s="8" t="s">
        <v>29</v>
      </c>
      <c r="P3115" s="8" t="s">
        <v>401</v>
      </c>
      <c r="Q3115" s="12" t="s">
        <v>16857</v>
      </c>
      <c r="R3115" s="8" t="s">
        <v>100</v>
      </c>
      <c r="S3115" s="7" t="s">
        <v>28</v>
      </c>
      <c r="T3115" s="6"/>
      <c r="U3115" s="8"/>
      <c r="Y3115" s="8"/>
      <c r="Z3115" s="8"/>
      <c r="AA3115" s="8"/>
      <c r="AB3115" s="8"/>
      <c r="AC3115" s="8"/>
      <c r="AD3115" s="8"/>
      <c r="AE3115" s="8"/>
      <c r="AF3115" s="8"/>
      <c r="AG3115" s="8"/>
      <c r="AH3115" s="8"/>
      <c r="AI3115" s="8"/>
      <c r="AJ3115" s="8"/>
      <c r="AK3115" s="8"/>
      <c r="AL3115" s="8"/>
      <c r="AM3115" s="8"/>
    </row>
    <row r="3116" spans="1:39" ht="13" customHeight="1">
      <c r="A3116" s="8" t="s">
        <v>16858</v>
      </c>
      <c r="B3116" s="16">
        <v>30</v>
      </c>
      <c r="C3116" s="8" t="s">
        <v>20</v>
      </c>
      <c r="D3116" s="8" t="s">
        <v>85</v>
      </c>
      <c r="E3116" s="8" t="s">
        <v>16859</v>
      </c>
      <c r="F3116" s="17">
        <v>41411</v>
      </c>
      <c r="G3116" s="8" t="s">
        <v>16860</v>
      </c>
      <c r="H3116" s="8" t="s">
        <v>16861</v>
      </c>
      <c r="I3116" s="8" t="s">
        <v>423</v>
      </c>
      <c r="J3116" s="16" t="s">
        <v>16862</v>
      </c>
      <c r="K3116" s="2" t="s">
        <v>5624</v>
      </c>
      <c r="L3116" s="8" t="s">
        <v>16863</v>
      </c>
      <c r="M3116" s="8" t="s">
        <v>27</v>
      </c>
      <c r="N3116" s="2" t="s">
        <v>16864</v>
      </c>
      <c r="O3116" s="8" t="s">
        <v>550</v>
      </c>
      <c r="P3116" s="8" t="s">
        <v>401</v>
      </c>
      <c r="Q3116" s="12" t="s">
        <v>16865</v>
      </c>
      <c r="R3116" s="8" t="s">
        <v>100</v>
      </c>
      <c r="S3116" s="7" t="s">
        <v>28</v>
      </c>
      <c r="T3116" s="6"/>
      <c r="U3116" s="8"/>
    </row>
    <row r="3117" spans="1:39" ht="13" customHeight="1">
      <c r="A3117" s="8" t="s">
        <v>16873</v>
      </c>
      <c r="B3117" s="16" t="s">
        <v>16025</v>
      </c>
      <c r="C3117" s="8" t="s">
        <v>114</v>
      </c>
      <c r="D3117" s="8" t="s">
        <v>48</v>
      </c>
      <c r="E3117" s="8" t="s">
        <v>16874</v>
      </c>
      <c r="F3117" s="17">
        <v>41411</v>
      </c>
      <c r="G3117" s="8" t="s">
        <v>16860</v>
      </c>
      <c r="H3117" s="8" t="s">
        <v>16861</v>
      </c>
      <c r="I3117" s="8" t="s">
        <v>423</v>
      </c>
      <c r="J3117" s="16" t="s">
        <v>16862</v>
      </c>
      <c r="K3117" s="2" t="s">
        <v>5624</v>
      </c>
      <c r="L3117" s="8" t="s">
        <v>16863</v>
      </c>
      <c r="M3117" s="8" t="s">
        <v>27</v>
      </c>
      <c r="N3117" s="2" t="s">
        <v>16875</v>
      </c>
      <c r="O3117" s="8" t="s">
        <v>550</v>
      </c>
      <c r="P3117" s="8" t="s">
        <v>401</v>
      </c>
      <c r="Q3117" s="12" t="s">
        <v>16876</v>
      </c>
      <c r="R3117" s="8" t="s">
        <v>100</v>
      </c>
      <c r="S3117" s="7" t="s">
        <v>28</v>
      </c>
      <c r="T3117" s="6"/>
      <c r="U3117" s="8"/>
    </row>
    <row r="3118" spans="1:39" ht="13" customHeight="1">
      <c r="A3118" s="8" t="s">
        <v>16866</v>
      </c>
      <c r="B3118" s="16">
        <v>44</v>
      </c>
      <c r="C3118" s="8" t="s">
        <v>20</v>
      </c>
      <c r="D3118" s="8" t="s">
        <v>48</v>
      </c>
      <c r="E3118" s="8" t="s">
        <v>16867</v>
      </c>
      <c r="F3118" s="17">
        <v>41411</v>
      </c>
      <c r="G3118" s="8" t="s">
        <v>16868</v>
      </c>
      <c r="H3118" s="8" t="s">
        <v>16869</v>
      </c>
      <c r="I3118" s="8" t="s">
        <v>45</v>
      </c>
      <c r="J3118" s="16" t="s">
        <v>16870</v>
      </c>
      <c r="K3118" s="2" t="s">
        <v>98</v>
      </c>
      <c r="L3118" s="8" t="s">
        <v>16871</v>
      </c>
      <c r="M3118" s="8" t="s">
        <v>6092</v>
      </c>
      <c r="N3118" s="2" t="s">
        <v>21658</v>
      </c>
      <c r="O3118" s="8" t="s">
        <v>1013</v>
      </c>
      <c r="P3118" s="8" t="s">
        <v>401</v>
      </c>
      <c r="Q3118" s="12" t="s">
        <v>16872</v>
      </c>
      <c r="R3118" s="8" t="s">
        <v>100</v>
      </c>
      <c r="S3118" s="7" t="s">
        <v>28</v>
      </c>
      <c r="T3118" s="6"/>
      <c r="U3118" s="8"/>
    </row>
    <row r="3119" spans="1:39" ht="13" customHeight="1">
      <c r="A3119" s="8" t="s">
        <v>16882</v>
      </c>
      <c r="B3119" s="16">
        <v>33</v>
      </c>
      <c r="C3119" s="8" t="s">
        <v>114</v>
      </c>
      <c r="D3119" s="8" t="s">
        <v>37</v>
      </c>
      <c r="E3119" s="8" t="s">
        <v>16883</v>
      </c>
      <c r="F3119" s="17">
        <v>41411</v>
      </c>
      <c r="G3119" s="8" t="s">
        <v>16884</v>
      </c>
      <c r="H3119" s="8" t="s">
        <v>151</v>
      </c>
      <c r="I3119" s="8" t="s">
        <v>366</v>
      </c>
      <c r="J3119" s="16" t="s">
        <v>16885</v>
      </c>
      <c r="K3119" s="2" t="s">
        <v>693</v>
      </c>
      <c r="L3119" s="8" t="s">
        <v>16886</v>
      </c>
      <c r="M3119" s="8" t="s">
        <v>27</v>
      </c>
      <c r="N3119" s="2" t="s">
        <v>16887</v>
      </c>
      <c r="O3119" s="8" t="s">
        <v>4714</v>
      </c>
      <c r="P3119" s="8" t="s">
        <v>401</v>
      </c>
      <c r="Q3119" s="12" t="s">
        <v>16888</v>
      </c>
      <c r="R3119" s="8" t="s">
        <v>100</v>
      </c>
      <c r="S3119" s="7" t="s">
        <v>28</v>
      </c>
      <c r="T3119" s="6"/>
      <c r="U3119" s="8"/>
    </row>
    <row r="3120" spans="1:39" ht="13" customHeight="1">
      <c r="A3120" s="8" t="s">
        <v>16877</v>
      </c>
      <c r="B3120" s="16">
        <v>43</v>
      </c>
      <c r="C3120" s="8" t="s">
        <v>20</v>
      </c>
      <c r="D3120" s="8" t="s">
        <v>37</v>
      </c>
      <c r="E3120" s="8" t="s">
        <v>16878</v>
      </c>
      <c r="F3120" s="17">
        <v>41411</v>
      </c>
      <c r="G3120" s="8" t="s">
        <v>16879</v>
      </c>
      <c r="H3120" s="8" t="s">
        <v>2165</v>
      </c>
      <c r="I3120" s="8" t="s">
        <v>438</v>
      </c>
      <c r="J3120" s="16">
        <v>53704</v>
      </c>
      <c r="K3120" s="2" t="s">
        <v>9821</v>
      </c>
      <c r="L3120" s="8" t="s">
        <v>3863</v>
      </c>
      <c r="M3120" s="8" t="s">
        <v>27</v>
      </c>
      <c r="N3120" s="2" t="s">
        <v>16880</v>
      </c>
      <c r="O3120" s="8" t="s">
        <v>550</v>
      </c>
      <c r="P3120" s="8" t="s">
        <v>401</v>
      </c>
      <c r="Q3120" s="12" t="s">
        <v>16881</v>
      </c>
      <c r="R3120" s="8" t="s">
        <v>555</v>
      </c>
      <c r="S3120" s="7" t="s">
        <v>28</v>
      </c>
      <c r="T3120" s="6"/>
      <c r="U3120" s="8"/>
    </row>
    <row r="3121" spans="1:21" ht="13" customHeight="1">
      <c r="A3121" s="8" t="s">
        <v>16895</v>
      </c>
      <c r="B3121" s="16">
        <v>25</v>
      </c>
      <c r="C3121" s="8" t="s">
        <v>20</v>
      </c>
      <c r="D3121" s="8" t="s">
        <v>85</v>
      </c>
      <c r="F3121" s="17">
        <v>41410</v>
      </c>
      <c r="G3121" s="8" t="s">
        <v>16896</v>
      </c>
      <c r="H3121" s="8" t="s">
        <v>15841</v>
      </c>
      <c r="I3121" s="8" t="s">
        <v>45</v>
      </c>
      <c r="J3121" s="16" t="s">
        <v>7959</v>
      </c>
      <c r="K3121" s="2" t="s">
        <v>98</v>
      </c>
      <c r="L3121" s="8" t="s">
        <v>99</v>
      </c>
      <c r="M3121" s="8" t="s">
        <v>27</v>
      </c>
      <c r="N3121" s="2" t="s">
        <v>16897</v>
      </c>
      <c r="O3121" s="8" t="s">
        <v>400</v>
      </c>
      <c r="P3121" s="8" t="s">
        <v>401</v>
      </c>
      <c r="Q3121" s="12" t="s">
        <v>16898</v>
      </c>
      <c r="R3121" s="8" t="s">
        <v>29</v>
      </c>
      <c r="S3121" s="7" t="s">
        <v>28</v>
      </c>
      <c r="T3121" s="6"/>
      <c r="U3121" s="8"/>
    </row>
    <row r="3122" spans="1:21" ht="13" customHeight="1">
      <c r="A3122" s="8" t="s">
        <v>16889</v>
      </c>
      <c r="B3122" s="16">
        <v>34</v>
      </c>
      <c r="C3122" s="8" t="s">
        <v>20</v>
      </c>
      <c r="D3122" s="8" t="s">
        <v>85</v>
      </c>
      <c r="E3122" s="8" t="s">
        <v>16890</v>
      </c>
      <c r="F3122" s="17">
        <v>41410</v>
      </c>
      <c r="G3122" s="8" t="s">
        <v>16891</v>
      </c>
      <c r="H3122" s="8" t="s">
        <v>929</v>
      </c>
      <c r="I3122" s="8" t="s">
        <v>73</v>
      </c>
      <c r="J3122" s="16" t="s">
        <v>16892</v>
      </c>
      <c r="K3122" s="2" t="s">
        <v>74</v>
      </c>
      <c r="L3122" s="8" t="s">
        <v>930</v>
      </c>
      <c r="M3122" s="8" t="s">
        <v>391</v>
      </c>
      <c r="N3122" s="2" t="s">
        <v>16893</v>
      </c>
      <c r="O3122" s="8" t="s">
        <v>1013</v>
      </c>
      <c r="P3122" s="8" t="s">
        <v>401</v>
      </c>
      <c r="Q3122" s="12" t="s">
        <v>16894</v>
      </c>
      <c r="R3122" s="8" t="s">
        <v>100</v>
      </c>
      <c r="S3122" s="7" t="s">
        <v>28</v>
      </c>
      <c r="T3122" s="6"/>
      <c r="U3122" s="8"/>
    </row>
    <row r="3123" spans="1:21" ht="13" customHeight="1">
      <c r="A3123" s="8" t="s">
        <v>16899</v>
      </c>
      <c r="B3123" s="16" t="s">
        <v>15893</v>
      </c>
      <c r="C3123" s="8" t="s">
        <v>20</v>
      </c>
      <c r="D3123" s="8" t="s">
        <v>30</v>
      </c>
      <c r="F3123" s="17">
        <v>41410</v>
      </c>
      <c r="G3123" s="8" t="s">
        <v>16900</v>
      </c>
      <c r="H3123" s="8" t="s">
        <v>561</v>
      </c>
      <c r="I3123" s="8" t="s">
        <v>123</v>
      </c>
      <c r="J3123" s="16" t="s">
        <v>16901</v>
      </c>
      <c r="K3123" s="2" t="s">
        <v>562</v>
      </c>
      <c r="L3123" s="8" t="s">
        <v>563</v>
      </c>
      <c r="M3123" s="8" t="s">
        <v>27</v>
      </c>
      <c r="N3123" s="2" t="s">
        <v>16902</v>
      </c>
      <c r="O3123" s="8" t="s">
        <v>29</v>
      </c>
      <c r="P3123" s="8" t="s">
        <v>401</v>
      </c>
      <c r="Q3123" s="12" t="s">
        <v>16903</v>
      </c>
      <c r="R3123" s="8" t="s">
        <v>100</v>
      </c>
      <c r="S3123" s="7" t="s">
        <v>28</v>
      </c>
      <c r="T3123" s="6"/>
      <c r="U3123" s="8"/>
    </row>
    <row r="3124" spans="1:21" ht="13" customHeight="1">
      <c r="A3124" s="8" t="s">
        <v>16904</v>
      </c>
      <c r="B3124" s="16" t="s">
        <v>16025</v>
      </c>
      <c r="C3124" s="8" t="s">
        <v>20</v>
      </c>
      <c r="D3124" s="8" t="s">
        <v>37</v>
      </c>
      <c r="E3124" s="8" t="s">
        <v>16905</v>
      </c>
      <c r="F3124" s="17">
        <v>41410</v>
      </c>
      <c r="G3124" s="8" t="s">
        <v>16906</v>
      </c>
      <c r="H3124" s="8" t="s">
        <v>16907</v>
      </c>
      <c r="I3124" s="8" t="s">
        <v>303</v>
      </c>
      <c r="J3124" s="16" t="s">
        <v>16908</v>
      </c>
      <c r="K3124" s="2" t="s">
        <v>841</v>
      </c>
      <c r="L3124" s="8" t="s">
        <v>842</v>
      </c>
      <c r="M3124" s="8" t="s">
        <v>27</v>
      </c>
      <c r="N3124" s="2" t="s">
        <v>16909</v>
      </c>
      <c r="O3124" s="8" t="s">
        <v>550</v>
      </c>
      <c r="P3124" s="8" t="s">
        <v>401</v>
      </c>
      <c r="Q3124" s="12" t="s">
        <v>16910</v>
      </c>
      <c r="R3124" s="8" t="s">
        <v>100</v>
      </c>
      <c r="S3124" s="7" t="s">
        <v>28</v>
      </c>
      <c r="T3124" s="6"/>
      <c r="U3124" s="8"/>
    </row>
    <row r="3125" spans="1:21" ht="13" customHeight="1">
      <c r="A3125" s="8" t="s">
        <v>16911</v>
      </c>
      <c r="B3125" s="16" t="s">
        <v>15879</v>
      </c>
      <c r="C3125" s="8" t="s">
        <v>20</v>
      </c>
      <c r="D3125" s="8" t="s">
        <v>37</v>
      </c>
      <c r="E3125" s="8" t="s">
        <v>16912</v>
      </c>
      <c r="F3125" s="17">
        <v>41410</v>
      </c>
      <c r="G3125" s="8" t="s">
        <v>16913</v>
      </c>
      <c r="H3125" s="8" t="s">
        <v>204</v>
      </c>
      <c r="I3125" s="8" t="s">
        <v>69</v>
      </c>
      <c r="J3125" s="16" t="s">
        <v>16914</v>
      </c>
      <c r="K3125" s="2" t="s">
        <v>3485</v>
      </c>
      <c r="L3125" s="8" t="s">
        <v>16915</v>
      </c>
      <c r="M3125" s="8" t="s">
        <v>27</v>
      </c>
      <c r="N3125" s="2" t="s">
        <v>16916</v>
      </c>
      <c r="O3125" s="8" t="s">
        <v>29</v>
      </c>
      <c r="P3125" s="8" t="s">
        <v>401</v>
      </c>
      <c r="Q3125" s="12" t="s">
        <v>16917</v>
      </c>
      <c r="R3125" s="8" t="s">
        <v>100</v>
      </c>
      <c r="S3125" s="7" t="s">
        <v>28</v>
      </c>
      <c r="T3125" s="6"/>
      <c r="U3125" s="8"/>
    </row>
    <row r="3126" spans="1:21" ht="13" customHeight="1">
      <c r="A3126" s="8" t="s">
        <v>16918</v>
      </c>
      <c r="B3126" s="16" t="s">
        <v>16025</v>
      </c>
      <c r="C3126" s="8" t="s">
        <v>114</v>
      </c>
      <c r="D3126" s="8" t="s">
        <v>85</v>
      </c>
      <c r="E3126" s="8" t="s">
        <v>16919</v>
      </c>
      <c r="F3126" s="17">
        <v>41409</v>
      </c>
      <c r="G3126" s="8" t="s">
        <v>16920</v>
      </c>
      <c r="H3126" s="8" t="s">
        <v>16921</v>
      </c>
      <c r="I3126" s="8" t="s">
        <v>69</v>
      </c>
      <c r="J3126" s="16" t="s">
        <v>16922</v>
      </c>
      <c r="K3126" s="2" t="s">
        <v>1291</v>
      </c>
      <c r="L3126" s="8" t="s">
        <v>12628</v>
      </c>
      <c r="M3126" s="8" t="s">
        <v>27</v>
      </c>
      <c r="N3126" s="2" t="s">
        <v>16923</v>
      </c>
      <c r="O3126" s="8" t="s">
        <v>29</v>
      </c>
      <c r="P3126" s="8" t="s">
        <v>401</v>
      </c>
      <c r="Q3126" s="12" t="s">
        <v>16924</v>
      </c>
      <c r="R3126" s="8" t="s">
        <v>100</v>
      </c>
      <c r="S3126" s="7" t="s">
        <v>28</v>
      </c>
      <c r="T3126" s="6"/>
      <c r="U3126" s="8"/>
    </row>
    <row r="3127" spans="1:21" ht="13" customHeight="1">
      <c r="A3127" s="8" t="s">
        <v>16925</v>
      </c>
      <c r="B3127" s="16" t="s">
        <v>10061</v>
      </c>
      <c r="C3127" s="8" t="s">
        <v>20</v>
      </c>
      <c r="D3127" s="8" t="s">
        <v>85</v>
      </c>
      <c r="E3127" s="8" t="s">
        <v>16926</v>
      </c>
      <c r="F3127" s="17">
        <v>41409</v>
      </c>
      <c r="G3127" s="8" t="s">
        <v>16920</v>
      </c>
      <c r="H3127" s="8" t="s">
        <v>16921</v>
      </c>
      <c r="I3127" s="8" t="s">
        <v>69</v>
      </c>
      <c r="J3127" s="16" t="s">
        <v>16922</v>
      </c>
      <c r="K3127" s="2" t="s">
        <v>1291</v>
      </c>
      <c r="L3127" s="8" t="s">
        <v>12628</v>
      </c>
      <c r="M3127" s="8" t="s">
        <v>27</v>
      </c>
      <c r="N3127" s="2" t="s">
        <v>16927</v>
      </c>
      <c r="O3127" s="8" t="s">
        <v>29</v>
      </c>
      <c r="P3127" s="8" t="s">
        <v>401</v>
      </c>
      <c r="Q3127" s="12" t="s">
        <v>16924</v>
      </c>
      <c r="R3127" s="8" t="s">
        <v>100</v>
      </c>
      <c r="S3127" s="7" t="s">
        <v>28</v>
      </c>
      <c r="T3127" s="6"/>
      <c r="U3127" s="8"/>
    </row>
    <row r="3128" spans="1:21" ht="13" customHeight="1">
      <c r="A3128" s="8" t="s">
        <v>16928</v>
      </c>
      <c r="B3128" s="16" t="s">
        <v>16037</v>
      </c>
      <c r="C3128" s="8" t="s">
        <v>20</v>
      </c>
      <c r="D3128" s="8" t="s">
        <v>85</v>
      </c>
      <c r="E3128" s="8" t="s">
        <v>16929</v>
      </c>
      <c r="F3128" s="17">
        <v>41409</v>
      </c>
      <c r="G3128" s="8" t="s">
        <v>16930</v>
      </c>
      <c r="H3128" s="8" t="s">
        <v>4209</v>
      </c>
      <c r="I3128" s="8" t="s">
        <v>46</v>
      </c>
      <c r="J3128" s="16" t="s">
        <v>16931</v>
      </c>
      <c r="K3128" s="2" t="s">
        <v>8982</v>
      </c>
      <c r="L3128" s="8" t="s">
        <v>4212</v>
      </c>
      <c r="M3128" s="8" t="s">
        <v>27</v>
      </c>
      <c r="N3128" s="2" t="s">
        <v>16932</v>
      </c>
      <c r="O3128" s="8" t="s">
        <v>29</v>
      </c>
      <c r="P3128" s="8" t="s">
        <v>401</v>
      </c>
      <c r="Q3128" s="12" t="s">
        <v>16933</v>
      </c>
      <c r="R3128" s="8" t="s">
        <v>100</v>
      </c>
      <c r="S3128" s="7" t="s">
        <v>28</v>
      </c>
      <c r="T3128" s="6"/>
      <c r="U3128" s="8"/>
    </row>
    <row r="3129" spans="1:21" ht="13" customHeight="1">
      <c r="A3129" s="8" t="s">
        <v>16934</v>
      </c>
      <c r="B3129" s="16">
        <v>52</v>
      </c>
      <c r="C3129" s="8" t="s">
        <v>20</v>
      </c>
      <c r="D3129" s="8" t="s">
        <v>48</v>
      </c>
      <c r="F3129" s="17">
        <v>41409</v>
      </c>
      <c r="G3129" s="8" t="s">
        <v>16935</v>
      </c>
      <c r="H3129" s="8" t="s">
        <v>852</v>
      </c>
      <c r="I3129" s="8" t="s">
        <v>41</v>
      </c>
      <c r="J3129" s="16" t="s">
        <v>16936</v>
      </c>
      <c r="K3129" s="2" t="s">
        <v>852</v>
      </c>
      <c r="L3129" s="8" t="s">
        <v>853</v>
      </c>
      <c r="M3129" s="8" t="s">
        <v>27</v>
      </c>
      <c r="N3129" s="2" t="s">
        <v>16937</v>
      </c>
      <c r="O3129" s="8" t="s">
        <v>1013</v>
      </c>
      <c r="P3129" s="8" t="s">
        <v>401</v>
      </c>
      <c r="Q3129" s="12" t="s">
        <v>16938</v>
      </c>
      <c r="R3129" s="8" t="s">
        <v>29</v>
      </c>
      <c r="S3129" s="7" t="s">
        <v>28</v>
      </c>
      <c r="T3129" s="6"/>
      <c r="U3129" s="8"/>
    </row>
    <row r="3130" spans="1:21" ht="13" customHeight="1">
      <c r="A3130" s="8" t="s">
        <v>16939</v>
      </c>
      <c r="B3130" s="16">
        <v>37</v>
      </c>
      <c r="C3130" s="8" t="s">
        <v>20</v>
      </c>
      <c r="D3130" s="8" t="s">
        <v>48</v>
      </c>
      <c r="F3130" s="17">
        <v>41408</v>
      </c>
      <c r="G3130" s="8" t="s">
        <v>16940</v>
      </c>
      <c r="H3130" s="8" t="s">
        <v>6463</v>
      </c>
      <c r="I3130" s="8" t="s">
        <v>45</v>
      </c>
      <c r="J3130" s="16" t="s">
        <v>13302</v>
      </c>
      <c r="K3130" s="2" t="s">
        <v>98</v>
      </c>
      <c r="L3130" s="8" t="s">
        <v>5014</v>
      </c>
      <c r="M3130" s="8" t="s">
        <v>27</v>
      </c>
      <c r="N3130" s="2" t="s">
        <v>16941</v>
      </c>
      <c r="O3130" s="8" t="s">
        <v>1013</v>
      </c>
      <c r="P3130" s="8" t="s">
        <v>401</v>
      </c>
      <c r="Q3130" s="12" t="s">
        <v>16942</v>
      </c>
      <c r="R3130" s="8" t="s">
        <v>29</v>
      </c>
      <c r="S3130" s="7" t="s">
        <v>28</v>
      </c>
      <c r="T3130" s="6"/>
      <c r="U3130" s="8"/>
    </row>
    <row r="3131" spans="1:21" ht="13" customHeight="1">
      <c r="A3131" s="8" t="s">
        <v>16943</v>
      </c>
      <c r="B3131" s="16" t="s">
        <v>16018</v>
      </c>
      <c r="C3131" s="8" t="s">
        <v>20</v>
      </c>
      <c r="D3131" s="8" t="s">
        <v>37</v>
      </c>
      <c r="E3131" s="8" t="s">
        <v>16944</v>
      </c>
      <c r="F3131" s="17">
        <v>41408</v>
      </c>
      <c r="G3131" s="8" t="s">
        <v>16945</v>
      </c>
      <c r="H3131" s="8" t="s">
        <v>1301</v>
      </c>
      <c r="I3131" s="8" t="s">
        <v>209</v>
      </c>
      <c r="J3131" s="16" t="s">
        <v>16946</v>
      </c>
      <c r="K3131" s="2" t="s">
        <v>1301</v>
      </c>
      <c r="L3131" s="8" t="s">
        <v>1302</v>
      </c>
      <c r="M3131" s="8" t="s">
        <v>27</v>
      </c>
      <c r="N3131" s="2" t="s">
        <v>16947</v>
      </c>
      <c r="O3131" s="8" t="s">
        <v>29</v>
      </c>
      <c r="P3131" s="8" t="s">
        <v>401</v>
      </c>
      <c r="Q3131" s="12" t="s">
        <v>16948</v>
      </c>
      <c r="R3131" s="8" t="s">
        <v>555</v>
      </c>
      <c r="S3131" s="7" t="s">
        <v>28</v>
      </c>
      <c r="T3131" s="6"/>
      <c r="U3131" s="8"/>
    </row>
    <row r="3132" spans="1:21" ht="13" customHeight="1">
      <c r="A3132" s="8" t="s">
        <v>16949</v>
      </c>
      <c r="B3132" s="16" t="s">
        <v>10160</v>
      </c>
      <c r="C3132" s="8" t="s">
        <v>20</v>
      </c>
      <c r="D3132" s="8" t="s">
        <v>37</v>
      </c>
      <c r="E3132" s="8" t="s">
        <v>16950</v>
      </c>
      <c r="F3132" s="17">
        <v>41408</v>
      </c>
      <c r="G3132" s="8" t="s">
        <v>16951</v>
      </c>
      <c r="H3132" s="8" t="s">
        <v>10232</v>
      </c>
      <c r="I3132" s="8" t="s">
        <v>62</v>
      </c>
      <c r="J3132" s="16" t="s">
        <v>16952</v>
      </c>
      <c r="K3132" s="2" t="s">
        <v>640</v>
      </c>
      <c r="L3132" s="8" t="s">
        <v>641</v>
      </c>
      <c r="M3132" s="8" t="s">
        <v>27</v>
      </c>
      <c r="N3132" s="2" t="s">
        <v>16953</v>
      </c>
      <c r="O3132" s="8" t="s">
        <v>29</v>
      </c>
      <c r="P3132" s="8" t="s">
        <v>401</v>
      </c>
      <c r="Q3132" s="12" t="s">
        <v>16954</v>
      </c>
      <c r="R3132" s="8" t="s">
        <v>100</v>
      </c>
      <c r="S3132" s="7" t="s">
        <v>28</v>
      </c>
      <c r="T3132" s="6"/>
      <c r="U3132" s="8"/>
    </row>
    <row r="3133" spans="1:21" ht="13" customHeight="1">
      <c r="A3133" s="8" t="s">
        <v>16955</v>
      </c>
      <c r="B3133" s="16" t="s">
        <v>11124</v>
      </c>
      <c r="C3133" s="8" t="s">
        <v>20</v>
      </c>
      <c r="D3133" s="8" t="s">
        <v>37</v>
      </c>
      <c r="E3133" s="8" t="s">
        <v>16956</v>
      </c>
      <c r="F3133" s="17">
        <v>41407</v>
      </c>
      <c r="G3133" s="8" t="s">
        <v>16957</v>
      </c>
      <c r="H3133" s="8" t="s">
        <v>14588</v>
      </c>
      <c r="I3133" s="8" t="s">
        <v>173</v>
      </c>
      <c r="J3133" s="16" t="s">
        <v>14589</v>
      </c>
      <c r="K3133" s="2" t="s">
        <v>1328</v>
      </c>
      <c r="L3133" s="8" t="s">
        <v>1329</v>
      </c>
      <c r="M3133" s="8" t="s">
        <v>27</v>
      </c>
      <c r="N3133" s="2" t="s">
        <v>16958</v>
      </c>
      <c r="O3133" s="8" t="s">
        <v>29</v>
      </c>
      <c r="P3133" s="8" t="s">
        <v>401</v>
      </c>
      <c r="Q3133" s="12" t="s">
        <v>16959</v>
      </c>
      <c r="R3133" s="8" t="s">
        <v>967</v>
      </c>
      <c r="S3133" s="7" t="s">
        <v>28</v>
      </c>
      <c r="T3133" s="6"/>
      <c r="U3133" s="8"/>
    </row>
    <row r="3134" spans="1:21" ht="13" customHeight="1">
      <c r="A3134" s="8" t="s">
        <v>16960</v>
      </c>
      <c r="B3134" s="16" t="s">
        <v>11124</v>
      </c>
      <c r="C3134" s="8" t="s">
        <v>20</v>
      </c>
      <c r="D3134" s="8" t="s">
        <v>85</v>
      </c>
      <c r="E3134" s="8" t="s">
        <v>16961</v>
      </c>
      <c r="F3134" s="17">
        <v>41406</v>
      </c>
      <c r="G3134" s="8" t="s">
        <v>16962</v>
      </c>
      <c r="H3134" s="8" t="s">
        <v>2106</v>
      </c>
      <c r="I3134" s="8" t="s">
        <v>81</v>
      </c>
      <c r="J3134" s="16" t="s">
        <v>16963</v>
      </c>
      <c r="K3134" s="2" t="s">
        <v>2914</v>
      </c>
      <c r="L3134" s="8" t="s">
        <v>16964</v>
      </c>
      <c r="M3134" s="8" t="s">
        <v>27</v>
      </c>
      <c r="N3134" s="2" t="s">
        <v>16965</v>
      </c>
      <c r="O3134" s="8" t="s">
        <v>29</v>
      </c>
      <c r="P3134" s="8" t="s">
        <v>401</v>
      </c>
      <c r="Q3134" s="12" t="s">
        <v>16966</v>
      </c>
      <c r="R3134" s="8" t="s">
        <v>555</v>
      </c>
      <c r="S3134" s="7" t="s">
        <v>28</v>
      </c>
      <c r="T3134" s="6"/>
      <c r="U3134" s="8"/>
    </row>
    <row r="3135" spans="1:21" ht="13" customHeight="1">
      <c r="A3135" s="8" t="s">
        <v>16974</v>
      </c>
      <c r="B3135" s="16" t="s">
        <v>13493</v>
      </c>
      <c r="C3135" s="8" t="s">
        <v>20</v>
      </c>
      <c r="D3135" s="8" t="s">
        <v>30</v>
      </c>
      <c r="F3135" s="17">
        <v>41406</v>
      </c>
      <c r="G3135" s="8" t="s">
        <v>16975</v>
      </c>
      <c r="H3135" s="8" t="s">
        <v>16976</v>
      </c>
      <c r="I3135" s="8" t="s">
        <v>431</v>
      </c>
      <c r="J3135" s="16" t="s">
        <v>16977</v>
      </c>
      <c r="K3135" s="2" t="s">
        <v>712</v>
      </c>
      <c r="L3135" s="8" t="s">
        <v>7201</v>
      </c>
      <c r="M3135" s="8" t="s">
        <v>27</v>
      </c>
      <c r="N3135" s="2" t="s">
        <v>16978</v>
      </c>
      <c r="O3135" s="8" t="s">
        <v>29</v>
      </c>
      <c r="P3135" s="8" t="s">
        <v>401</v>
      </c>
      <c r="Q3135" s="12" t="s">
        <v>16979</v>
      </c>
      <c r="R3135" s="8" t="s">
        <v>100</v>
      </c>
      <c r="S3135" s="7" t="s">
        <v>28</v>
      </c>
      <c r="T3135" s="6"/>
      <c r="U3135" s="8"/>
    </row>
    <row r="3136" spans="1:21" ht="13" customHeight="1">
      <c r="A3136" s="8" t="s">
        <v>16967</v>
      </c>
      <c r="B3136" s="16">
        <v>40</v>
      </c>
      <c r="C3136" s="8" t="s">
        <v>114</v>
      </c>
      <c r="D3136" s="8" t="s">
        <v>30</v>
      </c>
      <c r="F3136" s="17">
        <v>41406</v>
      </c>
      <c r="G3136" s="8" t="s">
        <v>16968</v>
      </c>
      <c r="H3136" s="8" t="s">
        <v>16969</v>
      </c>
      <c r="I3136" s="8" t="s">
        <v>303</v>
      </c>
      <c r="J3136" s="16" t="s">
        <v>16970</v>
      </c>
      <c r="K3136" s="2" t="s">
        <v>2155</v>
      </c>
      <c r="L3136" s="8" t="s">
        <v>16971</v>
      </c>
      <c r="M3136" s="8" t="s">
        <v>379</v>
      </c>
      <c r="N3136" s="2" t="s">
        <v>16972</v>
      </c>
      <c r="O3136" s="8" t="s">
        <v>1013</v>
      </c>
      <c r="P3136" s="8" t="s">
        <v>401</v>
      </c>
      <c r="Q3136" s="12" t="s">
        <v>16973</v>
      </c>
      <c r="R3136" s="8" t="s">
        <v>100</v>
      </c>
      <c r="S3136" s="7" t="s">
        <v>28</v>
      </c>
      <c r="T3136" s="6"/>
      <c r="U3136" s="8"/>
    </row>
    <row r="3137" spans="1:21" ht="13" customHeight="1">
      <c r="A3137" s="8" t="s">
        <v>16980</v>
      </c>
      <c r="B3137" s="16">
        <v>28</v>
      </c>
      <c r="C3137" s="8" t="s">
        <v>114</v>
      </c>
      <c r="D3137" s="8" t="s">
        <v>37</v>
      </c>
      <c r="E3137" s="8" t="s">
        <v>16981</v>
      </c>
      <c r="F3137" s="17">
        <v>41406</v>
      </c>
      <c r="G3137" s="8" t="s">
        <v>16982</v>
      </c>
      <c r="H3137" s="8" t="s">
        <v>16983</v>
      </c>
      <c r="I3137" s="8" t="s">
        <v>303</v>
      </c>
      <c r="J3137" s="16" t="s">
        <v>16984</v>
      </c>
      <c r="K3137" s="2" t="s">
        <v>1911</v>
      </c>
      <c r="L3137" s="8" t="s">
        <v>16985</v>
      </c>
      <c r="M3137" s="8" t="s">
        <v>391</v>
      </c>
      <c r="N3137" s="2" t="s">
        <v>16986</v>
      </c>
      <c r="O3137" s="8" t="s">
        <v>550</v>
      </c>
      <c r="P3137" s="8" t="s">
        <v>401</v>
      </c>
      <c r="Q3137" s="12" t="s">
        <v>16987</v>
      </c>
      <c r="R3137" s="8" t="s">
        <v>967</v>
      </c>
      <c r="S3137" s="7" t="s">
        <v>28</v>
      </c>
      <c r="T3137" s="6"/>
      <c r="U3137" s="8"/>
    </row>
    <row r="3138" spans="1:21" ht="13" customHeight="1">
      <c r="A3138" s="8" t="s">
        <v>16988</v>
      </c>
      <c r="B3138" s="16" t="s">
        <v>13982</v>
      </c>
      <c r="C3138" s="8" t="s">
        <v>20</v>
      </c>
      <c r="D3138" s="8" t="s">
        <v>48</v>
      </c>
      <c r="E3138" s="8" t="s">
        <v>16989</v>
      </c>
      <c r="F3138" s="17">
        <v>41405</v>
      </c>
      <c r="G3138" s="8" t="s">
        <v>16990</v>
      </c>
      <c r="H3138" s="8" t="s">
        <v>16991</v>
      </c>
      <c r="I3138" s="8" t="s">
        <v>45</v>
      </c>
      <c r="J3138" s="16" t="s">
        <v>16992</v>
      </c>
      <c r="K3138" s="2" t="s">
        <v>98</v>
      </c>
      <c r="L3138" s="8" t="s">
        <v>5014</v>
      </c>
      <c r="M3138" s="8" t="s">
        <v>27</v>
      </c>
      <c r="N3138" s="2" t="s">
        <v>16993</v>
      </c>
      <c r="O3138" s="8" t="s">
        <v>550</v>
      </c>
      <c r="P3138" s="8" t="s">
        <v>401</v>
      </c>
      <c r="Q3138" s="12" t="s">
        <v>16994</v>
      </c>
      <c r="R3138" s="8" t="s">
        <v>100</v>
      </c>
      <c r="S3138" s="7" t="s">
        <v>28</v>
      </c>
      <c r="T3138" s="6"/>
      <c r="U3138" s="8"/>
    </row>
    <row r="3139" spans="1:21" ht="13" customHeight="1">
      <c r="A3139" s="8" t="s">
        <v>16995</v>
      </c>
      <c r="B3139" s="16">
        <v>28</v>
      </c>
      <c r="C3139" s="8" t="s">
        <v>20</v>
      </c>
      <c r="D3139" s="8" t="s">
        <v>37</v>
      </c>
      <c r="E3139" s="8" t="s">
        <v>16996</v>
      </c>
      <c r="F3139" s="17">
        <v>41405</v>
      </c>
      <c r="G3139" s="8" t="s">
        <v>16997</v>
      </c>
      <c r="H3139" s="8" t="s">
        <v>16998</v>
      </c>
      <c r="I3139" s="8" t="s">
        <v>463</v>
      </c>
      <c r="J3139" s="16" t="s">
        <v>16999</v>
      </c>
      <c r="K3139" s="2" t="s">
        <v>1867</v>
      </c>
      <c r="L3139" s="8" t="s">
        <v>17000</v>
      </c>
      <c r="M3139" s="8" t="s">
        <v>27</v>
      </c>
      <c r="N3139" s="2" t="s">
        <v>17001</v>
      </c>
      <c r="O3139" s="8" t="s">
        <v>1013</v>
      </c>
      <c r="P3139" s="8" t="s">
        <v>401</v>
      </c>
      <c r="Q3139" s="12" t="s">
        <v>17002</v>
      </c>
      <c r="R3139" s="8" t="s">
        <v>100</v>
      </c>
      <c r="S3139" s="7" t="s">
        <v>28</v>
      </c>
      <c r="T3139" s="6"/>
      <c r="U3139" s="8"/>
    </row>
    <row r="3140" spans="1:21" ht="13" customHeight="1">
      <c r="A3140" s="8" t="s">
        <v>17003</v>
      </c>
      <c r="B3140" s="16" t="s">
        <v>15893</v>
      </c>
      <c r="C3140" s="8" t="s">
        <v>20</v>
      </c>
      <c r="D3140" s="8" t="s">
        <v>85</v>
      </c>
      <c r="E3140" s="8" t="s">
        <v>17004</v>
      </c>
      <c r="F3140" s="17">
        <v>41404</v>
      </c>
      <c r="G3140" s="8" t="s">
        <v>17005</v>
      </c>
      <c r="H3140" s="8" t="s">
        <v>6820</v>
      </c>
      <c r="I3140" s="8" t="s">
        <v>133</v>
      </c>
      <c r="J3140" s="16" t="s">
        <v>17006</v>
      </c>
      <c r="K3140" s="2" t="s">
        <v>1075</v>
      </c>
      <c r="L3140" s="8" t="s">
        <v>17007</v>
      </c>
      <c r="M3140" s="8" t="s">
        <v>27</v>
      </c>
      <c r="N3140" s="2" t="s">
        <v>17008</v>
      </c>
      <c r="O3140" s="8" t="s">
        <v>550</v>
      </c>
      <c r="P3140" s="8" t="s">
        <v>401</v>
      </c>
      <c r="Q3140" s="12" t="s">
        <v>17009</v>
      </c>
      <c r="R3140" s="8" t="s">
        <v>100</v>
      </c>
      <c r="S3140" s="7" t="s">
        <v>28</v>
      </c>
      <c r="T3140" s="6"/>
      <c r="U3140" s="8"/>
    </row>
    <row r="3141" spans="1:21" ht="13" customHeight="1">
      <c r="A3141" s="8" t="s">
        <v>17017</v>
      </c>
      <c r="B3141" s="16" t="s">
        <v>15112</v>
      </c>
      <c r="C3141" s="8" t="s">
        <v>20</v>
      </c>
      <c r="D3141" s="8" t="s">
        <v>48</v>
      </c>
      <c r="F3141" s="17">
        <v>41404</v>
      </c>
      <c r="G3141" s="8" t="s">
        <v>17018</v>
      </c>
      <c r="H3141" s="8" t="s">
        <v>7228</v>
      </c>
      <c r="I3141" s="8" t="s">
        <v>431</v>
      </c>
      <c r="J3141" s="16" t="s">
        <v>17019</v>
      </c>
      <c r="K3141" s="2" t="s">
        <v>712</v>
      </c>
      <c r="L3141" s="8" t="s">
        <v>19287</v>
      </c>
      <c r="M3141" s="8" t="s">
        <v>27</v>
      </c>
      <c r="N3141" s="2" t="s">
        <v>17020</v>
      </c>
      <c r="O3141" s="8" t="s">
        <v>29</v>
      </c>
      <c r="P3141" s="8" t="s">
        <v>401</v>
      </c>
      <c r="Q3141" s="12" t="s">
        <v>17021</v>
      </c>
      <c r="R3141" s="8" t="s">
        <v>100</v>
      </c>
      <c r="S3141" s="7" t="s">
        <v>28</v>
      </c>
      <c r="T3141" s="6"/>
      <c r="U3141" s="8"/>
    </row>
    <row r="3142" spans="1:21" ht="13" customHeight="1">
      <c r="A3142" s="8" t="s">
        <v>17010</v>
      </c>
      <c r="B3142" s="16" t="s">
        <v>10061</v>
      </c>
      <c r="C3142" s="8" t="s">
        <v>20</v>
      </c>
      <c r="D3142" s="8" t="s">
        <v>48</v>
      </c>
      <c r="E3142" s="8" t="s">
        <v>17011</v>
      </c>
      <c r="F3142" s="17">
        <v>41404</v>
      </c>
      <c r="G3142" s="8" t="s">
        <v>17012</v>
      </c>
      <c r="H3142" s="8" t="s">
        <v>6820</v>
      </c>
      <c r="I3142" s="8" t="s">
        <v>133</v>
      </c>
      <c r="J3142" s="16" t="s">
        <v>17013</v>
      </c>
      <c r="K3142" s="2" t="s">
        <v>1075</v>
      </c>
      <c r="L3142" s="8" t="s">
        <v>17007</v>
      </c>
      <c r="M3142" s="8" t="s">
        <v>379</v>
      </c>
      <c r="N3142" s="2" t="s">
        <v>17014</v>
      </c>
      <c r="O3142" s="8" t="s">
        <v>17015</v>
      </c>
      <c r="P3142" s="8" t="s">
        <v>401</v>
      </c>
      <c r="Q3142" s="12" t="s">
        <v>17016</v>
      </c>
      <c r="R3142" s="8" t="s">
        <v>100</v>
      </c>
      <c r="S3142" s="7" t="s">
        <v>28</v>
      </c>
      <c r="T3142" s="6"/>
      <c r="U3142" s="8"/>
    </row>
    <row r="3143" spans="1:21" ht="13" customHeight="1">
      <c r="A3143" s="8" t="s">
        <v>17022</v>
      </c>
      <c r="B3143" s="16" t="s">
        <v>8532</v>
      </c>
      <c r="C3143" s="8" t="s">
        <v>20</v>
      </c>
      <c r="D3143" s="8" t="s">
        <v>30</v>
      </c>
      <c r="F3143" s="17">
        <v>41404</v>
      </c>
      <c r="G3143" s="8" t="s">
        <v>17023</v>
      </c>
      <c r="H3143" s="8" t="s">
        <v>14130</v>
      </c>
      <c r="I3143" s="8" t="s">
        <v>217</v>
      </c>
      <c r="J3143" s="16" t="s">
        <v>14131</v>
      </c>
      <c r="K3143" s="2" t="s">
        <v>14132</v>
      </c>
      <c r="L3143" s="8" t="s">
        <v>405</v>
      </c>
      <c r="M3143" s="8" t="s">
        <v>27</v>
      </c>
      <c r="N3143" s="2" t="s">
        <v>17024</v>
      </c>
      <c r="O3143" s="8" t="s">
        <v>29</v>
      </c>
      <c r="P3143" s="8" t="s">
        <v>401</v>
      </c>
      <c r="Q3143" s="12" t="s">
        <v>17025</v>
      </c>
      <c r="R3143" s="8" t="s">
        <v>100</v>
      </c>
      <c r="S3143" s="7" t="s">
        <v>28</v>
      </c>
      <c r="T3143" s="6"/>
      <c r="U3143" s="8"/>
    </row>
    <row r="3144" spans="1:21" ht="13" customHeight="1">
      <c r="A3144" s="8" t="s">
        <v>17026</v>
      </c>
      <c r="B3144" s="16">
        <v>45</v>
      </c>
      <c r="C3144" s="8" t="s">
        <v>20</v>
      </c>
      <c r="D3144" s="8" t="s">
        <v>30</v>
      </c>
      <c r="F3144" s="17">
        <v>41404</v>
      </c>
      <c r="G3144" s="8" t="s">
        <v>17027</v>
      </c>
      <c r="H3144" s="8" t="s">
        <v>877</v>
      </c>
      <c r="I3144" s="8" t="s">
        <v>44</v>
      </c>
      <c r="J3144" s="16" t="s">
        <v>17028</v>
      </c>
      <c r="K3144" s="2" t="s">
        <v>17029</v>
      </c>
      <c r="L3144" s="8" t="s">
        <v>405</v>
      </c>
      <c r="M3144" s="8" t="s">
        <v>27</v>
      </c>
      <c r="N3144" s="2" t="s">
        <v>17030</v>
      </c>
      <c r="O3144" s="8" t="s">
        <v>550</v>
      </c>
      <c r="P3144" s="8" t="s">
        <v>401</v>
      </c>
      <c r="Q3144" s="12" t="s">
        <v>17031</v>
      </c>
      <c r="R3144" s="8" t="s">
        <v>100</v>
      </c>
      <c r="S3144" s="7" t="s">
        <v>28</v>
      </c>
      <c r="T3144" s="6"/>
      <c r="U3144" s="8"/>
    </row>
    <row r="3145" spans="1:21" ht="13" customHeight="1">
      <c r="A3145" s="8" t="s">
        <v>17032</v>
      </c>
      <c r="B3145" s="16" t="s">
        <v>16025</v>
      </c>
      <c r="C3145" s="8" t="s">
        <v>20</v>
      </c>
      <c r="D3145" s="8" t="s">
        <v>37</v>
      </c>
      <c r="E3145" s="8" t="s">
        <v>17033</v>
      </c>
      <c r="F3145" s="17">
        <v>41404</v>
      </c>
      <c r="G3145" s="8" t="s">
        <v>17034</v>
      </c>
      <c r="H3145" s="8" t="s">
        <v>881</v>
      </c>
      <c r="I3145" s="8" t="s">
        <v>45</v>
      </c>
      <c r="J3145" s="16" t="s">
        <v>4528</v>
      </c>
      <c r="K3145" s="2" t="s">
        <v>4529</v>
      </c>
      <c r="L3145" s="8" t="s">
        <v>6128</v>
      </c>
      <c r="M3145" s="8" t="s">
        <v>27</v>
      </c>
      <c r="N3145" s="2" t="s">
        <v>17035</v>
      </c>
      <c r="O3145" s="8" t="s">
        <v>29</v>
      </c>
      <c r="P3145" s="8" t="s">
        <v>401</v>
      </c>
      <c r="Q3145" s="12" t="s">
        <v>17036</v>
      </c>
      <c r="R3145" s="8" t="s">
        <v>100</v>
      </c>
      <c r="S3145" s="7" t="s">
        <v>28</v>
      </c>
      <c r="T3145" s="6"/>
      <c r="U3145" s="8"/>
    </row>
    <row r="3146" spans="1:21" ht="13" customHeight="1">
      <c r="A3146" s="8" t="s">
        <v>17037</v>
      </c>
      <c r="B3146" s="16" t="s">
        <v>11124</v>
      </c>
      <c r="C3146" s="8" t="s">
        <v>114</v>
      </c>
      <c r="D3146" s="8" t="s">
        <v>37</v>
      </c>
      <c r="E3146" s="8" t="s">
        <v>17038</v>
      </c>
      <c r="F3146" s="17">
        <v>41404</v>
      </c>
      <c r="G3146" s="8" t="s">
        <v>17039</v>
      </c>
      <c r="H3146" s="8" t="s">
        <v>595</v>
      </c>
      <c r="I3146" s="8" t="s">
        <v>73</v>
      </c>
      <c r="J3146" s="16" t="s">
        <v>4768</v>
      </c>
      <c r="K3146" s="2" t="s">
        <v>596</v>
      </c>
      <c r="L3146" s="8" t="s">
        <v>597</v>
      </c>
      <c r="M3146" s="8" t="s">
        <v>27</v>
      </c>
      <c r="N3146" s="2" t="s">
        <v>17040</v>
      </c>
      <c r="O3146" s="8" t="s">
        <v>29</v>
      </c>
      <c r="P3146" s="8" t="s">
        <v>401</v>
      </c>
      <c r="Q3146" s="12" t="s">
        <v>17041</v>
      </c>
      <c r="R3146" s="8" t="s">
        <v>550</v>
      </c>
      <c r="S3146" s="7" t="s">
        <v>28</v>
      </c>
      <c r="T3146" s="6"/>
      <c r="U3146" s="8"/>
    </row>
    <row r="3147" spans="1:21" ht="13" customHeight="1">
      <c r="A3147" s="8" t="s">
        <v>17042</v>
      </c>
      <c r="B3147" s="16">
        <v>38</v>
      </c>
      <c r="C3147" s="8" t="s">
        <v>20</v>
      </c>
      <c r="D3147" s="8" t="s">
        <v>85</v>
      </c>
      <c r="E3147" s="8" t="s">
        <v>17043</v>
      </c>
      <c r="F3147" s="17">
        <v>41403</v>
      </c>
      <c r="G3147" s="8" t="s">
        <v>17044</v>
      </c>
      <c r="H3147" s="8" t="s">
        <v>17045</v>
      </c>
      <c r="I3147" s="8" t="s">
        <v>62</v>
      </c>
      <c r="J3147" s="16" t="s">
        <v>17046</v>
      </c>
      <c r="K3147" s="2" t="s">
        <v>3916</v>
      </c>
      <c r="L3147" s="8" t="s">
        <v>17047</v>
      </c>
      <c r="M3147" s="8" t="s">
        <v>379</v>
      </c>
      <c r="N3147" s="2" t="s">
        <v>17048</v>
      </c>
      <c r="O3147" s="8" t="s">
        <v>550</v>
      </c>
      <c r="P3147" s="8" t="s">
        <v>401</v>
      </c>
      <c r="Q3147" s="12" t="s">
        <v>17049</v>
      </c>
      <c r="R3147" s="8" t="s">
        <v>100</v>
      </c>
      <c r="S3147" s="7" t="s">
        <v>28</v>
      </c>
      <c r="T3147" s="6"/>
      <c r="U3147" s="8"/>
    </row>
    <row r="3148" spans="1:21" ht="13" customHeight="1">
      <c r="A3148" s="8" t="s">
        <v>17050</v>
      </c>
      <c r="B3148" s="16">
        <v>58</v>
      </c>
      <c r="C3148" s="8" t="s">
        <v>20</v>
      </c>
      <c r="D3148" s="8" t="s">
        <v>48</v>
      </c>
      <c r="F3148" s="17">
        <v>41403</v>
      </c>
      <c r="G3148" s="8" t="s">
        <v>17051</v>
      </c>
      <c r="H3148" s="8" t="s">
        <v>7699</v>
      </c>
      <c r="I3148" s="8" t="s">
        <v>62</v>
      </c>
      <c r="J3148" s="16" t="s">
        <v>7700</v>
      </c>
      <c r="K3148" s="2" t="s">
        <v>51</v>
      </c>
      <c r="L3148" s="8" t="s">
        <v>17052</v>
      </c>
      <c r="M3148" s="8" t="s">
        <v>27</v>
      </c>
      <c r="N3148" s="2" t="s">
        <v>17053</v>
      </c>
      <c r="O3148" s="8" t="s">
        <v>550</v>
      </c>
      <c r="P3148" s="8" t="s">
        <v>401</v>
      </c>
      <c r="Q3148" s="12" t="s">
        <v>17054</v>
      </c>
      <c r="R3148" s="8" t="s">
        <v>100</v>
      </c>
      <c r="S3148" s="7" t="s">
        <v>28</v>
      </c>
      <c r="T3148" s="6"/>
      <c r="U3148" s="8"/>
    </row>
    <row r="3149" spans="1:21" ht="13" customHeight="1">
      <c r="A3149" s="8" t="s">
        <v>17055</v>
      </c>
      <c r="B3149" s="16" t="s">
        <v>10386</v>
      </c>
      <c r="C3149" s="8" t="s">
        <v>20</v>
      </c>
      <c r="D3149" s="8" t="s">
        <v>30</v>
      </c>
      <c r="F3149" s="17">
        <v>41403</v>
      </c>
      <c r="G3149" s="8" t="s">
        <v>17056</v>
      </c>
      <c r="H3149" s="8" t="s">
        <v>309</v>
      </c>
      <c r="I3149" s="8" t="s">
        <v>45</v>
      </c>
      <c r="J3149" s="16" t="s">
        <v>6109</v>
      </c>
      <c r="K3149" s="2" t="s">
        <v>309</v>
      </c>
      <c r="L3149" s="8" t="s">
        <v>17057</v>
      </c>
      <c r="M3149" s="8" t="s">
        <v>27</v>
      </c>
      <c r="N3149" s="2" t="s">
        <v>17058</v>
      </c>
      <c r="O3149" s="8" t="s">
        <v>29</v>
      </c>
      <c r="P3149" s="8" t="s">
        <v>401</v>
      </c>
      <c r="Q3149" s="12" t="s">
        <v>17059</v>
      </c>
      <c r="R3149" s="8" t="s">
        <v>100</v>
      </c>
      <c r="S3149" s="7" t="s">
        <v>28</v>
      </c>
      <c r="T3149" s="6"/>
      <c r="U3149" s="8"/>
    </row>
    <row r="3150" spans="1:21" ht="13" customHeight="1">
      <c r="A3150" s="8" t="s">
        <v>3267</v>
      </c>
      <c r="B3150" s="16">
        <v>21</v>
      </c>
      <c r="C3150" s="8" t="s">
        <v>20</v>
      </c>
      <c r="D3150" s="8" t="s">
        <v>30</v>
      </c>
      <c r="F3150" s="17">
        <v>41403</v>
      </c>
      <c r="G3150" s="8" t="s">
        <v>17060</v>
      </c>
      <c r="H3150" s="8" t="s">
        <v>1103</v>
      </c>
      <c r="I3150" s="8" t="s">
        <v>404</v>
      </c>
      <c r="J3150" s="16" t="s">
        <v>17061</v>
      </c>
      <c r="K3150" s="2" t="s">
        <v>1103</v>
      </c>
      <c r="L3150" s="8" t="s">
        <v>1104</v>
      </c>
      <c r="M3150" s="8" t="s">
        <v>27</v>
      </c>
      <c r="N3150" s="2" t="s">
        <v>17062</v>
      </c>
      <c r="O3150" s="8" t="s">
        <v>1013</v>
      </c>
      <c r="P3150" s="8" t="s">
        <v>401</v>
      </c>
      <c r="Q3150" s="12" t="s">
        <v>17063</v>
      </c>
      <c r="R3150" s="8" t="s">
        <v>100</v>
      </c>
      <c r="S3150" s="7" t="s">
        <v>28</v>
      </c>
      <c r="T3150" s="6"/>
      <c r="U3150" s="8"/>
    </row>
    <row r="3151" spans="1:21" ht="13" customHeight="1">
      <c r="A3151" s="8" t="s">
        <v>17064</v>
      </c>
      <c r="B3151" s="16">
        <v>54</v>
      </c>
      <c r="C3151" s="8" t="s">
        <v>114</v>
      </c>
      <c r="D3151" s="8" t="s">
        <v>85</v>
      </c>
      <c r="E3151" s="8" t="s">
        <v>17065</v>
      </c>
      <c r="F3151" s="17">
        <v>41402</v>
      </c>
      <c r="G3151" s="8" t="s">
        <v>17066</v>
      </c>
      <c r="H3151" s="8" t="s">
        <v>87</v>
      </c>
      <c r="I3151" s="8" t="s">
        <v>44</v>
      </c>
      <c r="J3151" s="16" t="s">
        <v>1681</v>
      </c>
      <c r="K3151" s="2" t="s">
        <v>88</v>
      </c>
      <c r="L3151" s="8" t="s">
        <v>89</v>
      </c>
      <c r="M3151" s="8" t="s">
        <v>379</v>
      </c>
      <c r="N3151" s="2" t="s">
        <v>17067</v>
      </c>
      <c r="O3151" s="8" t="s">
        <v>17068</v>
      </c>
      <c r="P3151" s="8" t="s">
        <v>1162</v>
      </c>
      <c r="Q3151" s="12" t="s">
        <v>17069</v>
      </c>
      <c r="R3151" s="8" t="s">
        <v>100</v>
      </c>
      <c r="S3151" s="7" t="s">
        <v>28</v>
      </c>
      <c r="T3151" s="6"/>
      <c r="U3151" s="8"/>
    </row>
    <row r="3152" spans="1:21" ht="13" customHeight="1">
      <c r="A3152" s="8" t="s">
        <v>3267</v>
      </c>
      <c r="B3152" s="16" t="s">
        <v>29</v>
      </c>
      <c r="C3152" s="8" t="s">
        <v>20</v>
      </c>
      <c r="D3152" s="8" t="s">
        <v>30</v>
      </c>
      <c r="F3152" s="17">
        <v>41402</v>
      </c>
      <c r="G3152" s="8" t="s">
        <v>17070</v>
      </c>
      <c r="H3152" s="8" t="s">
        <v>213</v>
      </c>
      <c r="I3152" s="8" t="s">
        <v>62</v>
      </c>
      <c r="J3152" s="16" t="s">
        <v>13392</v>
      </c>
      <c r="K3152" s="2" t="s">
        <v>161</v>
      </c>
      <c r="L3152" s="8" t="s">
        <v>162</v>
      </c>
      <c r="M3152" s="8" t="s">
        <v>27</v>
      </c>
      <c r="N3152" s="2" t="s">
        <v>17071</v>
      </c>
      <c r="O3152" s="8" t="s">
        <v>1013</v>
      </c>
      <c r="P3152" s="8" t="s">
        <v>401</v>
      </c>
      <c r="Q3152" s="12" t="s">
        <v>17072</v>
      </c>
      <c r="R3152" s="8" t="s">
        <v>100</v>
      </c>
      <c r="S3152" s="7" t="s">
        <v>28</v>
      </c>
      <c r="T3152" s="6"/>
      <c r="U3152" s="8"/>
    </row>
    <row r="3153" spans="1:39" ht="13" customHeight="1">
      <c r="A3153" s="8" t="s">
        <v>17081</v>
      </c>
      <c r="B3153" s="16">
        <v>33</v>
      </c>
      <c r="C3153" s="8" t="s">
        <v>20</v>
      </c>
      <c r="D3153" s="8" t="s">
        <v>37</v>
      </c>
      <c r="E3153" s="8" t="s">
        <v>17082</v>
      </c>
      <c r="F3153" s="17">
        <v>41402</v>
      </c>
      <c r="G3153" s="8" t="s">
        <v>17083</v>
      </c>
      <c r="H3153" s="8" t="s">
        <v>681</v>
      </c>
      <c r="I3153" s="8" t="s">
        <v>45</v>
      </c>
      <c r="J3153" s="16" t="s">
        <v>3265</v>
      </c>
      <c r="K3153" s="2" t="s">
        <v>682</v>
      </c>
      <c r="L3153" s="8" t="s">
        <v>750</v>
      </c>
      <c r="M3153" s="8" t="s">
        <v>3169</v>
      </c>
      <c r="N3153" s="2" t="s">
        <v>17084</v>
      </c>
      <c r="O3153" s="8" t="s">
        <v>550</v>
      </c>
      <c r="P3153" s="8" t="s">
        <v>401</v>
      </c>
      <c r="Q3153" s="12" t="s">
        <v>17085</v>
      </c>
      <c r="R3153" s="8" t="s">
        <v>100</v>
      </c>
      <c r="S3153" s="7" t="s">
        <v>28</v>
      </c>
      <c r="T3153" s="6"/>
      <c r="U3153" s="8"/>
    </row>
    <row r="3154" spans="1:39" ht="13" customHeight="1">
      <c r="A3154" s="8" t="s">
        <v>17073</v>
      </c>
      <c r="B3154" s="16" t="s">
        <v>13493</v>
      </c>
      <c r="C3154" s="8" t="s">
        <v>20</v>
      </c>
      <c r="D3154" s="8" t="s">
        <v>37</v>
      </c>
      <c r="E3154" s="8" t="s">
        <v>17074</v>
      </c>
      <c r="F3154" s="17">
        <v>41402</v>
      </c>
      <c r="G3154" s="8" t="s">
        <v>17075</v>
      </c>
      <c r="H3154" s="8" t="s">
        <v>17076</v>
      </c>
      <c r="I3154" s="8" t="s">
        <v>857</v>
      </c>
      <c r="J3154" s="16" t="s">
        <v>17077</v>
      </c>
      <c r="K3154" s="2" t="s">
        <v>15009</v>
      </c>
      <c r="L3154" s="8" t="s">
        <v>17078</v>
      </c>
      <c r="M3154" s="8" t="s">
        <v>27</v>
      </c>
      <c r="N3154" s="2" t="s">
        <v>17079</v>
      </c>
      <c r="O3154" s="8" t="s">
        <v>550</v>
      </c>
      <c r="P3154" s="8" t="s">
        <v>401</v>
      </c>
      <c r="Q3154" s="12" t="s">
        <v>17080</v>
      </c>
      <c r="R3154" s="8" t="s">
        <v>100</v>
      </c>
      <c r="S3154" s="7" t="s">
        <v>28</v>
      </c>
      <c r="T3154" s="6"/>
      <c r="U3154" s="8"/>
    </row>
    <row r="3155" spans="1:39" ht="13" customHeight="1">
      <c r="A3155" s="8" t="s">
        <v>17086</v>
      </c>
      <c r="B3155" s="16" t="s">
        <v>8771</v>
      </c>
      <c r="C3155" s="8" t="s">
        <v>114</v>
      </c>
      <c r="D3155" s="8" t="s">
        <v>85</v>
      </c>
      <c r="E3155" s="8" t="s">
        <v>17087</v>
      </c>
      <c r="F3155" s="17">
        <v>41401</v>
      </c>
      <c r="G3155" s="8" t="s">
        <v>17088</v>
      </c>
      <c r="H3155" s="8" t="s">
        <v>1596</v>
      </c>
      <c r="I3155" s="8" t="s">
        <v>52</v>
      </c>
      <c r="J3155" s="16" t="s">
        <v>2781</v>
      </c>
      <c r="K3155" s="2" t="s">
        <v>4727</v>
      </c>
      <c r="L3155" s="8" t="s">
        <v>2782</v>
      </c>
      <c r="M3155" s="8" t="s">
        <v>27</v>
      </c>
      <c r="N3155" s="2" t="s">
        <v>17089</v>
      </c>
      <c r="O3155" s="8" t="s">
        <v>615</v>
      </c>
      <c r="P3155" s="8" t="s">
        <v>401</v>
      </c>
      <c r="Q3155" s="12" t="s">
        <v>17090</v>
      </c>
      <c r="R3155" s="8" t="s">
        <v>100</v>
      </c>
      <c r="S3155" s="7" t="s">
        <v>28</v>
      </c>
      <c r="T3155" s="6"/>
      <c r="U3155" s="8"/>
    </row>
    <row r="3156" spans="1:39" ht="13" customHeight="1">
      <c r="A3156" s="8" t="s">
        <v>17091</v>
      </c>
      <c r="B3156" s="16" t="s">
        <v>16144</v>
      </c>
      <c r="C3156" s="8" t="s">
        <v>20</v>
      </c>
      <c r="D3156" s="8" t="s">
        <v>48</v>
      </c>
      <c r="E3156" s="8" t="s">
        <v>17092</v>
      </c>
      <c r="F3156" s="17">
        <v>41401</v>
      </c>
      <c r="G3156" s="8" t="s">
        <v>17093</v>
      </c>
      <c r="H3156" s="8" t="s">
        <v>12199</v>
      </c>
      <c r="I3156" s="8" t="s">
        <v>62</v>
      </c>
      <c r="J3156" s="16" t="s">
        <v>12200</v>
      </c>
      <c r="K3156" s="2" t="s">
        <v>1259</v>
      </c>
      <c r="L3156" s="8" t="s">
        <v>13627</v>
      </c>
      <c r="M3156" s="8" t="s">
        <v>27</v>
      </c>
      <c r="N3156" s="2" t="s">
        <v>17094</v>
      </c>
      <c r="O3156" s="8" t="s">
        <v>550</v>
      </c>
      <c r="P3156" s="8" t="s">
        <v>401</v>
      </c>
      <c r="Q3156" s="12" t="s">
        <v>17095</v>
      </c>
      <c r="R3156" s="8" t="s">
        <v>100</v>
      </c>
      <c r="S3156" s="7" t="s">
        <v>28</v>
      </c>
      <c r="T3156" s="6"/>
      <c r="U3156" s="8"/>
    </row>
    <row r="3157" spans="1:39" ht="13" customHeight="1">
      <c r="A3157" s="8" t="s">
        <v>17096</v>
      </c>
      <c r="B3157" s="16" t="s">
        <v>10931</v>
      </c>
      <c r="C3157" s="8" t="s">
        <v>20</v>
      </c>
      <c r="D3157" s="8" t="s">
        <v>48</v>
      </c>
      <c r="F3157" s="17">
        <v>41401</v>
      </c>
      <c r="G3157" s="8" t="s">
        <v>17097</v>
      </c>
      <c r="H3157" s="8" t="s">
        <v>213</v>
      </c>
      <c r="I3157" s="8" t="s">
        <v>62</v>
      </c>
      <c r="J3157" s="16" t="s">
        <v>13392</v>
      </c>
      <c r="K3157" s="2" t="s">
        <v>161</v>
      </c>
      <c r="L3157" s="8" t="s">
        <v>162</v>
      </c>
      <c r="M3157" s="8" t="s">
        <v>27</v>
      </c>
      <c r="N3157" s="2" t="s">
        <v>17098</v>
      </c>
      <c r="O3157" s="8" t="s">
        <v>29</v>
      </c>
      <c r="P3157" s="8" t="s">
        <v>401</v>
      </c>
      <c r="Q3157" s="12" t="s">
        <v>17099</v>
      </c>
      <c r="R3157" s="8" t="s">
        <v>100</v>
      </c>
      <c r="S3157" s="7" t="s">
        <v>28</v>
      </c>
      <c r="T3157" s="6"/>
      <c r="U3157" s="8"/>
    </row>
    <row r="3158" spans="1:39" ht="13" customHeight="1">
      <c r="A3158" s="8" t="s">
        <v>17100</v>
      </c>
      <c r="B3158" s="16">
        <v>32</v>
      </c>
      <c r="C3158" s="8" t="s">
        <v>20</v>
      </c>
      <c r="D3158" s="8" t="s">
        <v>21</v>
      </c>
      <c r="E3158" s="8" t="s">
        <v>17101</v>
      </c>
      <c r="F3158" s="17">
        <v>41400</v>
      </c>
      <c r="G3158" s="8" t="s">
        <v>17102</v>
      </c>
      <c r="H3158" s="8" t="s">
        <v>6428</v>
      </c>
      <c r="I3158" s="8" t="s">
        <v>45</v>
      </c>
      <c r="J3158" s="16" t="s">
        <v>6429</v>
      </c>
      <c r="K3158" s="2" t="s">
        <v>3442</v>
      </c>
      <c r="L3158" s="8" t="s">
        <v>6430</v>
      </c>
      <c r="M3158" s="8" t="s">
        <v>27</v>
      </c>
      <c r="N3158" s="2" t="s">
        <v>17103</v>
      </c>
      <c r="O3158" s="8" t="s">
        <v>29</v>
      </c>
      <c r="P3158" s="8" t="s">
        <v>401</v>
      </c>
      <c r="Q3158" s="12" t="s">
        <v>17104</v>
      </c>
      <c r="R3158" s="8" t="s">
        <v>555</v>
      </c>
      <c r="S3158" s="7" t="s">
        <v>28</v>
      </c>
      <c r="T3158" s="6"/>
      <c r="U3158" s="8"/>
      <c r="AI3158" s="8"/>
      <c r="AJ3158" s="8"/>
      <c r="AK3158" s="8"/>
      <c r="AL3158" s="8"/>
      <c r="AM3158" s="8"/>
    </row>
    <row r="3159" spans="1:39" ht="13" customHeight="1">
      <c r="A3159" s="8" t="s">
        <v>17110</v>
      </c>
      <c r="B3159" s="16">
        <v>17</v>
      </c>
      <c r="C3159" s="8" t="s">
        <v>20</v>
      </c>
      <c r="D3159" s="8" t="s">
        <v>85</v>
      </c>
      <c r="E3159" s="8" t="s">
        <v>17111</v>
      </c>
      <c r="F3159" s="17">
        <v>41399</v>
      </c>
      <c r="G3159" s="8" t="s">
        <v>17112</v>
      </c>
      <c r="H3159" s="8" t="s">
        <v>757</v>
      </c>
      <c r="I3159" s="8" t="s">
        <v>423</v>
      </c>
      <c r="J3159" s="16" t="s">
        <v>17113</v>
      </c>
      <c r="K3159" s="2" t="s">
        <v>1716</v>
      </c>
      <c r="L3159" s="8" t="s">
        <v>582</v>
      </c>
      <c r="M3159" s="8" t="s">
        <v>3169</v>
      </c>
      <c r="N3159" s="2" t="s">
        <v>17114</v>
      </c>
      <c r="O3159" s="8" t="s">
        <v>1013</v>
      </c>
      <c r="P3159" s="8" t="s">
        <v>401</v>
      </c>
      <c r="Q3159" s="12" t="s">
        <v>17115</v>
      </c>
      <c r="R3159" s="8" t="s">
        <v>100</v>
      </c>
      <c r="S3159" s="7" t="s">
        <v>28</v>
      </c>
      <c r="T3159" s="6"/>
      <c r="U3159" s="8"/>
    </row>
    <row r="3160" spans="1:39" ht="13" customHeight="1">
      <c r="A3160" s="8" t="s">
        <v>17105</v>
      </c>
      <c r="B3160" s="16" t="s">
        <v>16477</v>
      </c>
      <c r="C3160" s="8" t="s">
        <v>20</v>
      </c>
      <c r="D3160" s="8" t="s">
        <v>85</v>
      </c>
      <c r="E3160" s="8" t="s">
        <v>17106</v>
      </c>
      <c r="F3160" s="17">
        <v>41399</v>
      </c>
      <c r="G3160" s="8" t="s">
        <v>17107</v>
      </c>
      <c r="H3160" s="8" t="s">
        <v>87</v>
      </c>
      <c r="I3160" s="8" t="s">
        <v>44</v>
      </c>
      <c r="J3160" s="16" t="s">
        <v>16119</v>
      </c>
      <c r="K3160" s="2" t="s">
        <v>88</v>
      </c>
      <c r="L3160" s="8" t="s">
        <v>89</v>
      </c>
      <c r="M3160" s="8" t="s">
        <v>27</v>
      </c>
      <c r="N3160" s="2" t="s">
        <v>17108</v>
      </c>
      <c r="O3160" s="8" t="s">
        <v>29</v>
      </c>
      <c r="P3160" s="8" t="s">
        <v>401</v>
      </c>
      <c r="Q3160" s="12" t="s">
        <v>17109</v>
      </c>
      <c r="R3160" s="8" t="s">
        <v>555</v>
      </c>
      <c r="S3160" s="7" t="s">
        <v>28</v>
      </c>
      <c r="T3160" s="6"/>
      <c r="U3160" s="8"/>
    </row>
    <row r="3161" spans="1:39" ht="13" customHeight="1">
      <c r="A3161" s="8" t="s">
        <v>17116</v>
      </c>
      <c r="B3161" s="16" t="s">
        <v>16025</v>
      </c>
      <c r="C3161" s="8" t="s">
        <v>20</v>
      </c>
      <c r="D3161" s="8" t="s">
        <v>85</v>
      </c>
      <c r="E3161" s="8" t="s">
        <v>17117</v>
      </c>
      <c r="F3161" s="17">
        <v>41398</v>
      </c>
      <c r="G3161" s="8" t="s">
        <v>17118</v>
      </c>
      <c r="H3161" s="8" t="s">
        <v>1063</v>
      </c>
      <c r="I3161" s="8" t="s">
        <v>62</v>
      </c>
      <c r="J3161" s="16" t="s">
        <v>17119</v>
      </c>
      <c r="K3161" s="2" t="s">
        <v>1064</v>
      </c>
      <c r="L3161" s="8" t="s">
        <v>1065</v>
      </c>
      <c r="M3161" s="8" t="s">
        <v>27</v>
      </c>
      <c r="N3161" s="2" t="s">
        <v>17120</v>
      </c>
      <c r="O3161" s="8" t="s">
        <v>29</v>
      </c>
      <c r="P3161" s="8" t="s">
        <v>401</v>
      </c>
      <c r="Q3161" s="12" t="s">
        <v>17121</v>
      </c>
      <c r="R3161" s="8" t="s">
        <v>100</v>
      </c>
      <c r="S3161" s="7" t="s">
        <v>28</v>
      </c>
      <c r="T3161" s="6"/>
      <c r="U3161" s="8"/>
    </row>
    <row r="3162" spans="1:39" ht="13" customHeight="1">
      <c r="A3162" s="8" t="s">
        <v>17122</v>
      </c>
      <c r="B3162" s="16" t="s">
        <v>13493</v>
      </c>
      <c r="C3162" s="8" t="s">
        <v>20</v>
      </c>
      <c r="D3162" s="8" t="s">
        <v>48</v>
      </c>
      <c r="F3162" s="17">
        <v>41398</v>
      </c>
      <c r="G3162" s="8" t="s">
        <v>17123</v>
      </c>
      <c r="H3162" s="8" t="s">
        <v>11955</v>
      </c>
      <c r="I3162" s="8" t="s">
        <v>45</v>
      </c>
      <c r="J3162" s="16" t="s">
        <v>17124</v>
      </c>
      <c r="K3162" s="2" t="s">
        <v>156</v>
      </c>
      <c r="L3162" s="8" t="s">
        <v>17125</v>
      </c>
      <c r="M3162" s="8" t="s">
        <v>27</v>
      </c>
      <c r="N3162" s="2" t="s">
        <v>17126</v>
      </c>
      <c r="O3162" s="8" t="s">
        <v>29</v>
      </c>
      <c r="P3162" s="8" t="s">
        <v>401</v>
      </c>
      <c r="Q3162" s="12" t="s">
        <v>17127</v>
      </c>
      <c r="R3162" s="8" t="s">
        <v>555</v>
      </c>
      <c r="S3162" s="7" t="s">
        <v>28</v>
      </c>
      <c r="T3162" s="6"/>
      <c r="U3162" s="8"/>
    </row>
    <row r="3163" spans="1:39" ht="13" customHeight="1">
      <c r="A3163" s="8" t="s">
        <v>3267</v>
      </c>
      <c r="B3163" s="16" t="s">
        <v>29</v>
      </c>
      <c r="C3163" s="8" t="s">
        <v>20</v>
      </c>
      <c r="D3163" s="8" t="s">
        <v>30</v>
      </c>
      <c r="F3163" s="17">
        <v>41398</v>
      </c>
      <c r="G3163" s="8" t="s">
        <v>17128</v>
      </c>
      <c r="H3163" s="8" t="s">
        <v>213</v>
      </c>
      <c r="I3163" s="8" t="s">
        <v>62</v>
      </c>
      <c r="J3163" s="16" t="s">
        <v>17129</v>
      </c>
      <c r="K3163" s="2" t="s">
        <v>161</v>
      </c>
      <c r="L3163" s="8" t="s">
        <v>162</v>
      </c>
      <c r="M3163" s="8" t="s">
        <v>27</v>
      </c>
      <c r="N3163" s="2" t="s">
        <v>17130</v>
      </c>
      <c r="O3163" s="8" t="s">
        <v>2421</v>
      </c>
      <c r="P3163" s="8" t="s">
        <v>401</v>
      </c>
      <c r="Q3163" s="12" t="s">
        <v>17131</v>
      </c>
      <c r="R3163" s="8" t="s">
        <v>29</v>
      </c>
      <c r="S3163" s="7" t="s">
        <v>28</v>
      </c>
      <c r="T3163" s="6"/>
      <c r="U3163" s="8"/>
    </row>
    <row r="3164" spans="1:39" ht="13" customHeight="1">
      <c r="A3164" s="8" t="s">
        <v>17132</v>
      </c>
      <c r="B3164" s="16">
        <v>46</v>
      </c>
      <c r="C3164" s="8" t="s">
        <v>20</v>
      </c>
      <c r="D3164" s="8" t="s">
        <v>30</v>
      </c>
      <c r="F3164" s="17">
        <v>41398</v>
      </c>
      <c r="G3164" s="8" t="s">
        <v>17133</v>
      </c>
      <c r="H3164" s="8" t="s">
        <v>17134</v>
      </c>
      <c r="I3164" s="8" t="s">
        <v>244</v>
      </c>
      <c r="J3164" s="16" t="s">
        <v>17135</v>
      </c>
      <c r="K3164" s="2" t="s">
        <v>2414</v>
      </c>
      <c r="L3164" s="8" t="s">
        <v>17136</v>
      </c>
      <c r="M3164" s="8" t="s">
        <v>29</v>
      </c>
      <c r="N3164" s="2" t="s">
        <v>17137</v>
      </c>
      <c r="O3164" s="8" t="s">
        <v>400</v>
      </c>
      <c r="P3164" s="8" t="s">
        <v>401</v>
      </c>
      <c r="Q3164" s="12" t="s">
        <v>17138</v>
      </c>
      <c r="R3164" s="8" t="s">
        <v>555</v>
      </c>
      <c r="S3164" s="7" t="s">
        <v>28</v>
      </c>
      <c r="T3164" s="6"/>
      <c r="U3164" s="8"/>
    </row>
    <row r="3165" spans="1:39" ht="13" customHeight="1">
      <c r="A3165" s="8" t="s">
        <v>17139</v>
      </c>
      <c r="B3165" s="16" t="s">
        <v>13587</v>
      </c>
      <c r="C3165" s="8" t="s">
        <v>20</v>
      </c>
      <c r="D3165" s="8" t="s">
        <v>37</v>
      </c>
      <c r="F3165" s="17">
        <v>41397</v>
      </c>
      <c r="G3165" s="8" t="s">
        <v>17140</v>
      </c>
      <c r="H3165" s="8" t="s">
        <v>6002</v>
      </c>
      <c r="I3165" s="8" t="s">
        <v>117</v>
      </c>
      <c r="J3165" s="16" t="s">
        <v>17141</v>
      </c>
      <c r="K3165" s="2" t="s">
        <v>51</v>
      </c>
      <c r="L3165" s="8" t="s">
        <v>2055</v>
      </c>
      <c r="M3165" s="8" t="s">
        <v>27</v>
      </c>
      <c r="N3165" s="2" t="s">
        <v>17142</v>
      </c>
      <c r="O3165" s="8" t="s">
        <v>29</v>
      </c>
      <c r="P3165" s="8" t="s">
        <v>401</v>
      </c>
      <c r="Q3165" s="12" t="s">
        <v>17143</v>
      </c>
      <c r="R3165" s="8" t="s">
        <v>100</v>
      </c>
      <c r="S3165" s="7" t="s">
        <v>28</v>
      </c>
      <c r="T3165" s="6"/>
      <c r="U3165" s="8"/>
    </row>
    <row r="3166" spans="1:39" ht="13" customHeight="1">
      <c r="A3166" s="8" t="s">
        <v>17157</v>
      </c>
      <c r="B3166" s="16">
        <v>38</v>
      </c>
      <c r="C3166" s="8" t="s">
        <v>20</v>
      </c>
      <c r="D3166" s="8" t="s">
        <v>85</v>
      </c>
      <c r="E3166" s="8" t="s">
        <v>17158</v>
      </c>
      <c r="F3166" s="17">
        <v>41396</v>
      </c>
      <c r="G3166" s="8" t="s">
        <v>17159</v>
      </c>
      <c r="H3166" s="8" t="s">
        <v>1097</v>
      </c>
      <c r="I3166" s="8" t="s">
        <v>395</v>
      </c>
      <c r="J3166" s="16" t="s">
        <v>12267</v>
      </c>
      <c r="K3166" s="2" t="s">
        <v>1098</v>
      </c>
      <c r="L3166" s="8" t="s">
        <v>1099</v>
      </c>
      <c r="M3166" s="8" t="s">
        <v>8536</v>
      </c>
      <c r="N3166" s="2" t="s">
        <v>17160</v>
      </c>
      <c r="O3166" s="8" t="s">
        <v>400</v>
      </c>
      <c r="P3166" s="8" t="s">
        <v>401</v>
      </c>
      <c r="Q3166" s="12" t="s">
        <v>17161</v>
      </c>
      <c r="R3166" s="8" t="s">
        <v>555</v>
      </c>
      <c r="S3166" s="7" t="s">
        <v>28</v>
      </c>
      <c r="T3166" s="6"/>
      <c r="U3166" s="8"/>
    </row>
    <row r="3167" spans="1:39" ht="13" customHeight="1">
      <c r="A3167" s="8" t="s">
        <v>17151</v>
      </c>
      <c r="B3167" s="16" t="s">
        <v>15893</v>
      </c>
      <c r="C3167" s="8" t="s">
        <v>20</v>
      </c>
      <c r="D3167" s="8" t="s">
        <v>85</v>
      </c>
      <c r="E3167" s="8" t="s">
        <v>17152</v>
      </c>
      <c r="F3167" s="17">
        <v>41396</v>
      </c>
      <c r="G3167" s="8" t="s">
        <v>17153</v>
      </c>
      <c r="H3167" s="8" t="s">
        <v>1804</v>
      </c>
      <c r="I3167" s="8" t="s">
        <v>217</v>
      </c>
      <c r="J3167" s="16" t="s">
        <v>17154</v>
      </c>
      <c r="K3167" s="2" t="s">
        <v>1806</v>
      </c>
      <c r="L3167" s="8" t="s">
        <v>1807</v>
      </c>
      <c r="M3167" s="8" t="s">
        <v>27</v>
      </c>
      <c r="N3167" s="2" t="s">
        <v>17155</v>
      </c>
      <c r="O3167" s="8" t="s">
        <v>29</v>
      </c>
      <c r="P3167" s="8" t="s">
        <v>401</v>
      </c>
      <c r="Q3167" s="12" t="s">
        <v>17156</v>
      </c>
      <c r="R3167" s="8" t="s">
        <v>967</v>
      </c>
      <c r="S3167" s="7" t="s">
        <v>28</v>
      </c>
      <c r="T3167" s="6"/>
      <c r="U3167" s="8"/>
    </row>
    <row r="3168" spans="1:39" ht="13" customHeight="1">
      <c r="A3168" s="8" t="s">
        <v>17144</v>
      </c>
      <c r="B3168" s="16" t="s">
        <v>13493</v>
      </c>
      <c r="C3168" s="8" t="s">
        <v>20</v>
      </c>
      <c r="D3168" s="8" t="s">
        <v>85</v>
      </c>
      <c r="E3168" s="8" t="s">
        <v>17145</v>
      </c>
      <c r="F3168" s="17">
        <v>41396</v>
      </c>
      <c r="G3168" s="8" t="s">
        <v>17146</v>
      </c>
      <c r="H3168" s="8" t="s">
        <v>726</v>
      </c>
      <c r="I3168" s="8" t="s">
        <v>73</v>
      </c>
      <c r="J3168" s="16" t="s">
        <v>17147</v>
      </c>
      <c r="K3168" s="2" t="s">
        <v>558</v>
      </c>
      <c r="L3168" s="8" t="s">
        <v>17148</v>
      </c>
      <c r="M3168" s="8" t="s">
        <v>27</v>
      </c>
      <c r="N3168" s="2" t="s">
        <v>17149</v>
      </c>
      <c r="O3168" s="8" t="s">
        <v>615</v>
      </c>
      <c r="P3168" s="8" t="s">
        <v>401</v>
      </c>
      <c r="Q3168" s="12" t="s">
        <v>17150</v>
      </c>
      <c r="R3168" s="8" t="s">
        <v>555</v>
      </c>
      <c r="S3168" s="7" t="s">
        <v>28</v>
      </c>
      <c r="T3168" s="6"/>
      <c r="U3168" s="8"/>
    </row>
    <row r="3169" spans="1:21" ht="13" customHeight="1">
      <c r="A3169" s="8" t="s">
        <v>17162</v>
      </c>
      <c r="B3169" s="16" t="s">
        <v>9231</v>
      </c>
      <c r="C3169" s="8" t="s">
        <v>20</v>
      </c>
      <c r="D3169" s="8" t="s">
        <v>48</v>
      </c>
      <c r="F3169" s="17">
        <v>41396</v>
      </c>
      <c r="G3169" s="8" t="s">
        <v>17163</v>
      </c>
      <c r="H3169" s="8" t="s">
        <v>17164</v>
      </c>
      <c r="I3169" s="8" t="s">
        <v>423</v>
      </c>
      <c r="J3169" s="16" t="s">
        <v>17165</v>
      </c>
      <c r="K3169" s="2" t="s">
        <v>17164</v>
      </c>
      <c r="L3169" s="8" t="s">
        <v>17166</v>
      </c>
      <c r="M3169" s="8" t="s">
        <v>27</v>
      </c>
      <c r="N3169" s="2" t="s">
        <v>17167</v>
      </c>
      <c r="O3169" s="8" t="s">
        <v>29</v>
      </c>
      <c r="P3169" s="8" t="s">
        <v>401</v>
      </c>
      <c r="Q3169" s="12" t="s">
        <v>17168</v>
      </c>
      <c r="R3169" s="8" t="s">
        <v>29</v>
      </c>
      <c r="S3169" s="7" t="s">
        <v>28</v>
      </c>
      <c r="T3169" s="6"/>
      <c r="U3169" s="8"/>
    </row>
    <row r="3170" spans="1:21" ht="13" customHeight="1">
      <c r="A3170" s="8" t="s">
        <v>17169</v>
      </c>
      <c r="B3170" s="16" t="s">
        <v>13480</v>
      </c>
      <c r="C3170" s="8" t="s">
        <v>20</v>
      </c>
      <c r="D3170" s="8" t="s">
        <v>37</v>
      </c>
      <c r="E3170" s="8" t="s">
        <v>17170</v>
      </c>
      <c r="F3170" s="17">
        <v>41396</v>
      </c>
      <c r="G3170" s="8" t="s">
        <v>17171</v>
      </c>
      <c r="H3170" s="8" t="s">
        <v>17172</v>
      </c>
      <c r="I3170" s="8" t="s">
        <v>472</v>
      </c>
      <c r="J3170" s="16" t="s">
        <v>17173</v>
      </c>
      <c r="K3170" s="2" t="s">
        <v>471</v>
      </c>
      <c r="L3170" s="8" t="s">
        <v>17174</v>
      </c>
      <c r="M3170" s="8" t="s">
        <v>27</v>
      </c>
      <c r="N3170" s="2" t="s">
        <v>17175</v>
      </c>
      <c r="O3170" s="8" t="s">
        <v>29</v>
      </c>
      <c r="P3170" s="8" t="s">
        <v>401</v>
      </c>
      <c r="Q3170" s="12" t="s">
        <v>17176</v>
      </c>
      <c r="R3170" s="8" t="s">
        <v>550</v>
      </c>
      <c r="S3170" s="7" t="s">
        <v>28</v>
      </c>
      <c r="T3170" s="6"/>
      <c r="U3170" s="8"/>
    </row>
    <row r="3171" spans="1:21" ht="13" customHeight="1">
      <c r="A3171" s="8" t="s">
        <v>17177</v>
      </c>
      <c r="B3171" s="16" t="s">
        <v>8817</v>
      </c>
      <c r="C3171" s="8" t="s">
        <v>20</v>
      </c>
      <c r="D3171" s="8" t="s">
        <v>85</v>
      </c>
      <c r="E3171" s="8" t="s">
        <v>17178</v>
      </c>
      <c r="F3171" s="17">
        <v>41395</v>
      </c>
      <c r="G3171" s="8" t="s">
        <v>17179</v>
      </c>
      <c r="H3171" s="8" t="s">
        <v>444</v>
      </c>
      <c r="I3171" s="8" t="s">
        <v>57</v>
      </c>
      <c r="J3171" s="16" t="s">
        <v>17180</v>
      </c>
      <c r="K3171" s="2" t="s">
        <v>1132</v>
      </c>
      <c r="L3171" s="8" t="s">
        <v>17181</v>
      </c>
      <c r="M3171" s="8" t="s">
        <v>27</v>
      </c>
      <c r="N3171" s="2" t="s">
        <v>17182</v>
      </c>
      <c r="O3171" s="8" t="s">
        <v>1161</v>
      </c>
      <c r="P3171" s="8" t="s">
        <v>1162</v>
      </c>
      <c r="Q3171" s="12" t="s">
        <v>17183</v>
      </c>
      <c r="R3171" s="8" t="s">
        <v>100</v>
      </c>
      <c r="S3171" s="7" t="s">
        <v>28</v>
      </c>
      <c r="T3171" s="6"/>
      <c r="U3171" s="8"/>
    </row>
    <row r="3172" spans="1:21" ht="13" customHeight="1">
      <c r="A3172" s="8" t="s">
        <v>17184</v>
      </c>
      <c r="B3172" s="16">
        <v>20</v>
      </c>
      <c r="C3172" s="8" t="s">
        <v>20</v>
      </c>
      <c r="D3172" s="8" t="s">
        <v>85</v>
      </c>
      <c r="E3172" s="8" t="s">
        <v>17185</v>
      </c>
      <c r="F3172" s="17">
        <v>41395</v>
      </c>
      <c r="G3172" s="8" t="s">
        <v>17186</v>
      </c>
      <c r="H3172" s="8" t="s">
        <v>5986</v>
      </c>
      <c r="I3172" s="8" t="s">
        <v>366</v>
      </c>
      <c r="J3172" s="16" t="s">
        <v>17187</v>
      </c>
      <c r="K3172" s="2" t="s">
        <v>3167</v>
      </c>
      <c r="L3172" s="8" t="s">
        <v>5988</v>
      </c>
      <c r="M3172" s="8" t="s">
        <v>27</v>
      </c>
      <c r="N3172" s="2" t="s">
        <v>17188</v>
      </c>
      <c r="O3172" s="8" t="s">
        <v>550</v>
      </c>
      <c r="P3172" s="8" t="s">
        <v>401</v>
      </c>
      <c r="Q3172" s="12" t="s">
        <v>17189</v>
      </c>
      <c r="R3172" s="8" t="s">
        <v>100</v>
      </c>
      <c r="S3172" s="7" t="s">
        <v>28</v>
      </c>
      <c r="T3172" s="6"/>
      <c r="U3172" s="8"/>
    </row>
    <row r="3173" spans="1:21" ht="13" customHeight="1">
      <c r="A3173" s="8" t="s">
        <v>17190</v>
      </c>
      <c r="B3173" s="16">
        <v>55</v>
      </c>
      <c r="C3173" s="8" t="s">
        <v>20</v>
      </c>
      <c r="D3173" s="8" t="s">
        <v>85</v>
      </c>
      <c r="F3173" s="17">
        <v>41395</v>
      </c>
      <c r="G3173" s="8" t="s">
        <v>17191</v>
      </c>
      <c r="H3173" s="8" t="s">
        <v>98</v>
      </c>
      <c r="I3173" s="8" t="s">
        <v>45</v>
      </c>
      <c r="J3173" s="16" t="s">
        <v>3947</v>
      </c>
      <c r="K3173" s="2" t="s">
        <v>98</v>
      </c>
      <c r="L3173" s="8" t="s">
        <v>14218</v>
      </c>
      <c r="M3173" s="8" t="s">
        <v>27</v>
      </c>
      <c r="N3173" s="2" t="s">
        <v>17192</v>
      </c>
      <c r="O3173" s="8" t="s">
        <v>1013</v>
      </c>
      <c r="P3173" s="8" t="s">
        <v>401</v>
      </c>
      <c r="Q3173" s="12" t="s">
        <v>17193</v>
      </c>
      <c r="R3173" s="8" t="s">
        <v>29</v>
      </c>
      <c r="S3173" s="7" t="s">
        <v>28</v>
      </c>
      <c r="T3173" s="6"/>
      <c r="U3173" s="8"/>
    </row>
    <row r="3174" spans="1:21" ht="13" customHeight="1">
      <c r="A3174" s="8" t="s">
        <v>17198</v>
      </c>
      <c r="B3174" s="16" t="s">
        <v>16096</v>
      </c>
      <c r="C3174" s="8" t="s">
        <v>20</v>
      </c>
      <c r="D3174" s="8" t="s">
        <v>30</v>
      </c>
      <c r="F3174" s="17">
        <v>41395</v>
      </c>
      <c r="G3174" s="8" t="s">
        <v>17199</v>
      </c>
      <c r="H3174" s="8" t="s">
        <v>280</v>
      </c>
      <c r="I3174" s="8" t="s">
        <v>73</v>
      </c>
      <c r="J3174" s="16" t="s">
        <v>17200</v>
      </c>
      <c r="K3174" s="2" t="s">
        <v>7052</v>
      </c>
      <c r="L3174" s="8" t="s">
        <v>17201</v>
      </c>
      <c r="M3174" s="8" t="s">
        <v>27</v>
      </c>
      <c r="N3174" s="2" t="s">
        <v>17202</v>
      </c>
      <c r="O3174" s="8" t="s">
        <v>29</v>
      </c>
      <c r="P3174" s="8" t="s">
        <v>401</v>
      </c>
      <c r="Q3174" s="12" t="s">
        <v>17203</v>
      </c>
      <c r="R3174" s="8" t="s">
        <v>29</v>
      </c>
      <c r="S3174" s="7" t="s">
        <v>28</v>
      </c>
      <c r="T3174" s="6"/>
      <c r="U3174" s="8"/>
    </row>
    <row r="3175" spans="1:21" ht="13" customHeight="1">
      <c r="A3175" s="8" t="s">
        <v>17194</v>
      </c>
      <c r="B3175" s="16" t="s">
        <v>29</v>
      </c>
      <c r="C3175" s="8" t="s">
        <v>20</v>
      </c>
      <c r="D3175" s="8" t="s">
        <v>30</v>
      </c>
      <c r="F3175" s="17">
        <v>41395</v>
      </c>
      <c r="G3175" s="8" t="s">
        <v>17195</v>
      </c>
      <c r="H3175" s="8" t="s">
        <v>98</v>
      </c>
      <c r="I3175" s="8" t="s">
        <v>45</v>
      </c>
      <c r="J3175" s="16" t="s">
        <v>3947</v>
      </c>
      <c r="K3175" s="2" t="s">
        <v>98</v>
      </c>
      <c r="L3175" s="8" t="s">
        <v>99</v>
      </c>
      <c r="M3175" s="8" t="s">
        <v>27</v>
      </c>
      <c r="N3175" s="2" t="s">
        <v>17196</v>
      </c>
      <c r="O3175" s="8" t="s">
        <v>1013</v>
      </c>
      <c r="P3175" s="8" t="s">
        <v>401</v>
      </c>
      <c r="Q3175" s="12" t="s">
        <v>17197</v>
      </c>
      <c r="R3175" s="8" t="s">
        <v>29</v>
      </c>
      <c r="S3175" s="7" t="s">
        <v>28</v>
      </c>
      <c r="T3175" s="6"/>
      <c r="U3175" s="8"/>
    </row>
    <row r="3176" spans="1:21" ht="13" customHeight="1">
      <c r="A3176" s="8" t="s">
        <v>17204</v>
      </c>
      <c r="B3176" s="16" t="s">
        <v>8817</v>
      </c>
      <c r="C3176" s="8" t="s">
        <v>20</v>
      </c>
      <c r="D3176" s="8" t="s">
        <v>85</v>
      </c>
      <c r="E3176" s="8" t="s">
        <v>17205</v>
      </c>
      <c r="F3176" s="17">
        <v>41394</v>
      </c>
      <c r="G3176" s="8" t="s">
        <v>17206</v>
      </c>
      <c r="H3176" s="8" t="s">
        <v>4922</v>
      </c>
      <c r="I3176" s="8" t="s">
        <v>217</v>
      </c>
      <c r="J3176" s="16" t="s">
        <v>17207</v>
      </c>
      <c r="K3176" s="2" t="s">
        <v>1108</v>
      </c>
      <c r="L3176" s="8" t="s">
        <v>17208</v>
      </c>
      <c r="M3176" s="8" t="s">
        <v>27</v>
      </c>
      <c r="N3176" s="2" t="s">
        <v>17209</v>
      </c>
      <c r="O3176" s="8" t="s">
        <v>615</v>
      </c>
      <c r="P3176" s="8" t="s">
        <v>401</v>
      </c>
      <c r="Q3176" s="12" t="s">
        <v>17210</v>
      </c>
      <c r="R3176" s="8" t="s">
        <v>29</v>
      </c>
      <c r="S3176" s="7" t="s">
        <v>28</v>
      </c>
      <c r="T3176" s="6"/>
      <c r="U3176" s="8"/>
    </row>
    <row r="3177" spans="1:21" ht="13" customHeight="1">
      <c r="A3177" s="8" t="s">
        <v>17211</v>
      </c>
      <c r="B3177" s="16" t="s">
        <v>13480</v>
      </c>
      <c r="C3177" s="8" t="s">
        <v>20</v>
      </c>
      <c r="D3177" s="8" t="s">
        <v>48</v>
      </c>
      <c r="F3177" s="17">
        <v>41394</v>
      </c>
      <c r="G3177" s="8" t="s">
        <v>17212</v>
      </c>
      <c r="H3177" s="8" t="s">
        <v>98</v>
      </c>
      <c r="I3177" s="8" t="s">
        <v>45</v>
      </c>
      <c r="J3177" s="16" t="s">
        <v>3016</v>
      </c>
      <c r="K3177" s="2" t="s">
        <v>98</v>
      </c>
      <c r="L3177" s="8" t="s">
        <v>99</v>
      </c>
      <c r="M3177" s="8" t="s">
        <v>27</v>
      </c>
      <c r="N3177" s="2" t="s">
        <v>17213</v>
      </c>
      <c r="O3177" s="8" t="s">
        <v>29</v>
      </c>
      <c r="P3177" s="8" t="s">
        <v>401</v>
      </c>
      <c r="Q3177" s="12" t="s">
        <v>17214</v>
      </c>
      <c r="R3177" s="8" t="s">
        <v>100</v>
      </c>
      <c r="S3177" s="7" t="s">
        <v>28</v>
      </c>
      <c r="T3177" s="6"/>
      <c r="U3177" s="8"/>
    </row>
    <row r="3178" spans="1:21" ht="13" customHeight="1">
      <c r="A3178" s="8" t="s">
        <v>8321</v>
      </c>
      <c r="B3178" s="16" t="s">
        <v>10386</v>
      </c>
      <c r="C3178" s="8" t="s">
        <v>20</v>
      </c>
      <c r="D3178" s="8" t="s">
        <v>30</v>
      </c>
      <c r="F3178" s="17">
        <v>41394</v>
      </c>
      <c r="G3178" s="8" t="s">
        <v>17223</v>
      </c>
      <c r="H3178" s="8" t="s">
        <v>17224</v>
      </c>
      <c r="I3178" s="8" t="s">
        <v>195</v>
      </c>
      <c r="J3178" s="16" t="s">
        <v>17225</v>
      </c>
      <c r="K3178" s="2" t="s">
        <v>6758</v>
      </c>
      <c r="L3178" s="8" t="s">
        <v>17226</v>
      </c>
      <c r="M3178" s="8" t="s">
        <v>27</v>
      </c>
      <c r="N3178" s="2" t="s">
        <v>17227</v>
      </c>
      <c r="O3178" s="8" t="s">
        <v>550</v>
      </c>
      <c r="P3178" s="8" t="s">
        <v>401</v>
      </c>
      <c r="Q3178" s="12" t="s">
        <v>17228</v>
      </c>
      <c r="R3178" s="8" t="s">
        <v>29</v>
      </c>
      <c r="S3178" s="7" t="s">
        <v>28</v>
      </c>
      <c r="T3178" s="6"/>
      <c r="U3178" s="8"/>
    </row>
    <row r="3179" spans="1:21" ht="13" customHeight="1">
      <c r="A3179" s="8" t="s">
        <v>17215</v>
      </c>
      <c r="B3179" s="16" t="s">
        <v>16154</v>
      </c>
      <c r="C3179" s="8" t="s">
        <v>20</v>
      </c>
      <c r="D3179" s="8" t="s">
        <v>30</v>
      </c>
      <c r="F3179" s="17">
        <v>41394</v>
      </c>
      <c r="G3179" s="8" t="s">
        <v>17216</v>
      </c>
      <c r="H3179" s="8" t="s">
        <v>17217</v>
      </c>
      <c r="I3179" s="8" t="s">
        <v>244</v>
      </c>
      <c r="J3179" s="16" t="s">
        <v>17218</v>
      </c>
      <c r="K3179" s="2" t="s">
        <v>17219</v>
      </c>
      <c r="L3179" s="8" t="s">
        <v>17220</v>
      </c>
      <c r="M3179" s="8" t="s">
        <v>27</v>
      </c>
      <c r="N3179" s="2" t="s">
        <v>17221</v>
      </c>
      <c r="O3179" s="8" t="s">
        <v>29</v>
      </c>
      <c r="P3179" s="8" t="s">
        <v>401</v>
      </c>
      <c r="Q3179" s="12" t="s">
        <v>17222</v>
      </c>
      <c r="R3179" s="8" t="s">
        <v>29</v>
      </c>
      <c r="S3179" s="7" t="s">
        <v>28</v>
      </c>
      <c r="T3179" s="6"/>
      <c r="U3179" s="8"/>
    </row>
    <row r="3180" spans="1:21" ht="13" customHeight="1">
      <c r="A3180" s="8" t="s">
        <v>17229</v>
      </c>
      <c r="B3180" s="16">
        <v>28</v>
      </c>
      <c r="C3180" s="8" t="s">
        <v>20</v>
      </c>
      <c r="D3180" s="8" t="s">
        <v>37</v>
      </c>
      <c r="E3180" s="8" t="s">
        <v>17230</v>
      </c>
      <c r="F3180" s="17">
        <v>41394</v>
      </c>
      <c r="G3180" s="8" t="s">
        <v>17231</v>
      </c>
      <c r="H3180" s="8" t="s">
        <v>17232</v>
      </c>
      <c r="I3180" s="8" t="s">
        <v>240</v>
      </c>
      <c r="J3180" s="16" t="s">
        <v>17233</v>
      </c>
      <c r="K3180" s="2" t="s">
        <v>17234</v>
      </c>
      <c r="L3180" s="8" t="s">
        <v>17235</v>
      </c>
      <c r="M3180" s="8" t="s">
        <v>391</v>
      </c>
      <c r="N3180" s="2" t="s">
        <v>17236</v>
      </c>
      <c r="O3180" s="8" t="s">
        <v>29</v>
      </c>
      <c r="P3180" s="8" t="s">
        <v>401</v>
      </c>
      <c r="Q3180" s="12" t="s">
        <v>17237</v>
      </c>
      <c r="R3180" s="8" t="s">
        <v>555</v>
      </c>
      <c r="S3180" s="7" t="s">
        <v>28</v>
      </c>
      <c r="T3180" s="6"/>
      <c r="U3180" s="8"/>
    </row>
    <row r="3181" spans="1:21" ht="13" customHeight="1">
      <c r="A3181" s="8" t="s">
        <v>17238</v>
      </c>
      <c r="B3181" s="16">
        <v>34</v>
      </c>
      <c r="C3181" s="8" t="s">
        <v>20</v>
      </c>
      <c r="D3181" s="8" t="s">
        <v>48</v>
      </c>
      <c r="F3181" s="17">
        <v>41393</v>
      </c>
      <c r="G3181" s="8" t="s">
        <v>17239</v>
      </c>
      <c r="H3181" s="8" t="s">
        <v>1063</v>
      </c>
      <c r="I3181" s="8" t="s">
        <v>62</v>
      </c>
      <c r="J3181" s="16" t="s">
        <v>17240</v>
      </c>
      <c r="K3181" s="2" t="s">
        <v>1064</v>
      </c>
      <c r="L3181" s="8" t="s">
        <v>4453</v>
      </c>
      <c r="M3181" s="8" t="s">
        <v>27</v>
      </c>
      <c r="N3181" s="2" t="s">
        <v>17241</v>
      </c>
      <c r="O3181" s="8" t="s">
        <v>1013</v>
      </c>
      <c r="P3181" s="8" t="s">
        <v>401</v>
      </c>
      <c r="Q3181" s="12" t="s">
        <v>17242</v>
      </c>
      <c r="R3181" s="8" t="s">
        <v>100</v>
      </c>
      <c r="S3181" s="7" t="s">
        <v>28</v>
      </c>
      <c r="T3181" s="6"/>
      <c r="U3181" s="8"/>
    </row>
    <row r="3182" spans="1:21" ht="13" customHeight="1">
      <c r="A3182" s="8" t="s">
        <v>3267</v>
      </c>
      <c r="B3182" s="16" t="s">
        <v>15831</v>
      </c>
      <c r="C3182" s="8" t="s">
        <v>20</v>
      </c>
      <c r="D3182" s="8" t="s">
        <v>30</v>
      </c>
      <c r="F3182" s="17">
        <v>41393</v>
      </c>
      <c r="G3182" s="8" t="s">
        <v>17255</v>
      </c>
      <c r="H3182" s="8" t="s">
        <v>1103</v>
      </c>
      <c r="I3182" s="8" t="s">
        <v>404</v>
      </c>
      <c r="J3182" s="16" t="s">
        <v>17256</v>
      </c>
      <c r="K3182" s="2" t="s">
        <v>1103</v>
      </c>
      <c r="L3182" s="8" t="s">
        <v>1104</v>
      </c>
      <c r="M3182" s="8" t="s">
        <v>27</v>
      </c>
      <c r="N3182" s="2" t="s">
        <v>17257</v>
      </c>
      <c r="O3182" s="8" t="s">
        <v>550</v>
      </c>
      <c r="P3182" s="8" t="s">
        <v>401</v>
      </c>
      <c r="Q3182" s="12" t="s">
        <v>17258</v>
      </c>
      <c r="R3182" s="8" t="s">
        <v>29</v>
      </c>
      <c r="S3182" s="7" t="s">
        <v>28</v>
      </c>
      <c r="T3182" s="6"/>
      <c r="U3182" s="8"/>
    </row>
    <row r="3183" spans="1:21" ht="13" customHeight="1">
      <c r="A3183" s="8" t="s">
        <v>17243</v>
      </c>
      <c r="B3183" s="16" t="s">
        <v>16202</v>
      </c>
      <c r="C3183" s="8" t="s">
        <v>20</v>
      </c>
      <c r="D3183" s="8" t="s">
        <v>30</v>
      </c>
      <c r="F3183" s="17">
        <v>41393</v>
      </c>
      <c r="G3183" s="8" t="s">
        <v>17244</v>
      </c>
      <c r="H3183" s="8" t="s">
        <v>653</v>
      </c>
      <c r="I3183" s="8" t="s">
        <v>62</v>
      </c>
      <c r="J3183" s="16" t="s">
        <v>17245</v>
      </c>
      <c r="K3183" s="2" t="s">
        <v>654</v>
      </c>
      <c r="L3183" s="8" t="s">
        <v>655</v>
      </c>
      <c r="M3183" s="8" t="s">
        <v>27</v>
      </c>
      <c r="N3183" s="2" t="s">
        <v>17246</v>
      </c>
      <c r="O3183" s="8" t="s">
        <v>29</v>
      </c>
      <c r="P3183" s="8" t="s">
        <v>401</v>
      </c>
      <c r="Q3183" s="12" t="s">
        <v>17247</v>
      </c>
      <c r="R3183" s="8" t="s">
        <v>100</v>
      </c>
      <c r="S3183" s="7" t="s">
        <v>28</v>
      </c>
      <c r="T3183" s="6"/>
      <c r="U3183" s="8"/>
    </row>
    <row r="3184" spans="1:21" ht="13" customHeight="1">
      <c r="A3184" s="8" t="s">
        <v>17248</v>
      </c>
      <c r="B3184" s="16" t="s">
        <v>17249</v>
      </c>
      <c r="C3184" s="8" t="s">
        <v>20</v>
      </c>
      <c r="D3184" s="8" t="s">
        <v>30</v>
      </c>
      <c r="F3184" s="17">
        <v>41393</v>
      </c>
      <c r="G3184" s="8" t="s">
        <v>17250</v>
      </c>
      <c r="H3184" s="8" t="s">
        <v>17251</v>
      </c>
      <c r="I3184" s="8" t="s">
        <v>217</v>
      </c>
      <c r="J3184" s="16" t="s">
        <v>17252</v>
      </c>
      <c r="K3184" s="2" t="s">
        <v>2692</v>
      </c>
      <c r="L3184" s="8" t="s">
        <v>19286</v>
      </c>
      <c r="M3184" s="8" t="s">
        <v>27</v>
      </c>
      <c r="N3184" s="2" t="s">
        <v>17253</v>
      </c>
      <c r="O3184" s="8" t="s">
        <v>29</v>
      </c>
      <c r="P3184" s="8" t="s">
        <v>401</v>
      </c>
      <c r="Q3184" s="12" t="s">
        <v>17254</v>
      </c>
      <c r="R3184" s="8" t="s">
        <v>100</v>
      </c>
      <c r="S3184" s="7" t="s">
        <v>28</v>
      </c>
      <c r="T3184" s="6"/>
      <c r="U3184" s="8"/>
    </row>
    <row r="3185" spans="1:21" ht="13" customHeight="1">
      <c r="A3185" s="8" t="s">
        <v>17259</v>
      </c>
      <c r="B3185" s="16" t="s">
        <v>16025</v>
      </c>
      <c r="C3185" s="8" t="s">
        <v>20</v>
      </c>
      <c r="D3185" s="8" t="s">
        <v>48</v>
      </c>
      <c r="F3185" s="17">
        <v>41392</v>
      </c>
      <c r="G3185" s="8" t="s">
        <v>17260</v>
      </c>
      <c r="H3185" s="8" t="s">
        <v>489</v>
      </c>
      <c r="I3185" s="8" t="s">
        <v>45</v>
      </c>
      <c r="J3185" s="16" t="s">
        <v>16701</v>
      </c>
      <c r="K3185" s="2" t="s">
        <v>98</v>
      </c>
      <c r="L3185" s="8" t="s">
        <v>490</v>
      </c>
      <c r="M3185" s="8" t="s">
        <v>27</v>
      </c>
      <c r="N3185" s="2" t="s">
        <v>17261</v>
      </c>
      <c r="O3185" s="8" t="s">
        <v>29</v>
      </c>
      <c r="P3185" s="8" t="s">
        <v>401</v>
      </c>
      <c r="Q3185" s="12" t="s">
        <v>17262</v>
      </c>
      <c r="R3185" s="8" t="s">
        <v>29</v>
      </c>
      <c r="S3185" s="7" t="s">
        <v>28</v>
      </c>
      <c r="T3185" s="6"/>
      <c r="U3185" s="8"/>
    </row>
    <row r="3186" spans="1:21" ht="13" customHeight="1">
      <c r="A3186" s="8" t="s">
        <v>17263</v>
      </c>
      <c r="B3186" s="16" t="s">
        <v>17264</v>
      </c>
      <c r="C3186" s="8" t="s">
        <v>114</v>
      </c>
      <c r="D3186" s="8" t="s">
        <v>37</v>
      </c>
      <c r="E3186" s="8" t="s">
        <v>17265</v>
      </c>
      <c r="F3186" s="17">
        <v>41392</v>
      </c>
      <c r="G3186" s="8" t="s">
        <v>17266</v>
      </c>
      <c r="H3186" s="8" t="s">
        <v>13531</v>
      </c>
      <c r="I3186" s="8" t="s">
        <v>62</v>
      </c>
      <c r="J3186" s="16" t="s">
        <v>14379</v>
      </c>
      <c r="K3186" s="2" t="s">
        <v>2316</v>
      </c>
      <c r="L3186" s="8" t="s">
        <v>14154</v>
      </c>
      <c r="M3186" s="8" t="s">
        <v>27</v>
      </c>
      <c r="N3186" s="2" t="s">
        <v>17267</v>
      </c>
      <c r="O3186" s="8" t="s">
        <v>29</v>
      </c>
      <c r="P3186" s="8" t="s">
        <v>401</v>
      </c>
      <c r="Q3186" s="12" t="s">
        <v>17268</v>
      </c>
      <c r="R3186" s="8" t="s">
        <v>555</v>
      </c>
      <c r="S3186" s="7" t="s">
        <v>28</v>
      </c>
      <c r="T3186" s="6"/>
      <c r="U3186" s="8"/>
    </row>
    <row r="3187" spans="1:21" ht="13" customHeight="1">
      <c r="A3187" s="8" t="s">
        <v>17275</v>
      </c>
      <c r="B3187" s="16" t="s">
        <v>16177</v>
      </c>
      <c r="C3187" s="8" t="s">
        <v>20</v>
      </c>
      <c r="D3187" s="8" t="s">
        <v>85</v>
      </c>
      <c r="E3187" s="8" t="s">
        <v>17276</v>
      </c>
      <c r="F3187" s="17">
        <v>41391</v>
      </c>
      <c r="G3187" s="8" t="s">
        <v>17277</v>
      </c>
      <c r="H3187" s="8" t="s">
        <v>17278</v>
      </c>
      <c r="I3187" s="8" t="s">
        <v>73</v>
      </c>
      <c r="J3187" s="16" t="s">
        <v>17279</v>
      </c>
      <c r="K3187" s="2" t="s">
        <v>17280</v>
      </c>
      <c r="L3187" s="8" t="s">
        <v>17281</v>
      </c>
      <c r="M3187" s="8" t="s">
        <v>27</v>
      </c>
      <c r="N3187" s="2" t="s">
        <v>17282</v>
      </c>
      <c r="O3187" s="8" t="s">
        <v>29</v>
      </c>
      <c r="P3187" s="8" t="s">
        <v>401</v>
      </c>
      <c r="Q3187" s="12" t="s">
        <v>17283</v>
      </c>
      <c r="R3187" s="8" t="s">
        <v>29</v>
      </c>
      <c r="S3187" s="7" t="s">
        <v>28</v>
      </c>
      <c r="T3187" s="6"/>
      <c r="U3187" s="8"/>
    </row>
    <row r="3188" spans="1:21" ht="13" customHeight="1">
      <c r="A3188" s="8" t="s">
        <v>17269</v>
      </c>
      <c r="B3188" s="16" t="s">
        <v>10386</v>
      </c>
      <c r="C3188" s="8" t="s">
        <v>20</v>
      </c>
      <c r="D3188" s="8" t="s">
        <v>85</v>
      </c>
      <c r="E3188" s="8" t="s">
        <v>17270</v>
      </c>
      <c r="F3188" s="17">
        <v>41391</v>
      </c>
      <c r="G3188" s="8" t="s">
        <v>17271</v>
      </c>
      <c r="H3188" s="8" t="s">
        <v>1804</v>
      </c>
      <c r="I3188" s="8" t="s">
        <v>217</v>
      </c>
      <c r="J3188" s="16" t="s">
        <v>17272</v>
      </c>
      <c r="K3188" s="2" t="s">
        <v>1806</v>
      </c>
      <c r="L3188" s="8" t="s">
        <v>1807</v>
      </c>
      <c r="M3188" s="8" t="s">
        <v>27</v>
      </c>
      <c r="N3188" s="2" t="s">
        <v>17273</v>
      </c>
      <c r="O3188" s="8" t="s">
        <v>29</v>
      </c>
      <c r="P3188" s="8" t="s">
        <v>401</v>
      </c>
      <c r="Q3188" s="12" t="s">
        <v>17274</v>
      </c>
      <c r="R3188" s="8" t="s">
        <v>100</v>
      </c>
      <c r="S3188" s="7" t="s">
        <v>28</v>
      </c>
      <c r="T3188" s="6"/>
      <c r="U3188" s="8"/>
    </row>
    <row r="3189" spans="1:21" ht="13" customHeight="1">
      <c r="A3189" s="8" t="s">
        <v>17284</v>
      </c>
      <c r="B3189" s="16" t="s">
        <v>9418</v>
      </c>
      <c r="C3189" s="8" t="s">
        <v>20</v>
      </c>
      <c r="D3189" s="8" t="s">
        <v>30</v>
      </c>
      <c r="F3189" s="17">
        <v>41391</v>
      </c>
      <c r="G3189" s="8" t="s">
        <v>17285</v>
      </c>
      <c r="H3189" s="8" t="s">
        <v>17286</v>
      </c>
      <c r="I3189" s="8" t="s">
        <v>62</v>
      </c>
      <c r="J3189" s="16" t="s">
        <v>15442</v>
      </c>
      <c r="K3189" s="2" t="s">
        <v>1127</v>
      </c>
      <c r="L3189" s="8" t="s">
        <v>5217</v>
      </c>
      <c r="M3189" s="8" t="s">
        <v>27</v>
      </c>
      <c r="N3189" s="2" t="s">
        <v>17287</v>
      </c>
      <c r="O3189" s="8" t="s">
        <v>29</v>
      </c>
      <c r="P3189" s="8" t="s">
        <v>401</v>
      </c>
      <c r="Q3189" s="12" t="s">
        <v>17288</v>
      </c>
      <c r="R3189" s="8" t="s">
        <v>100</v>
      </c>
      <c r="S3189" s="7" t="s">
        <v>28</v>
      </c>
      <c r="T3189" s="6"/>
      <c r="U3189" s="8"/>
    </row>
    <row r="3190" spans="1:21" ht="13" customHeight="1">
      <c r="A3190" s="8" t="s">
        <v>17289</v>
      </c>
      <c r="B3190" s="16" t="s">
        <v>15831</v>
      </c>
      <c r="C3190" s="8" t="s">
        <v>114</v>
      </c>
      <c r="D3190" s="8" t="s">
        <v>30</v>
      </c>
      <c r="F3190" s="17">
        <v>41391</v>
      </c>
      <c r="G3190" s="8" t="s">
        <v>17290</v>
      </c>
      <c r="H3190" s="8" t="s">
        <v>156</v>
      </c>
      <c r="I3190" s="8" t="s">
        <v>45</v>
      </c>
      <c r="J3190" s="16" t="s">
        <v>17291</v>
      </c>
      <c r="K3190" s="2" t="s">
        <v>156</v>
      </c>
      <c r="L3190" s="8" t="s">
        <v>157</v>
      </c>
      <c r="M3190" s="8" t="s">
        <v>27</v>
      </c>
      <c r="N3190" s="2" t="s">
        <v>17292</v>
      </c>
      <c r="O3190" s="8" t="s">
        <v>29</v>
      </c>
      <c r="P3190" s="8" t="s">
        <v>401</v>
      </c>
      <c r="Q3190" s="12" t="s">
        <v>17293</v>
      </c>
      <c r="R3190" s="8" t="s">
        <v>555</v>
      </c>
      <c r="S3190" s="7" t="s">
        <v>28</v>
      </c>
      <c r="T3190" s="6"/>
      <c r="U3190" s="8"/>
    </row>
    <row r="3191" spans="1:21" ht="13" customHeight="1">
      <c r="A3191" s="8" t="s">
        <v>1517</v>
      </c>
      <c r="B3191" s="16" t="s">
        <v>11124</v>
      </c>
      <c r="C3191" s="8" t="s">
        <v>20</v>
      </c>
      <c r="D3191" s="8" t="s">
        <v>37</v>
      </c>
      <c r="E3191" s="8" t="s">
        <v>17294</v>
      </c>
      <c r="F3191" s="17">
        <v>41391</v>
      </c>
      <c r="G3191" s="8" t="s">
        <v>17295</v>
      </c>
      <c r="H3191" s="8" t="s">
        <v>17296</v>
      </c>
      <c r="I3191" s="8" t="s">
        <v>52</v>
      </c>
      <c r="J3191" s="16" t="s">
        <v>17297</v>
      </c>
      <c r="K3191" s="2" t="s">
        <v>3197</v>
      </c>
      <c r="L3191" s="8" t="s">
        <v>17298</v>
      </c>
      <c r="M3191" s="8" t="s">
        <v>27</v>
      </c>
      <c r="N3191" s="2" t="s">
        <v>17299</v>
      </c>
      <c r="O3191" s="8" t="s">
        <v>615</v>
      </c>
      <c r="P3191" s="8" t="s">
        <v>401</v>
      </c>
      <c r="Q3191" s="12" t="s">
        <v>17300</v>
      </c>
      <c r="R3191" s="8" t="s">
        <v>555</v>
      </c>
      <c r="S3191" s="7" t="s">
        <v>28</v>
      </c>
      <c r="T3191" s="6"/>
      <c r="U3191" s="8"/>
    </row>
    <row r="3192" spans="1:21" ht="13" customHeight="1">
      <c r="A3192" s="8" t="s">
        <v>17309</v>
      </c>
      <c r="B3192" s="16" t="s">
        <v>13573</v>
      </c>
      <c r="C3192" s="8" t="s">
        <v>20</v>
      </c>
      <c r="D3192" s="8" t="s">
        <v>37</v>
      </c>
      <c r="E3192" s="8" t="s">
        <v>17310</v>
      </c>
      <c r="F3192" s="17">
        <v>41391</v>
      </c>
      <c r="G3192" s="8" t="s">
        <v>17311</v>
      </c>
      <c r="H3192" s="8" t="s">
        <v>890</v>
      </c>
      <c r="I3192" s="8" t="s">
        <v>438</v>
      </c>
      <c r="J3192" s="16" t="s">
        <v>17312</v>
      </c>
      <c r="K3192" s="2" t="s">
        <v>890</v>
      </c>
      <c r="L3192" s="8" t="s">
        <v>3889</v>
      </c>
      <c r="M3192" s="8" t="s">
        <v>27</v>
      </c>
      <c r="N3192" s="2" t="s">
        <v>17313</v>
      </c>
      <c r="O3192" s="8" t="s">
        <v>29</v>
      </c>
      <c r="P3192" s="8" t="s">
        <v>401</v>
      </c>
      <c r="Q3192" s="12" t="s">
        <v>17314</v>
      </c>
      <c r="R3192" s="8" t="s">
        <v>29</v>
      </c>
      <c r="S3192" s="7" t="s">
        <v>28</v>
      </c>
      <c r="T3192" s="6"/>
      <c r="U3192" s="8"/>
    </row>
    <row r="3193" spans="1:21" ht="13" customHeight="1">
      <c r="A3193" s="8" t="s">
        <v>17301</v>
      </c>
      <c r="B3193" s="16" t="s">
        <v>13637</v>
      </c>
      <c r="C3193" s="8" t="s">
        <v>20</v>
      </c>
      <c r="D3193" s="8" t="s">
        <v>37</v>
      </c>
      <c r="E3193" s="8" t="s">
        <v>17302</v>
      </c>
      <c r="F3193" s="17">
        <v>41391</v>
      </c>
      <c r="G3193" s="8" t="s">
        <v>17303</v>
      </c>
      <c r="H3193" s="8" t="s">
        <v>1877</v>
      </c>
      <c r="I3193" s="8" t="s">
        <v>981</v>
      </c>
      <c r="J3193" s="16" t="s">
        <v>17304</v>
      </c>
      <c r="K3193" s="2" t="s">
        <v>17305</v>
      </c>
      <c r="L3193" s="8" t="s">
        <v>17306</v>
      </c>
      <c r="M3193" s="8" t="s">
        <v>27</v>
      </c>
      <c r="N3193" s="2" t="s">
        <v>17307</v>
      </c>
      <c r="O3193" s="8" t="s">
        <v>29</v>
      </c>
      <c r="P3193" s="8" t="s">
        <v>401</v>
      </c>
      <c r="Q3193" s="12" t="s">
        <v>17308</v>
      </c>
      <c r="R3193" s="8" t="s">
        <v>100</v>
      </c>
      <c r="S3193" s="7" t="s">
        <v>28</v>
      </c>
      <c r="T3193" s="6"/>
      <c r="U3193" s="8"/>
    </row>
    <row r="3194" spans="1:21" ht="13" customHeight="1">
      <c r="A3194" s="8" t="s">
        <v>17315</v>
      </c>
      <c r="B3194" s="16" t="s">
        <v>9469</v>
      </c>
      <c r="C3194" s="8" t="s">
        <v>20</v>
      </c>
      <c r="D3194" s="8" t="s">
        <v>85</v>
      </c>
      <c r="E3194" s="8" t="s">
        <v>17316</v>
      </c>
      <c r="F3194" s="17">
        <v>41390</v>
      </c>
      <c r="G3194" s="8" t="s">
        <v>17317</v>
      </c>
      <c r="H3194" s="8" t="s">
        <v>17318</v>
      </c>
      <c r="I3194" s="8" t="s">
        <v>73</v>
      </c>
      <c r="J3194" s="16" t="s">
        <v>17319</v>
      </c>
      <c r="K3194" s="2" t="s">
        <v>558</v>
      </c>
      <c r="L3194" s="8" t="s">
        <v>727</v>
      </c>
      <c r="M3194" s="8" t="s">
        <v>27</v>
      </c>
      <c r="N3194" s="2" t="s">
        <v>17320</v>
      </c>
      <c r="O3194" s="8" t="s">
        <v>29</v>
      </c>
      <c r="P3194" s="8" t="s">
        <v>401</v>
      </c>
      <c r="Q3194" s="12" t="s">
        <v>17321</v>
      </c>
      <c r="R3194" s="8" t="s">
        <v>100</v>
      </c>
      <c r="S3194" s="7" t="s">
        <v>28</v>
      </c>
      <c r="T3194" s="6"/>
      <c r="U3194" s="8"/>
    </row>
    <row r="3195" spans="1:21" ht="13" customHeight="1">
      <c r="A3195" s="8" t="s">
        <v>17322</v>
      </c>
      <c r="B3195" s="16">
        <v>24</v>
      </c>
      <c r="C3195" s="8" t="s">
        <v>20</v>
      </c>
      <c r="D3195" s="8" t="s">
        <v>85</v>
      </c>
      <c r="F3195" s="17">
        <v>41390</v>
      </c>
      <c r="G3195" s="8" t="s">
        <v>17323</v>
      </c>
      <c r="H3195" s="8" t="s">
        <v>6965</v>
      </c>
      <c r="I3195" s="8" t="s">
        <v>45</v>
      </c>
      <c r="J3195" s="16" t="s">
        <v>3317</v>
      </c>
      <c r="K3195" s="2" t="s">
        <v>98</v>
      </c>
      <c r="L3195" s="8" t="s">
        <v>5014</v>
      </c>
      <c r="M3195" s="8" t="s">
        <v>27</v>
      </c>
      <c r="N3195" s="2" t="s">
        <v>17324</v>
      </c>
      <c r="O3195" s="8" t="s">
        <v>1013</v>
      </c>
      <c r="P3195" s="8" t="s">
        <v>401</v>
      </c>
      <c r="Q3195" s="12" t="s">
        <v>17325</v>
      </c>
      <c r="R3195" s="8" t="s">
        <v>29</v>
      </c>
      <c r="S3195" s="7" t="s">
        <v>379</v>
      </c>
      <c r="T3195" s="6"/>
      <c r="U3195" s="8"/>
    </row>
    <row r="3196" spans="1:21" ht="13" customHeight="1">
      <c r="A3196" s="8" t="s">
        <v>17326</v>
      </c>
      <c r="B3196" s="16" t="s">
        <v>9469</v>
      </c>
      <c r="C3196" s="8" t="s">
        <v>20</v>
      </c>
      <c r="D3196" s="8" t="s">
        <v>85</v>
      </c>
      <c r="E3196" s="8" t="s">
        <v>17327</v>
      </c>
      <c r="F3196" s="17">
        <v>41389</v>
      </c>
      <c r="G3196" s="8" t="s">
        <v>17328</v>
      </c>
      <c r="H3196" s="8" t="s">
        <v>9802</v>
      </c>
      <c r="I3196" s="8" t="s">
        <v>981</v>
      </c>
      <c r="J3196" s="16" t="s">
        <v>11326</v>
      </c>
      <c r="K3196" s="2" t="s">
        <v>2505</v>
      </c>
      <c r="L3196" s="8" t="s">
        <v>9804</v>
      </c>
      <c r="M3196" s="8" t="s">
        <v>27</v>
      </c>
      <c r="N3196" s="2" t="s">
        <v>17329</v>
      </c>
      <c r="O3196" s="8" t="s">
        <v>29</v>
      </c>
      <c r="P3196" s="8" t="s">
        <v>401</v>
      </c>
      <c r="Q3196" s="12" t="s">
        <v>17330</v>
      </c>
      <c r="R3196" s="8" t="s">
        <v>100</v>
      </c>
      <c r="S3196" s="7" t="s">
        <v>28</v>
      </c>
      <c r="T3196" s="6"/>
      <c r="U3196" s="8"/>
    </row>
    <row r="3197" spans="1:21" ht="13" customHeight="1">
      <c r="A3197" s="8" t="s">
        <v>17331</v>
      </c>
      <c r="B3197" s="16" t="s">
        <v>13841</v>
      </c>
      <c r="C3197" s="8" t="s">
        <v>20</v>
      </c>
      <c r="D3197" s="8" t="s">
        <v>48</v>
      </c>
      <c r="F3197" s="17">
        <v>41389</v>
      </c>
      <c r="G3197" s="8" t="s">
        <v>17332</v>
      </c>
      <c r="H3197" s="8" t="s">
        <v>7958</v>
      </c>
      <c r="I3197" s="8" t="s">
        <v>45</v>
      </c>
      <c r="J3197" s="16" t="s">
        <v>7959</v>
      </c>
      <c r="K3197" s="2" t="s">
        <v>98</v>
      </c>
      <c r="L3197" s="8" t="s">
        <v>17333</v>
      </c>
      <c r="M3197" s="8" t="s">
        <v>27</v>
      </c>
      <c r="N3197" s="2" t="s">
        <v>17334</v>
      </c>
      <c r="O3197" s="8" t="s">
        <v>29</v>
      </c>
      <c r="P3197" s="8" t="s">
        <v>401</v>
      </c>
      <c r="Q3197" s="12" t="s">
        <v>17335</v>
      </c>
      <c r="R3197" s="8" t="s">
        <v>555</v>
      </c>
      <c r="S3197" s="7" t="s">
        <v>28</v>
      </c>
      <c r="T3197" s="6"/>
      <c r="U3197" s="8"/>
    </row>
    <row r="3198" spans="1:21" ht="13" customHeight="1">
      <c r="A3198" s="8" t="s">
        <v>17336</v>
      </c>
      <c r="B3198" s="16" t="s">
        <v>10061</v>
      </c>
      <c r="C3198" s="8" t="s">
        <v>20</v>
      </c>
      <c r="D3198" s="8" t="s">
        <v>85</v>
      </c>
      <c r="E3198" s="8" t="s">
        <v>17337</v>
      </c>
      <c r="F3198" s="17">
        <v>41388</v>
      </c>
      <c r="G3198" s="8" t="s">
        <v>17338</v>
      </c>
      <c r="H3198" s="8" t="s">
        <v>890</v>
      </c>
      <c r="I3198" s="8" t="s">
        <v>438</v>
      </c>
      <c r="J3198" s="16" t="s">
        <v>11882</v>
      </c>
      <c r="K3198" s="2" t="s">
        <v>890</v>
      </c>
      <c r="L3198" s="8" t="s">
        <v>3889</v>
      </c>
      <c r="M3198" s="8" t="s">
        <v>27</v>
      </c>
      <c r="N3198" s="2" t="s">
        <v>17339</v>
      </c>
      <c r="O3198" s="8" t="s">
        <v>29</v>
      </c>
      <c r="P3198" s="8" t="s">
        <v>401</v>
      </c>
      <c r="Q3198" s="12" t="s">
        <v>17340</v>
      </c>
      <c r="R3198" s="8" t="s">
        <v>555</v>
      </c>
      <c r="S3198" s="7" t="s">
        <v>28</v>
      </c>
      <c r="T3198" s="6"/>
      <c r="U3198" s="8"/>
    </row>
    <row r="3199" spans="1:21" ht="13" customHeight="1">
      <c r="A3199" s="8" t="s">
        <v>17341</v>
      </c>
      <c r="B3199" s="16" t="s">
        <v>16177</v>
      </c>
      <c r="C3199" s="8" t="s">
        <v>20</v>
      </c>
      <c r="D3199" s="8" t="s">
        <v>85</v>
      </c>
      <c r="E3199" s="8" t="s">
        <v>17342</v>
      </c>
      <c r="F3199" s="17">
        <v>41388</v>
      </c>
      <c r="G3199" s="8" t="s">
        <v>17343</v>
      </c>
      <c r="H3199" s="8" t="s">
        <v>712</v>
      </c>
      <c r="I3199" s="8" t="s">
        <v>431</v>
      </c>
      <c r="J3199" s="16" t="s">
        <v>17344</v>
      </c>
      <c r="K3199" s="2" t="s">
        <v>712</v>
      </c>
      <c r="L3199" s="8" t="s">
        <v>4545</v>
      </c>
      <c r="M3199" s="8" t="s">
        <v>27</v>
      </c>
      <c r="N3199" s="2" t="s">
        <v>17345</v>
      </c>
      <c r="O3199" s="8" t="s">
        <v>29</v>
      </c>
      <c r="P3199" s="8" t="s">
        <v>401</v>
      </c>
      <c r="Q3199" s="12" t="s">
        <v>17346</v>
      </c>
      <c r="R3199" s="8" t="s">
        <v>100</v>
      </c>
      <c r="S3199" s="7" t="s">
        <v>28</v>
      </c>
      <c r="T3199" s="6"/>
      <c r="U3199" s="8"/>
    </row>
    <row r="3200" spans="1:21" ht="13" customHeight="1">
      <c r="A3200" s="8" t="s">
        <v>17347</v>
      </c>
      <c r="B3200" s="16" t="s">
        <v>13493</v>
      </c>
      <c r="C3200" s="8" t="s">
        <v>20</v>
      </c>
      <c r="D3200" s="8" t="s">
        <v>30</v>
      </c>
      <c r="F3200" s="17">
        <v>41388</v>
      </c>
      <c r="G3200" s="8" t="s">
        <v>17348</v>
      </c>
      <c r="H3200" s="8" t="s">
        <v>929</v>
      </c>
      <c r="I3200" s="8" t="s">
        <v>73</v>
      </c>
      <c r="J3200" s="16" t="s">
        <v>6793</v>
      </c>
      <c r="K3200" s="2" t="s">
        <v>74</v>
      </c>
      <c r="L3200" s="8" t="s">
        <v>930</v>
      </c>
      <c r="M3200" s="8" t="s">
        <v>27</v>
      </c>
      <c r="N3200" s="2" t="s">
        <v>17349</v>
      </c>
      <c r="O3200" s="8" t="s">
        <v>550</v>
      </c>
      <c r="P3200" s="8" t="s">
        <v>401</v>
      </c>
      <c r="Q3200" s="12" t="s">
        <v>17350</v>
      </c>
      <c r="R3200" s="8" t="s">
        <v>100</v>
      </c>
      <c r="S3200" s="7" t="s">
        <v>28</v>
      </c>
      <c r="T3200" s="6"/>
      <c r="U3200" s="8"/>
    </row>
    <row r="3201" spans="1:34" ht="13" customHeight="1">
      <c r="A3201" s="8" t="s">
        <v>17351</v>
      </c>
      <c r="B3201" s="16" t="s">
        <v>9418</v>
      </c>
      <c r="C3201" s="8" t="s">
        <v>20</v>
      </c>
      <c r="D3201" s="8" t="s">
        <v>85</v>
      </c>
      <c r="F3201" s="17">
        <v>41387</v>
      </c>
      <c r="G3201" s="8" t="s">
        <v>17352</v>
      </c>
      <c r="H3201" s="8" t="s">
        <v>1195</v>
      </c>
      <c r="I3201" s="8" t="s">
        <v>319</v>
      </c>
      <c r="J3201" s="16" t="s">
        <v>3736</v>
      </c>
      <c r="K3201" s="2" t="s">
        <v>1196</v>
      </c>
      <c r="L3201" s="8" t="s">
        <v>1197</v>
      </c>
      <c r="M3201" s="8" t="s">
        <v>27</v>
      </c>
      <c r="N3201" s="2" t="s">
        <v>17353</v>
      </c>
      <c r="O3201" s="8" t="s">
        <v>29</v>
      </c>
      <c r="P3201" s="8" t="s">
        <v>401</v>
      </c>
      <c r="Q3201" s="12" t="s">
        <v>17354</v>
      </c>
      <c r="R3201" s="8" t="s">
        <v>100</v>
      </c>
      <c r="S3201" s="7" t="s">
        <v>379</v>
      </c>
      <c r="T3201" s="6"/>
      <c r="U3201" s="8"/>
    </row>
    <row r="3202" spans="1:34" ht="13" customHeight="1">
      <c r="A3202" s="8" t="s">
        <v>17355</v>
      </c>
      <c r="B3202" s="16" t="s">
        <v>15831</v>
      </c>
      <c r="C3202" s="8" t="s">
        <v>20</v>
      </c>
      <c r="D3202" s="8" t="s">
        <v>48</v>
      </c>
      <c r="E3202" s="8" t="s">
        <v>17356</v>
      </c>
      <c r="F3202" s="17">
        <v>41387</v>
      </c>
      <c r="G3202" s="8" t="s">
        <v>17357</v>
      </c>
      <c r="H3202" s="8" t="s">
        <v>561</v>
      </c>
      <c r="I3202" s="8" t="s">
        <v>123</v>
      </c>
      <c r="J3202" s="16" t="s">
        <v>11544</v>
      </c>
      <c r="K3202" s="2" t="s">
        <v>562</v>
      </c>
      <c r="L3202" s="8" t="s">
        <v>563</v>
      </c>
      <c r="M3202" s="8" t="s">
        <v>27</v>
      </c>
      <c r="N3202" s="2" t="s">
        <v>17358</v>
      </c>
      <c r="O3202" s="8" t="s">
        <v>29</v>
      </c>
      <c r="P3202" s="8" t="s">
        <v>401</v>
      </c>
      <c r="Q3202" s="12" t="s">
        <v>17359</v>
      </c>
      <c r="R3202" s="8" t="s">
        <v>100</v>
      </c>
      <c r="S3202" s="7" t="s">
        <v>28</v>
      </c>
      <c r="T3202" s="6"/>
      <c r="U3202" s="8"/>
    </row>
    <row r="3203" spans="1:34" ht="13" customHeight="1">
      <c r="A3203" s="8" t="s">
        <v>17366</v>
      </c>
      <c r="B3203" s="16" t="s">
        <v>8532</v>
      </c>
      <c r="C3203" s="8" t="s">
        <v>20</v>
      </c>
      <c r="D3203" s="8" t="s">
        <v>37</v>
      </c>
      <c r="E3203" s="8" t="s">
        <v>17367</v>
      </c>
      <c r="F3203" s="17">
        <v>41387</v>
      </c>
      <c r="G3203" s="8" t="s">
        <v>17368</v>
      </c>
      <c r="H3203" s="8" t="s">
        <v>6217</v>
      </c>
      <c r="I3203" s="8" t="s">
        <v>44</v>
      </c>
      <c r="J3203" s="16" t="s">
        <v>17369</v>
      </c>
      <c r="K3203" s="2" t="s">
        <v>7097</v>
      </c>
      <c r="L3203" s="8" t="s">
        <v>17370</v>
      </c>
      <c r="M3203" s="8" t="s">
        <v>27</v>
      </c>
      <c r="N3203" s="2" t="s">
        <v>17371</v>
      </c>
      <c r="O3203" s="8" t="s">
        <v>29</v>
      </c>
      <c r="P3203" s="8" t="s">
        <v>401</v>
      </c>
      <c r="Q3203" s="12" t="s">
        <v>17372</v>
      </c>
      <c r="R3203" s="8" t="s">
        <v>29</v>
      </c>
      <c r="S3203" s="7" t="s">
        <v>28</v>
      </c>
      <c r="T3203" s="6"/>
      <c r="U3203" s="8"/>
    </row>
    <row r="3204" spans="1:34" ht="13" customHeight="1">
      <c r="A3204" s="8" t="s">
        <v>17360</v>
      </c>
      <c r="B3204" s="16" t="s">
        <v>17361</v>
      </c>
      <c r="C3204" s="8" t="s">
        <v>20</v>
      </c>
      <c r="D3204" s="8" t="s">
        <v>37</v>
      </c>
      <c r="E3204" s="8" t="s">
        <v>17362</v>
      </c>
      <c r="F3204" s="17">
        <v>41387</v>
      </c>
      <c r="G3204" s="8" t="s">
        <v>17363</v>
      </c>
      <c r="H3204" s="8" t="s">
        <v>1316</v>
      </c>
      <c r="I3204" s="8" t="s">
        <v>73</v>
      </c>
      <c r="J3204" s="16" t="s">
        <v>8421</v>
      </c>
      <c r="K3204" s="2" t="s">
        <v>1317</v>
      </c>
      <c r="L3204" s="8" t="s">
        <v>1318</v>
      </c>
      <c r="M3204" s="8" t="s">
        <v>27</v>
      </c>
      <c r="N3204" s="2" t="s">
        <v>17364</v>
      </c>
      <c r="O3204" s="8" t="s">
        <v>29</v>
      </c>
      <c r="P3204" s="8" t="s">
        <v>401</v>
      </c>
      <c r="Q3204" s="12" t="s">
        <v>17365</v>
      </c>
      <c r="R3204" s="8" t="s">
        <v>555</v>
      </c>
      <c r="S3204" s="7" t="s">
        <v>28</v>
      </c>
      <c r="T3204" s="6"/>
      <c r="U3204" s="8"/>
      <c r="Y3204" s="8"/>
      <c r="Z3204" s="8"/>
      <c r="AA3204" s="8"/>
      <c r="AB3204" s="8"/>
      <c r="AC3204" s="8"/>
      <c r="AD3204" s="8"/>
      <c r="AE3204" s="8"/>
      <c r="AF3204" s="8"/>
      <c r="AG3204" s="8"/>
      <c r="AH3204" s="8"/>
    </row>
    <row r="3205" spans="1:34" ht="13" customHeight="1">
      <c r="A3205" s="8" t="s">
        <v>17373</v>
      </c>
      <c r="B3205" s="16" t="s">
        <v>16144</v>
      </c>
      <c r="C3205" s="8" t="s">
        <v>20</v>
      </c>
      <c r="D3205" s="8" t="s">
        <v>85</v>
      </c>
      <c r="F3205" s="17">
        <v>41386</v>
      </c>
      <c r="G3205" s="8" t="s">
        <v>17374</v>
      </c>
      <c r="H3205" s="8" t="s">
        <v>1596</v>
      </c>
      <c r="I3205" s="8" t="s">
        <v>52</v>
      </c>
      <c r="J3205" s="16" t="s">
        <v>4726</v>
      </c>
      <c r="K3205" s="2" t="s">
        <v>4727</v>
      </c>
      <c r="L3205" s="8" t="s">
        <v>2782</v>
      </c>
      <c r="M3205" s="8" t="s">
        <v>27</v>
      </c>
      <c r="N3205" s="2" t="s">
        <v>17375</v>
      </c>
      <c r="O3205" s="8" t="s">
        <v>29</v>
      </c>
      <c r="P3205" s="8" t="s">
        <v>401</v>
      </c>
      <c r="Q3205" s="12" t="s">
        <v>17376</v>
      </c>
      <c r="R3205" s="8" t="s">
        <v>100</v>
      </c>
      <c r="S3205" s="7" t="s">
        <v>28</v>
      </c>
      <c r="T3205" s="6"/>
      <c r="U3205" s="8"/>
    </row>
    <row r="3206" spans="1:34" ht="13" customHeight="1">
      <c r="A3206" s="8" t="s">
        <v>17384</v>
      </c>
      <c r="B3206" s="16" t="s">
        <v>15893</v>
      </c>
      <c r="C3206" s="8" t="s">
        <v>20</v>
      </c>
      <c r="D3206" s="8" t="s">
        <v>30</v>
      </c>
      <c r="F3206" s="17">
        <v>41386</v>
      </c>
      <c r="G3206" s="8" t="s">
        <v>17385</v>
      </c>
      <c r="H3206" s="8" t="s">
        <v>17386</v>
      </c>
      <c r="I3206" s="8" t="s">
        <v>44</v>
      </c>
      <c r="J3206" s="16" t="s">
        <v>17387</v>
      </c>
      <c r="K3206" s="2" t="s">
        <v>88</v>
      </c>
      <c r="L3206" s="8" t="s">
        <v>17388</v>
      </c>
      <c r="M3206" s="8" t="s">
        <v>27</v>
      </c>
      <c r="N3206" s="2" t="s">
        <v>17389</v>
      </c>
      <c r="O3206" s="8" t="s">
        <v>29</v>
      </c>
      <c r="P3206" s="8" t="s">
        <v>401</v>
      </c>
      <c r="Q3206" s="12" t="s">
        <v>17390</v>
      </c>
      <c r="R3206" s="8" t="s">
        <v>100</v>
      </c>
      <c r="S3206" s="7" t="s">
        <v>28</v>
      </c>
      <c r="T3206" s="6"/>
      <c r="U3206" s="8"/>
    </row>
    <row r="3207" spans="1:34" ht="13" customHeight="1">
      <c r="A3207" s="8" t="s">
        <v>17391</v>
      </c>
      <c r="B3207" s="16" t="s">
        <v>10061</v>
      </c>
      <c r="C3207" s="8" t="s">
        <v>20</v>
      </c>
      <c r="D3207" s="8" t="s">
        <v>30</v>
      </c>
      <c r="F3207" s="17">
        <v>41386</v>
      </c>
      <c r="G3207" s="8" t="s">
        <v>17392</v>
      </c>
      <c r="H3207" s="8" t="s">
        <v>17393</v>
      </c>
      <c r="I3207" s="8" t="s">
        <v>173</v>
      </c>
      <c r="J3207" s="16" t="s">
        <v>17394</v>
      </c>
      <c r="K3207" s="2" t="s">
        <v>1328</v>
      </c>
      <c r="L3207" s="8" t="s">
        <v>9169</v>
      </c>
      <c r="M3207" s="8" t="s">
        <v>27</v>
      </c>
      <c r="N3207" s="2" t="s">
        <v>17395</v>
      </c>
      <c r="O3207" s="8" t="s">
        <v>29</v>
      </c>
      <c r="P3207" s="8" t="s">
        <v>401</v>
      </c>
      <c r="Q3207" s="12" t="s">
        <v>17396</v>
      </c>
      <c r="R3207" s="8" t="s">
        <v>100</v>
      </c>
      <c r="S3207" s="7" t="s">
        <v>28</v>
      </c>
      <c r="T3207" s="6"/>
      <c r="U3207" s="8"/>
    </row>
    <row r="3208" spans="1:34" ht="13" customHeight="1">
      <c r="A3208" s="8" t="s">
        <v>17377</v>
      </c>
      <c r="C3208" s="8" t="s">
        <v>20</v>
      </c>
      <c r="D3208" s="8" t="s">
        <v>30</v>
      </c>
      <c r="F3208" s="17">
        <v>41386</v>
      </c>
      <c r="G3208" s="8" t="s">
        <v>17378</v>
      </c>
      <c r="H3208" s="8" t="s">
        <v>17379</v>
      </c>
      <c r="I3208" s="8" t="s">
        <v>62</v>
      </c>
      <c r="J3208" s="16" t="s">
        <v>17380</v>
      </c>
      <c r="K3208" s="2" t="s">
        <v>9194</v>
      </c>
      <c r="L3208" s="8" t="s">
        <v>17381</v>
      </c>
      <c r="M3208" s="8" t="s">
        <v>27</v>
      </c>
      <c r="N3208" s="2" t="s">
        <v>17382</v>
      </c>
      <c r="O3208" s="8" t="s">
        <v>29</v>
      </c>
      <c r="P3208" s="8" t="s">
        <v>401</v>
      </c>
      <c r="Q3208" s="12" t="s">
        <v>17383</v>
      </c>
      <c r="R3208" s="8" t="s">
        <v>555</v>
      </c>
      <c r="S3208" s="7" t="s">
        <v>28</v>
      </c>
      <c r="T3208" s="6"/>
      <c r="U3208" s="8"/>
    </row>
    <row r="3209" spans="1:34" ht="13" customHeight="1">
      <c r="A3209" s="8" t="s">
        <v>17404</v>
      </c>
      <c r="B3209" s="16" t="s">
        <v>10386</v>
      </c>
      <c r="C3209" s="8" t="s">
        <v>20</v>
      </c>
      <c r="D3209" s="8" t="s">
        <v>37</v>
      </c>
      <c r="E3209" s="8" t="s">
        <v>17405</v>
      </c>
      <c r="F3209" s="17">
        <v>41386</v>
      </c>
      <c r="G3209" s="8" t="s">
        <v>17406</v>
      </c>
      <c r="H3209" s="8" t="s">
        <v>17407</v>
      </c>
      <c r="I3209" s="8" t="s">
        <v>81</v>
      </c>
      <c r="J3209" s="16" t="s">
        <v>17408</v>
      </c>
      <c r="K3209" s="2" t="s">
        <v>1404</v>
      </c>
      <c r="L3209" s="8" t="s">
        <v>17409</v>
      </c>
      <c r="M3209" s="8" t="s">
        <v>27</v>
      </c>
      <c r="N3209" s="2" t="s">
        <v>17410</v>
      </c>
      <c r="O3209" s="8" t="s">
        <v>550</v>
      </c>
      <c r="P3209" s="8" t="s">
        <v>401</v>
      </c>
      <c r="Q3209" s="12" t="s">
        <v>17411</v>
      </c>
      <c r="R3209" s="8" t="s">
        <v>29</v>
      </c>
      <c r="S3209" s="7" t="s">
        <v>28</v>
      </c>
      <c r="T3209" s="6"/>
      <c r="U3209" s="8"/>
    </row>
    <row r="3210" spans="1:34" ht="13" customHeight="1">
      <c r="A3210" s="8" t="s">
        <v>17397</v>
      </c>
      <c r="B3210" s="16">
        <v>57</v>
      </c>
      <c r="C3210" s="8" t="s">
        <v>20</v>
      </c>
      <c r="D3210" s="8" t="s">
        <v>37</v>
      </c>
      <c r="E3210" s="8" t="s">
        <v>17398</v>
      </c>
      <c r="F3210" s="17">
        <v>41386</v>
      </c>
      <c r="G3210" s="8" t="s">
        <v>17399</v>
      </c>
      <c r="H3210" s="8" t="s">
        <v>17400</v>
      </c>
      <c r="I3210" s="8" t="s">
        <v>62</v>
      </c>
      <c r="J3210" s="16" t="s">
        <v>17401</v>
      </c>
      <c r="K3210" s="2" t="s">
        <v>1772</v>
      </c>
      <c r="L3210" s="8" t="s">
        <v>3789</v>
      </c>
      <c r="M3210" s="8" t="s">
        <v>27</v>
      </c>
      <c r="N3210" s="2" t="s">
        <v>17402</v>
      </c>
      <c r="O3210" s="8" t="s">
        <v>1013</v>
      </c>
      <c r="P3210" s="8" t="s">
        <v>401</v>
      </c>
      <c r="Q3210" s="12" t="s">
        <v>17403</v>
      </c>
      <c r="R3210" s="8" t="s">
        <v>100</v>
      </c>
      <c r="S3210" s="7" t="s">
        <v>28</v>
      </c>
      <c r="T3210" s="6"/>
      <c r="U3210" s="8"/>
    </row>
    <row r="3211" spans="1:34" ht="13" customHeight="1">
      <c r="A3211" s="8" t="s">
        <v>17412</v>
      </c>
      <c r="B3211" s="16">
        <v>51</v>
      </c>
      <c r="C3211" s="8" t="s">
        <v>20</v>
      </c>
      <c r="D3211" s="8" t="s">
        <v>85</v>
      </c>
      <c r="E3211" s="8" t="s">
        <v>17413</v>
      </c>
      <c r="F3211" s="17">
        <v>41385</v>
      </c>
      <c r="G3211" s="8" t="s">
        <v>17414</v>
      </c>
      <c r="H3211" s="8" t="s">
        <v>285</v>
      </c>
      <c r="I3211" s="8" t="s">
        <v>73</v>
      </c>
      <c r="J3211" s="16" t="s">
        <v>10755</v>
      </c>
      <c r="K3211" s="2" t="s">
        <v>285</v>
      </c>
      <c r="L3211" s="8" t="s">
        <v>286</v>
      </c>
      <c r="M3211" s="8" t="s">
        <v>379</v>
      </c>
      <c r="N3211" s="2" t="s">
        <v>17415</v>
      </c>
      <c r="O3211" s="8" t="s">
        <v>1790</v>
      </c>
      <c r="P3211" s="8" t="s">
        <v>1162</v>
      </c>
      <c r="Q3211" s="12" t="s">
        <v>17416</v>
      </c>
      <c r="R3211" s="8" t="s">
        <v>100</v>
      </c>
      <c r="S3211" s="7" t="s">
        <v>18</v>
      </c>
      <c r="T3211" s="6"/>
      <c r="U3211" s="8"/>
    </row>
    <row r="3212" spans="1:34" ht="13" customHeight="1">
      <c r="A3212" s="8" t="s">
        <v>17417</v>
      </c>
      <c r="B3212" s="16" t="s">
        <v>9418</v>
      </c>
      <c r="C3212" s="8" t="s">
        <v>20</v>
      </c>
      <c r="D3212" s="8" t="s">
        <v>85</v>
      </c>
      <c r="E3212" s="8" t="s">
        <v>17418</v>
      </c>
      <c r="F3212" s="17">
        <v>41385</v>
      </c>
      <c r="G3212" s="8" t="s">
        <v>17419</v>
      </c>
      <c r="H3212" s="8" t="s">
        <v>17420</v>
      </c>
      <c r="I3212" s="8" t="s">
        <v>303</v>
      </c>
      <c r="J3212" s="16" t="s">
        <v>17421</v>
      </c>
      <c r="K3212" s="2" t="s">
        <v>1212</v>
      </c>
      <c r="L3212" s="8" t="s">
        <v>17422</v>
      </c>
      <c r="M3212" s="8" t="s">
        <v>27</v>
      </c>
      <c r="N3212" s="2" t="s">
        <v>17423</v>
      </c>
      <c r="O3212" s="8" t="s">
        <v>29</v>
      </c>
      <c r="P3212" s="8" t="s">
        <v>401</v>
      </c>
      <c r="Q3212" s="12" t="s">
        <v>17424</v>
      </c>
      <c r="R3212" s="8" t="s">
        <v>100</v>
      </c>
      <c r="S3212" s="7" t="s">
        <v>28</v>
      </c>
      <c r="T3212" s="6"/>
      <c r="U3212" s="8"/>
    </row>
    <row r="3213" spans="1:34" ht="13" customHeight="1">
      <c r="A3213" s="8" t="s">
        <v>17425</v>
      </c>
      <c r="B3213" s="16">
        <v>22</v>
      </c>
      <c r="C3213" s="8" t="s">
        <v>20</v>
      </c>
      <c r="D3213" s="8" t="s">
        <v>85</v>
      </c>
      <c r="E3213" s="8" t="s">
        <v>17426</v>
      </c>
      <c r="F3213" s="17">
        <v>41384</v>
      </c>
      <c r="G3213" s="8" t="s">
        <v>17427</v>
      </c>
      <c r="H3213" s="8" t="s">
        <v>61</v>
      </c>
      <c r="I3213" s="8" t="s">
        <v>62</v>
      </c>
      <c r="J3213" s="16" t="s">
        <v>13464</v>
      </c>
      <c r="K3213" s="2" t="s">
        <v>5354</v>
      </c>
      <c r="L3213" s="8" t="s">
        <v>63</v>
      </c>
      <c r="M3213" s="8" t="s">
        <v>27</v>
      </c>
      <c r="N3213" s="2" t="s">
        <v>21502</v>
      </c>
      <c r="O3213" s="8" t="s">
        <v>1013</v>
      </c>
      <c r="P3213" s="8" t="s">
        <v>401</v>
      </c>
      <c r="Q3213" s="12" t="str">
        <f>HYPERLINK("http://www.palmbeachpost.com/news/news/man-shot-and-killed-by-deputies-near-marriott-in-w/nXR2K/","http://www.palmbeachpost.com/news/news/man-shot-and-killed-by-deputies-near-marriott-in-w/nXR2K/")</f>
        <v>http://www.palmbeachpost.com/news/news/man-shot-and-killed-by-deputies-near-marriott-in-w/nXR2K/</v>
      </c>
      <c r="R3213" s="8" t="s">
        <v>100</v>
      </c>
      <c r="S3213" s="7" t="s">
        <v>18</v>
      </c>
      <c r="T3213" s="6"/>
      <c r="U3213" s="8"/>
    </row>
    <row r="3214" spans="1:34" ht="13" customHeight="1">
      <c r="A3214" s="8" t="s">
        <v>17433</v>
      </c>
      <c r="B3214" s="16" t="s">
        <v>16177</v>
      </c>
      <c r="C3214" s="8" t="s">
        <v>20</v>
      </c>
      <c r="D3214" s="8" t="s">
        <v>48</v>
      </c>
      <c r="E3214" s="8" t="s">
        <v>17434</v>
      </c>
      <c r="F3214" s="17">
        <v>41384</v>
      </c>
      <c r="G3214" s="8" t="s">
        <v>17435</v>
      </c>
      <c r="H3214" s="8" t="s">
        <v>1750</v>
      </c>
      <c r="I3214" s="8" t="s">
        <v>45</v>
      </c>
      <c r="J3214" s="16" t="s">
        <v>1751</v>
      </c>
      <c r="K3214" s="2" t="s">
        <v>1166</v>
      </c>
      <c r="L3214" s="8" t="s">
        <v>1752</v>
      </c>
      <c r="M3214" s="8" t="s">
        <v>27</v>
      </c>
      <c r="N3214" s="2" t="s">
        <v>17436</v>
      </c>
      <c r="O3214" s="8" t="s">
        <v>29</v>
      </c>
      <c r="P3214" s="8" t="s">
        <v>401</v>
      </c>
      <c r="Q3214" s="12" t="s">
        <v>17437</v>
      </c>
      <c r="R3214" s="8" t="s">
        <v>29</v>
      </c>
      <c r="S3214" s="7" t="s">
        <v>28</v>
      </c>
      <c r="T3214" s="6"/>
      <c r="U3214" s="8"/>
    </row>
    <row r="3215" spans="1:34" ht="13" customHeight="1">
      <c r="A3215" s="8" t="s">
        <v>17428</v>
      </c>
      <c r="B3215" s="16" t="s">
        <v>10251</v>
      </c>
      <c r="C3215" s="8" t="s">
        <v>20</v>
      </c>
      <c r="D3215" s="8" t="s">
        <v>48</v>
      </c>
      <c r="E3215" s="8" t="s">
        <v>17429</v>
      </c>
      <c r="F3215" s="17">
        <v>41384</v>
      </c>
      <c r="G3215" s="8" t="s">
        <v>17430</v>
      </c>
      <c r="H3215" s="8" t="s">
        <v>634</v>
      </c>
      <c r="I3215" s="8" t="s">
        <v>123</v>
      </c>
      <c r="J3215" s="16" t="s">
        <v>16550</v>
      </c>
      <c r="K3215" s="2" t="s">
        <v>635</v>
      </c>
      <c r="L3215" s="8" t="s">
        <v>636</v>
      </c>
      <c r="M3215" s="8" t="s">
        <v>27</v>
      </c>
      <c r="N3215" s="2" t="s">
        <v>17431</v>
      </c>
      <c r="O3215" s="8" t="s">
        <v>29</v>
      </c>
      <c r="P3215" s="8" t="s">
        <v>401</v>
      </c>
      <c r="Q3215" s="12" t="s">
        <v>17432</v>
      </c>
      <c r="R3215" s="8" t="s">
        <v>100</v>
      </c>
      <c r="S3215" s="7" t="s">
        <v>28</v>
      </c>
      <c r="T3215" s="6"/>
      <c r="U3215" s="8"/>
    </row>
    <row r="3216" spans="1:34" ht="13" customHeight="1">
      <c r="A3216" s="8" t="s">
        <v>17454</v>
      </c>
      <c r="B3216" s="16" t="s">
        <v>15893</v>
      </c>
      <c r="C3216" s="8" t="s">
        <v>20</v>
      </c>
      <c r="D3216" s="8" t="s">
        <v>37</v>
      </c>
      <c r="E3216" s="8" t="s">
        <v>17455</v>
      </c>
      <c r="F3216" s="17">
        <v>41384</v>
      </c>
      <c r="G3216" s="8" t="s">
        <v>17456</v>
      </c>
      <c r="H3216" s="8" t="s">
        <v>634</v>
      </c>
      <c r="I3216" s="8" t="s">
        <v>123</v>
      </c>
      <c r="J3216" s="16" t="s">
        <v>17457</v>
      </c>
      <c r="K3216" s="2" t="s">
        <v>635</v>
      </c>
      <c r="L3216" s="8" t="s">
        <v>636</v>
      </c>
      <c r="M3216" s="8" t="s">
        <v>27</v>
      </c>
      <c r="N3216" s="2" t="s">
        <v>17458</v>
      </c>
      <c r="O3216" s="8" t="s">
        <v>29</v>
      </c>
      <c r="P3216" s="8" t="s">
        <v>401</v>
      </c>
      <c r="Q3216" s="12" t="s">
        <v>17459</v>
      </c>
      <c r="R3216" s="8" t="s">
        <v>29</v>
      </c>
      <c r="S3216" s="7" t="s">
        <v>28</v>
      </c>
      <c r="T3216" s="6"/>
      <c r="U3216" s="8"/>
    </row>
    <row r="3217" spans="1:21" ht="13" customHeight="1">
      <c r="A3217" s="8" t="s">
        <v>17445</v>
      </c>
      <c r="B3217" s="16" t="s">
        <v>16177</v>
      </c>
      <c r="C3217" s="8" t="s">
        <v>20</v>
      </c>
      <c r="D3217" s="8" t="s">
        <v>37</v>
      </c>
      <c r="E3217" s="8" t="s">
        <v>17446</v>
      </c>
      <c r="F3217" s="17">
        <v>41384</v>
      </c>
      <c r="G3217" s="8" t="s">
        <v>17447</v>
      </c>
      <c r="H3217" s="8" t="s">
        <v>17448</v>
      </c>
      <c r="I3217" s="8" t="s">
        <v>671</v>
      </c>
      <c r="J3217" s="16" t="s">
        <v>17449</v>
      </c>
      <c r="K3217" s="2" t="s">
        <v>17450</v>
      </c>
      <c r="L3217" s="8" t="s">
        <v>17451</v>
      </c>
      <c r="M3217" s="8" t="s">
        <v>27</v>
      </c>
      <c r="N3217" s="2" t="s">
        <v>17452</v>
      </c>
      <c r="O3217" s="8" t="s">
        <v>29</v>
      </c>
      <c r="P3217" s="8" t="s">
        <v>401</v>
      </c>
      <c r="Q3217" s="12" t="s">
        <v>17453</v>
      </c>
      <c r="R3217" s="8" t="s">
        <v>29</v>
      </c>
      <c r="S3217" s="7" t="s">
        <v>28</v>
      </c>
      <c r="T3217" s="6"/>
      <c r="U3217" s="8"/>
    </row>
    <row r="3218" spans="1:21" ht="13" customHeight="1">
      <c r="A3218" s="8" t="s">
        <v>17438</v>
      </c>
      <c r="B3218" s="16" t="s">
        <v>15831</v>
      </c>
      <c r="C3218" s="8" t="s">
        <v>20</v>
      </c>
      <c r="D3218" s="8" t="s">
        <v>37</v>
      </c>
      <c r="E3218" s="8" t="s">
        <v>17439</v>
      </c>
      <c r="F3218" s="17">
        <v>41384</v>
      </c>
      <c r="G3218" s="8" t="s">
        <v>17440</v>
      </c>
      <c r="H3218" s="8" t="s">
        <v>17441</v>
      </c>
      <c r="I3218" s="8" t="s">
        <v>123</v>
      </c>
      <c r="J3218" s="16" t="s">
        <v>17442</v>
      </c>
      <c r="K3218" s="2" t="s">
        <v>635</v>
      </c>
      <c r="L3218" s="8" t="s">
        <v>1433</v>
      </c>
      <c r="M3218" s="8" t="s">
        <v>27</v>
      </c>
      <c r="N3218" s="2" t="s">
        <v>17443</v>
      </c>
      <c r="O3218" s="8" t="s">
        <v>29</v>
      </c>
      <c r="P3218" s="8" t="s">
        <v>401</v>
      </c>
      <c r="Q3218" s="12" t="s">
        <v>17444</v>
      </c>
      <c r="R3218" s="8" t="s">
        <v>100</v>
      </c>
      <c r="S3218" s="7" t="s">
        <v>28</v>
      </c>
      <c r="T3218" s="6"/>
      <c r="U3218" s="8"/>
    </row>
    <row r="3219" spans="1:21" ht="13" customHeight="1">
      <c r="A3219" s="8" t="s">
        <v>17460</v>
      </c>
      <c r="B3219" s="16" t="s">
        <v>17249</v>
      </c>
      <c r="C3219" s="8" t="s">
        <v>114</v>
      </c>
      <c r="D3219" s="8" t="s">
        <v>48</v>
      </c>
      <c r="E3219" s="8" t="s">
        <v>17461</v>
      </c>
      <c r="F3219" s="17">
        <v>41383</v>
      </c>
      <c r="G3219" s="8" t="s">
        <v>17462</v>
      </c>
      <c r="H3219" s="8" t="s">
        <v>17463</v>
      </c>
      <c r="I3219" s="8" t="s">
        <v>244</v>
      </c>
      <c r="J3219" s="16" t="s">
        <v>17464</v>
      </c>
      <c r="K3219" s="2" t="s">
        <v>17463</v>
      </c>
      <c r="L3219" s="8" t="s">
        <v>405</v>
      </c>
      <c r="M3219" s="8" t="s">
        <v>27</v>
      </c>
      <c r="N3219" s="2" t="s">
        <v>17465</v>
      </c>
      <c r="O3219" s="8" t="s">
        <v>16653</v>
      </c>
      <c r="P3219" s="8" t="s">
        <v>1162</v>
      </c>
      <c r="Q3219" s="12" t="s">
        <v>17466</v>
      </c>
      <c r="R3219" s="8" t="s">
        <v>100</v>
      </c>
      <c r="S3219" s="7" t="s">
        <v>28</v>
      </c>
      <c r="T3219" s="6"/>
      <c r="U3219" s="8"/>
    </row>
    <row r="3220" spans="1:21" ht="13" customHeight="1">
      <c r="A3220" s="8" t="s">
        <v>17475</v>
      </c>
      <c r="B3220" s="16" t="s">
        <v>17476</v>
      </c>
      <c r="C3220" s="8" t="s">
        <v>20</v>
      </c>
      <c r="D3220" s="8" t="s">
        <v>30</v>
      </c>
      <c r="F3220" s="17">
        <v>41383</v>
      </c>
      <c r="G3220" s="8" t="s">
        <v>17477</v>
      </c>
      <c r="H3220" s="8" t="s">
        <v>17478</v>
      </c>
      <c r="I3220" s="8" t="s">
        <v>404</v>
      </c>
      <c r="J3220" s="16" t="s">
        <v>17479</v>
      </c>
      <c r="K3220" s="2" t="s">
        <v>17480</v>
      </c>
      <c r="L3220" s="8" t="s">
        <v>17481</v>
      </c>
      <c r="M3220" s="8" t="s">
        <v>27</v>
      </c>
      <c r="N3220" s="2" t="s">
        <v>17482</v>
      </c>
      <c r="O3220" s="8" t="s">
        <v>29</v>
      </c>
      <c r="P3220" s="8" t="s">
        <v>401</v>
      </c>
      <c r="Q3220" s="12" t="s">
        <v>17483</v>
      </c>
      <c r="R3220" s="8" t="s">
        <v>29</v>
      </c>
      <c r="S3220" s="7" t="s">
        <v>28</v>
      </c>
      <c r="T3220" s="6"/>
      <c r="U3220" s="8"/>
    </row>
    <row r="3221" spans="1:21" ht="13" customHeight="1">
      <c r="A3221" s="8" t="s">
        <v>17471</v>
      </c>
      <c r="B3221" s="16" t="s">
        <v>15408</v>
      </c>
      <c r="C3221" s="8" t="s">
        <v>20</v>
      </c>
      <c r="D3221" s="8" t="s">
        <v>30</v>
      </c>
      <c r="F3221" s="17">
        <v>41383</v>
      </c>
      <c r="G3221" s="8" t="s">
        <v>17472</v>
      </c>
      <c r="H3221" s="8" t="s">
        <v>3339</v>
      </c>
      <c r="I3221" s="8" t="s">
        <v>123</v>
      </c>
      <c r="J3221" s="16" t="s">
        <v>3340</v>
      </c>
      <c r="K3221" s="2" t="s">
        <v>635</v>
      </c>
      <c r="L3221" s="8" t="s">
        <v>636</v>
      </c>
      <c r="M3221" s="8" t="s">
        <v>27</v>
      </c>
      <c r="N3221" s="2" t="s">
        <v>17473</v>
      </c>
      <c r="O3221" s="8" t="s">
        <v>29</v>
      </c>
      <c r="P3221" s="8" t="s">
        <v>401</v>
      </c>
      <c r="Q3221" s="12" t="s">
        <v>17474</v>
      </c>
      <c r="R3221" s="8" t="s">
        <v>100</v>
      </c>
      <c r="S3221" s="7" t="s">
        <v>28</v>
      </c>
      <c r="T3221" s="6"/>
      <c r="U3221" s="8"/>
    </row>
    <row r="3222" spans="1:21" ht="13" customHeight="1">
      <c r="A3222" s="8" t="s">
        <v>17467</v>
      </c>
      <c r="B3222" s="16">
        <v>51</v>
      </c>
      <c r="C3222" s="8" t="s">
        <v>20</v>
      </c>
      <c r="D3222" s="8" t="s">
        <v>30</v>
      </c>
      <c r="F3222" s="17">
        <v>41383</v>
      </c>
      <c r="G3222" s="8" t="s">
        <v>17468</v>
      </c>
      <c r="H3222" s="8" t="s">
        <v>11875</v>
      </c>
      <c r="I3222" s="8" t="s">
        <v>52</v>
      </c>
      <c r="J3222" s="16" t="s">
        <v>11876</v>
      </c>
      <c r="K3222" s="2" t="s">
        <v>1059</v>
      </c>
      <c r="L3222" s="8" t="s">
        <v>2367</v>
      </c>
      <c r="M3222" s="8" t="s">
        <v>391</v>
      </c>
      <c r="N3222" s="2" t="s">
        <v>17469</v>
      </c>
      <c r="O3222" s="8" t="s">
        <v>1013</v>
      </c>
      <c r="P3222" s="8" t="s">
        <v>401</v>
      </c>
      <c r="Q3222" s="12" t="s">
        <v>17470</v>
      </c>
      <c r="R3222" s="8" t="s">
        <v>100</v>
      </c>
      <c r="S3222" s="7" t="s">
        <v>28</v>
      </c>
      <c r="T3222" s="6"/>
      <c r="U3222" s="8"/>
    </row>
    <row r="3223" spans="1:21" ht="13" customHeight="1">
      <c r="A3223" s="8" t="s">
        <v>17484</v>
      </c>
      <c r="B3223" s="16">
        <v>66</v>
      </c>
      <c r="C3223" s="8" t="s">
        <v>20</v>
      </c>
      <c r="D3223" s="8" t="s">
        <v>37</v>
      </c>
      <c r="F3223" s="17">
        <v>41383</v>
      </c>
      <c r="G3223" s="8" t="s">
        <v>17485</v>
      </c>
      <c r="H3223" s="8" t="s">
        <v>17486</v>
      </c>
      <c r="I3223" s="8" t="s">
        <v>438</v>
      </c>
      <c r="J3223" s="16" t="s">
        <v>17487</v>
      </c>
      <c r="K3223" s="2" t="s">
        <v>2343</v>
      </c>
      <c r="L3223" s="8" t="s">
        <v>17488</v>
      </c>
      <c r="M3223" s="8" t="s">
        <v>27</v>
      </c>
      <c r="N3223" s="2" t="s">
        <v>17489</v>
      </c>
      <c r="O3223" s="8" t="s">
        <v>550</v>
      </c>
      <c r="P3223" s="8" t="s">
        <v>401</v>
      </c>
      <c r="Q3223" s="12" t="s">
        <v>17490</v>
      </c>
      <c r="R3223" s="8" t="s">
        <v>555</v>
      </c>
      <c r="S3223" s="7" t="s">
        <v>28</v>
      </c>
      <c r="T3223" s="6"/>
      <c r="U3223" s="8"/>
    </row>
    <row r="3224" spans="1:21" ht="13" customHeight="1">
      <c r="A3224" s="8" t="s">
        <v>17491</v>
      </c>
      <c r="B3224" s="16" t="s">
        <v>17249</v>
      </c>
      <c r="C3224" s="8" t="s">
        <v>20</v>
      </c>
      <c r="D3224" s="8" t="s">
        <v>30</v>
      </c>
      <c r="F3224" s="17">
        <v>41382</v>
      </c>
      <c r="G3224" s="8" t="s">
        <v>17492</v>
      </c>
      <c r="H3224" s="8" t="s">
        <v>1596</v>
      </c>
      <c r="I3224" s="8" t="s">
        <v>52</v>
      </c>
      <c r="J3224" s="16" t="s">
        <v>17493</v>
      </c>
      <c r="K3224" s="2" t="s">
        <v>4727</v>
      </c>
      <c r="L3224" s="8" t="s">
        <v>2782</v>
      </c>
      <c r="M3224" s="8" t="s">
        <v>27</v>
      </c>
      <c r="N3224" s="2" t="s">
        <v>17494</v>
      </c>
      <c r="O3224" s="8" t="s">
        <v>29</v>
      </c>
      <c r="P3224" s="8" t="s">
        <v>401</v>
      </c>
      <c r="Q3224" s="12" t="s">
        <v>17495</v>
      </c>
      <c r="R3224" s="8" t="s">
        <v>29</v>
      </c>
      <c r="S3224" s="7" t="s">
        <v>28</v>
      </c>
      <c r="T3224" s="6"/>
      <c r="U3224" s="8"/>
    </row>
    <row r="3225" spans="1:21" ht="13" customHeight="1">
      <c r="A3225" s="8" t="s">
        <v>17505</v>
      </c>
      <c r="B3225" s="16">
        <v>26</v>
      </c>
      <c r="C3225" s="8" t="s">
        <v>20</v>
      </c>
      <c r="D3225" s="8" t="s">
        <v>37</v>
      </c>
      <c r="E3225" s="8" t="s">
        <v>17506</v>
      </c>
      <c r="F3225" s="17">
        <v>41382</v>
      </c>
      <c r="G3225" s="8" t="s">
        <v>17507</v>
      </c>
      <c r="H3225" s="8" t="s">
        <v>17508</v>
      </c>
      <c r="I3225" s="8" t="s">
        <v>46</v>
      </c>
      <c r="J3225" s="16" t="s">
        <v>17509</v>
      </c>
      <c r="K3225" s="2" t="s">
        <v>42</v>
      </c>
      <c r="L3225" s="8" t="s">
        <v>17510</v>
      </c>
      <c r="M3225" s="8" t="s">
        <v>27</v>
      </c>
      <c r="N3225" s="2" t="s">
        <v>17511</v>
      </c>
      <c r="O3225" s="8" t="s">
        <v>29</v>
      </c>
      <c r="P3225" s="8" t="s">
        <v>401</v>
      </c>
      <c r="Q3225" s="12" t="s">
        <v>17512</v>
      </c>
      <c r="R3225" s="8" t="s">
        <v>100</v>
      </c>
      <c r="S3225" s="7" t="s">
        <v>28</v>
      </c>
      <c r="T3225" s="6"/>
      <c r="U3225" s="8"/>
    </row>
    <row r="3226" spans="1:21" ht="13" customHeight="1">
      <c r="A3226" s="8" t="s">
        <v>17513</v>
      </c>
      <c r="B3226" s="16">
        <v>47</v>
      </c>
      <c r="C3226" s="8" t="s">
        <v>114</v>
      </c>
      <c r="D3226" s="8" t="s">
        <v>37</v>
      </c>
      <c r="F3226" s="17">
        <v>41382</v>
      </c>
      <c r="G3226" s="8" t="s">
        <v>17514</v>
      </c>
      <c r="H3226" s="8" t="s">
        <v>16006</v>
      </c>
      <c r="I3226" s="8" t="s">
        <v>150</v>
      </c>
      <c r="J3226" s="16" t="s">
        <v>16007</v>
      </c>
      <c r="K3226" s="2" t="s">
        <v>151</v>
      </c>
      <c r="L3226" s="8" t="s">
        <v>17515</v>
      </c>
      <c r="M3226" s="8" t="s">
        <v>27</v>
      </c>
      <c r="N3226" s="2" t="s">
        <v>17516</v>
      </c>
      <c r="O3226" s="8" t="s">
        <v>29</v>
      </c>
      <c r="P3226" s="8" t="s">
        <v>401</v>
      </c>
      <c r="Q3226" s="12" t="s">
        <v>17517</v>
      </c>
      <c r="R3226" s="8" t="s">
        <v>555</v>
      </c>
      <c r="S3226" s="7" t="s">
        <v>28</v>
      </c>
      <c r="T3226" s="6"/>
      <c r="U3226" s="8"/>
    </row>
    <row r="3227" spans="1:21" ht="13" customHeight="1">
      <c r="A3227" s="8" t="s">
        <v>17496</v>
      </c>
      <c r="B3227" s="16" t="s">
        <v>10160</v>
      </c>
      <c r="C3227" s="8" t="s">
        <v>20</v>
      </c>
      <c r="D3227" s="8" t="s">
        <v>37</v>
      </c>
      <c r="E3227" s="8" t="s">
        <v>17497</v>
      </c>
      <c r="F3227" s="17">
        <v>41382</v>
      </c>
      <c r="G3227" s="8" t="s">
        <v>17498</v>
      </c>
      <c r="H3227" s="8" t="s">
        <v>17499</v>
      </c>
      <c r="I3227" s="8" t="s">
        <v>404</v>
      </c>
      <c r="J3227" s="16" t="s">
        <v>17500</v>
      </c>
      <c r="K3227" s="2" t="s">
        <v>17501</v>
      </c>
      <c r="L3227" s="8" t="s">
        <v>17502</v>
      </c>
      <c r="M3227" s="8" t="s">
        <v>27</v>
      </c>
      <c r="N3227" s="2" t="s">
        <v>17503</v>
      </c>
      <c r="O3227" s="8" t="s">
        <v>550</v>
      </c>
      <c r="P3227" s="8" t="s">
        <v>401</v>
      </c>
      <c r="Q3227" s="12" t="s">
        <v>17504</v>
      </c>
      <c r="R3227" s="8" t="s">
        <v>100</v>
      </c>
      <c r="S3227" s="7" t="s">
        <v>28</v>
      </c>
      <c r="T3227" s="6"/>
      <c r="U3227" s="8"/>
    </row>
    <row r="3228" spans="1:21" ht="13" customHeight="1">
      <c r="A3228" s="8" t="s">
        <v>17518</v>
      </c>
      <c r="B3228" s="16" t="s">
        <v>15893</v>
      </c>
      <c r="C3228" s="8" t="s">
        <v>20</v>
      </c>
      <c r="D3228" s="8" t="s">
        <v>85</v>
      </c>
      <c r="E3228" s="8" t="s">
        <v>17519</v>
      </c>
      <c r="F3228" s="17">
        <v>41381</v>
      </c>
      <c r="G3228" s="8" t="s">
        <v>17520</v>
      </c>
      <c r="H3228" s="8" t="s">
        <v>17521</v>
      </c>
      <c r="I3228" s="8" t="s">
        <v>57</v>
      </c>
      <c r="J3228" s="16" t="s">
        <v>8850</v>
      </c>
      <c r="K3228" s="2" t="s">
        <v>8556</v>
      </c>
      <c r="L3228" s="8" t="s">
        <v>17522</v>
      </c>
      <c r="M3228" s="8" t="s">
        <v>27</v>
      </c>
      <c r="N3228" s="2" t="s">
        <v>17523</v>
      </c>
      <c r="O3228" s="8" t="s">
        <v>550</v>
      </c>
      <c r="P3228" s="8" t="s">
        <v>401</v>
      </c>
      <c r="Q3228" s="12" t="s">
        <v>17524</v>
      </c>
      <c r="R3228" s="8" t="s">
        <v>100</v>
      </c>
      <c r="S3228" s="7" t="s">
        <v>28</v>
      </c>
      <c r="T3228" s="6"/>
      <c r="U3228" s="8"/>
    </row>
    <row r="3229" spans="1:21" ht="13" customHeight="1">
      <c r="A3229" s="8" t="s">
        <v>17525</v>
      </c>
      <c r="B3229" s="16" t="s">
        <v>16177</v>
      </c>
      <c r="C3229" s="8" t="s">
        <v>20</v>
      </c>
      <c r="D3229" s="8" t="s">
        <v>48</v>
      </c>
      <c r="F3229" s="17">
        <v>41381</v>
      </c>
      <c r="G3229" s="8" t="s">
        <v>17526</v>
      </c>
      <c r="H3229" s="8" t="s">
        <v>17527</v>
      </c>
      <c r="I3229" s="8" t="s">
        <v>73</v>
      </c>
      <c r="J3229" s="16" t="s">
        <v>17528</v>
      </c>
      <c r="K3229" s="2" t="s">
        <v>7619</v>
      </c>
      <c r="L3229" s="8" t="s">
        <v>17529</v>
      </c>
      <c r="M3229" s="8" t="s">
        <v>27</v>
      </c>
      <c r="N3229" s="2" t="s">
        <v>17530</v>
      </c>
      <c r="O3229" s="8" t="s">
        <v>29</v>
      </c>
      <c r="P3229" s="8" t="s">
        <v>401</v>
      </c>
      <c r="Q3229" s="12" t="s">
        <v>17531</v>
      </c>
      <c r="R3229" s="8" t="s">
        <v>100</v>
      </c>
      <c r="S3229" s="7" t="s">
        <v>28</v>
      </c>
      <c r="T3229" s="6"/>
      <c r="U3229" s="8"/>
    </row>
    <row r="3230" spans="1:21" ht="13" customHeight="1">
      <c r="A3230" s="8" t="s">
        <v>17532</v>
      </c>
      <c r="B3230" s="16">
        <v>60</v>
      </c>
      <c r="C3230" s="8" t="s">
        <v>20</v>
      </c>
      <c r="D3230" s="8" t="s">
        <v>37</v>
      </c>
      <c r="F3230" s="17">
        <v>41381</v>
      </c>
      <c r="G3230" s="8" t="s">
        <v>17533</v>
      </c>
      <c r="H3230" s="8" t="s">
        <v>948</v>
      </c>
      <c r="I3230" s="8" t="s">
        <v>45</v>
      </c>
      <c r="J3230" s="16" t="s">
        <v>6870</v>
      </c>
      <c r="K3230" s="2" t="s">
        <v>948</v>
      </c>
      <c r="L3230" s="8" t="s">
        <v>949</v>
      </c>
      <c r="M3230" s="8" t="s">
        <v>27</v>
      </c>
      <c r="N3230" s="2" t="s">
        <v>17534</v>
      </c>
      <c r="O3230" s="8" t="s">
        <v>29</v>
      </c>
      <c r="P3230" s="8" t="s">
        <v>401</v>
      </c>
      <c r="Q3230" s="12" t="s">
        <v>17535</v>
      </c>
      <c r="R3230" s="8" t="s">
        <v>29</v>
      </c>
      <c r="S3230" s="7" t="s">
        <v>28</v>
      </c>
      <c r="T3230" s="6"/>
      <c r="U3230" s="8"/>
    </row>
    <row r="3231" spans="1:21" ht="13" customHeight="1">
      <c r="A3231" s="8" t="s">
        <v>17536</v>
      </c>
      <c r="B3231" s="16">
        <v>1</v>
      </c>
      <c r="C3231" s="8" t="s">
        <v>20</v>
      </c>
      <c r="D3231" s="8" t="s">
        <v>85</v>
      </c>
      <c r="F3231" s="17">
        <v>41379</v>
      </c>
      <c r="G3231" s="8" t="s">
        <v>17537</v>
      </c>
      <c r="H3231" s="8" t="s">
        <v>1714</v>
      </c>
      <c r="I3231" s="8" t="s">
        <v>423</v>
      </c>
      <c r="J3231" s="16" t="s">
        <v>9766</v>
      </c>
      <c r="K3231" s="2" t="s">
        <v>1716</v>
      </c>
      <c r="L3231" s="8" t="s">
        <v>582</v>
      </c>
      <c r="M3231" s="8" t="s">
        <v>27</v>
      </c>
      <c r="N3231" s="2" t="s">
        <v>17538</v>
      </c>
      <c r="O3231" s="8" t="s">
        <v>1161</v>
      </c>
      <c r="P3231" s="8" t="s">
        <v>1162</v>
      </c>
      <c r="Q3231" s="12" t="s">
        <v>17539</v>
      </c>
      <c r="R3231" s="8" t="s">
        <v>555</v>
      </c>
      <c r="S3231" s="7" t="s">
        <v>18</v>
      </c>
      <c r="T3231" s="6"/>
      <c r="U3231" s="8"/>
    </row>
    <row r="3232" spans="1:21" ht="13" customHeight="1">
      <c r="A3232" s="8" t="s">
        <v>17540</v>
      </c>
      <c r="B3232" s="16">
        <v>33</v>
      </c>
      <c r="C3232" s="8" t="s">
        <v>20</v>
      </c>
      <c r="D3232" s="8" t="s">
        <v>85</v>
      </c>
      <c r="F3232" s="17">
        <v>41379</v>
      </c>
      <c r="G3232" s="8" t="s">
        <v>17537</v>
      </c>
      <c r="H3232" s="8" t="s">
        <v>1714</v>
      </c>
      <c r="I3232" s="8" t="s">
        <v>423</v>
      </c>
      <c r="J3232" s="16" t="s">
        <v>9766</v>
      </c>
      <c r="K3232" s="2" t="s">
        <v>1716</v>
      </c>
      <c r="L3232" s="8" t="s">
        <v>582</v>
      </c>
      <c r="M3232" s="8" t="s">
        <v>27</v>
      </c>
      <c r="N3232" s="2" t="s">
        <v>17538</v>
      </c>
      <c r="O3232" s="8" t="s">
        <v>1161</v>
      </c>
      <c r="P3232" s="8" t="s">
        <v>1162</v>
      </c>
      <c r="Q3232" s="12" t="s">
        <v>17539</v>
      </c>
      <c r="R3232" s="8" t="s">
        <v>555</v>
      </c>
      <c r="S3232" s="7" t="s">
        <v>18</v>
      </c>
      <c r="T3232" s="6"/>
      <c r="U3232" s="8"/>
    </row>
    <row r="3233" spans="1:34" ht="13" customHeight="1">
      <c r="A3233" s="8" t="s">
        <v>17541</v>
      </c>
      <c r="B3233" s="16">
        <v>29</v>
      </c>
      <c r="C3233" s="8" t="s">
        <v>20</v>
      </c>
      <c r="D3233" s="8" t="s">
        <v>48</v>
      </c>
      <c r="F3233" s="17">
        <v>41377</v>
      </c>
      <c r="G3233" s="8" t="s">
        <v>17542</v>
      </c>
      <c r="H3233" s="8" t="s">
        <v>634</v>
      </c>
      <c r="I3233" s="8" t="s">
        <v>123</v>
      </c>
      <c r="J3233" s="16" t="s">
        <v>17543</v>
      </c>
      <c r="K3233" s="2" t="s">
        <v>635</v>
      </c>
      <c r="L3233" s="8" t="s">
        <v>636</v>
      </c>
      <c r="M3233" s="8" t="s">
        <v>27</v>
      </c>
      <c r="N3233" s="2" t="s">
        <v>17544</v>
      </c>
      <c r="O3233" s="8" t="s">
        <v>29</v>
      </c>
      <c r="P3233" s="8" t="s">
        <v>401</v>
      </c>
      <c r="Q3233" s="12" t="s">
        <v>17545</v>
      </c>
      <c r="R3233" s="8" t="s">
        <v>100</v>
      </c>
      <c r="S3233" s="7" t="s">
        <v>28</v>
      </c>
      <c r="T3233" s="6"/>
      <c r="U3233" s="8"/>
    </row>
    <row r="3234" spans="1:34" ht="13" customHeight="1">
      <c r="A3234" s="8" t="s">
        <v>17546</v>
      </c>
      <c r="B3234" s="16" t="s">
        <v>13841</v>
      </c>
      <c r="C3234" s="8" t="s">
        <v>20</v>
      </c>
      <c r="D3234" s="8" t="s">
        <v>30</v>
      </c>
      <c r="F3234" s="17">
        <v>41376</v>
      </c>
      <c r="G3234" s="8" t="s">
        <v>17547</v>
      </c>
      <c r="H3234" s="8" t="s">
        <v>17548</v>
      </c>
      <c r="I3234" s="8" t="s">
        <v>431</v>
      </c>
      <c r="J3234" s="16" t="s">
        <v>17549</v>
      </c>
      <c r="K3234" s="2" t="s">
        <v>4979</v>
      </c>
      <c r="L3234" s="8" t="s">
        <v>17550</v>
      </c>
      <c r="M3234" s="8" t="s">
        <v>27</v>
      </c>
      <c r="N3234" s="2" t="s">
        <v>17551</v>
      </c>
      <c r="O3234" s="8" t="s">
        <v>550</v>
      </c>
      <c r="P3234" s="8" t="s">
        <v>401</v>
      </c>
      <c r="Q3234" s="12" t="s">
        <v>17552</v>
      </c>
      <c r="R3234" s="8" t="s">
        <v>29</v>
      </c>
      <c r="S3234" s="7" t="s">
        <v>28</v>
      </c>
      <c r="T3234" s="6"/>
      <c r="U3234" s="8"/>
      <c r="Y3234" s="8"/>
      <c r="Z3234" s="8"/>
      <c r="AA3234" s="8"/>
      <c r="AB3234" s="8"/>
      <c r="AC3234" s="8"/>
      <c r="AD3234" s="8"/>
      <c r="AE3234" s="8"/>
      <c r="AF3234" s="8"/>
      <c r="AG3234" s="8"/>
      <c r="AH3234" s="8"/>
    </row>
    <row r="3235" spans="1:34" ht="13" customHeight="1">
      <c r="A3235" s="8" t="s">
        <v>17553</v>
      </c>
      <c r="B3235" s="16" t="s">
        <v>17554</v>
      </c>
      <c r="C3235" s="8" t="s">
        <v>20</v>
      </c>
      <c r="D3235" s="8" t="s">
        <v>37</v>
      </c>
      <c r="E3235" s="8" t="s">
        <v>17555</v>
      </c>
      <c r="F3235" s="17">
        <v>41376</v>
      </c>
      <c r="G3235" s="8" t="s">
        <v>17556</v>
      </c>
      <c r="H3235" s="8" t="s">
        <v>17557</v>
      </c>
      <c r="I3235" s="8" t="s">
        <v>173</v>
      </c>
      <c r="J3235" s="16" t="s">
        <v>17558</v>
      </c>
      <c r="K3235" s="2" t="s">
        <v>1560</v>
      </c>
      <c r="L3235" s="8" t="s">
        <v>17559</v>
      </c>
      <c r="M3235" s="8" t="s">
        <v>27</v>
      </c>
      <c r="N3235" s="2" t="s">
        <v>17560</v>
      </c>
      <c r="O3235" s="8" t="s">
        <v>29</v>
      </c>
      <c r="P3235" s="8" t="s">
        <v>401</v>
      </c>
      <c r="Q3235" s="12" t="s">
        <v>17561</v>
      </c>
      <c r="R3235" s="8" t="s">
        <v>555</v>
      </c>
      <c r="S3235" s="7" t="s">
        <v>28</v>
      </c>
      <c r="T3235" s="6"/>
      <c r="U3235" s="8"/>
    </row>
    <row r="3236" spans="1:34" ht="13" customHeight="1">
      <c r="A3236" s="8" t="s">
        <v>17562</v>
      </c>
      <c r="B3236" s="16">
        <v>26</v>
      </c>
      <c r="C3236" s="8" t="s">
        <v>20</v>
      </c>
      <c r="D3236" s="8" t="s">
        <v>30</v>
      </c>
      <c r="F3236" s="17">
        <v>41375</v>
      </c>
      <c r="G3236" s="8" t="s">
        <v>17563</v>
      </c>
      <c r="H3236" s="8" t="s">
        <v>17564</v>
      </c>
      <c r="I3236" s="8" t="s">
        <v>303</v>
      </c>
      <c r="J3236" s="16" t="s">
        <v>17565</v>
      </c>
      <c r="K3236" s="2" t="s">
        <v>2155</v>
      </c>
      <c r="L3236" s="8" t="s">
        <v>17566</v>
      </c>
      <c r="M3236" s="8" t="s">
        <v>379</v>
      </c>
      <c r="N3236" s="2" t="s">
        <v>17567</v>
      </c>
      <c r="O3236" s="8" t="s">
        <v>1013</v>
      </c>
      <c r="P3236" s="8" t="s">
        <v>401</v>
      </c>
      <c r="Q3236" s="12" t="s">
        <v>17568</v>
      </c>
      <c r="R3236" s="8" t="s">
        <v>967</v>
      </c>
      <c r="S3236" s="7" t="s">
        <v>18</v>
      </c>
      <c r="T3236" s="6"/>
      <c r="U3236" s="8"/>
    </row>
    <row r="3237" spans="1:34" ht="13" customHeight="1">
      <c r="A3237" s="8" t="s">
        <v>17569</v>
      </c>
      <c r="B3237" s="16">
        <v>25</v>
      </c>
      <c r="C3237" s="8" t="s">
        <v>20</v>
      </c>
      <c r="D3237" s="8" t="s">
        <v>37</v>
      </c>
      <c r="E3237" s="8" t="s">
        <v>17570</v>
      </c>
      <c r="F3237" s="17">
        <v>41375</v>
      </c>
      <c r="G3237" s="8" t="s">
        <v>17571</v>
      </c>
      <c r="H3237" s="8" t="s">
        <v>17572</v>
      </c>
      <c r="I3237" s="8" t="s">
        <v>45</v>
      </c>
      <c r="J3237" s="16" t="s">
        <v>17573</v>
      </c>
      <c r="K3237" s="2" t="s">
        <v>2970</v>
      </c>
      <c r="L3237" s="8" t="s">
        <v>17574</v>
      </c>
      <c r="M3237" s="8" t="s">
        <v>27</v>
      </c>
      <c r="N3237" s="2" t="s">
        <v>17575</v>
      </c>
      <c r="O3237" s="8" t="s">
        <v>13713</v>
      </c>
      <c r="P3237" s="8" t="s">
        <v>401</v>
      </c>
      <c r="Q3237" s="12" t="s">
        <v>17576</v>
      </c>
      <c r="R3237" s="8" t="s">
        <v>29</v>
      </c>
      <c r="S3237" s="7" t="s">
        <v>28</v>
      </c>
      <c r="T3237" s="6"/>
      <c r="U3237" s="8"/>
    </row>
    <row r="3238" spans="1:34" ht="13" customHeight="1">
      <c r="A3238" s="8" t="s">
        <v>17585</v>
      </c>
      <c r="B3238" s="16" t="s">
        <v>13637</v>
      </c>
      <c r="C3238" s="8" t="s">
        <v>20</v>
      </c>
      <c r="D3238" s="8" t="s">
        <v>37</v>
      </c>
      <c r="E3238" s="8" t="s">
        <v>17586</v>
      </c>
      <c r="F3238" s="17">
        <v>41374</v>
      </c>
      <c r="G3238" s="8" t="s">
        <v>17587</v>
      </c>
      <c r="H3238" s="8" t="s">
        <v>1195</v>
      </c>
      <c r="I3238" s="8" t="s">
        <v>319</v>
      </c>
      <c r="J3238" s="16">
        <v>38134</v>
      </c>
      <c r="K3238" s="2" t="s">
        <v>1196</v>
      </c>
      <c r="L3238" s="8" t="s">
        <v>1197</v>
      </c>
      <c r="M3238" s="8" t="s">
        <v>27</v>
      </c>
      <c r="N3238" s="2" t="s">
        <v>17588</v>
      </c>
      <c r="O3238" s="8" t="s">
        <v>29</v>
      </c>
      <c r="P3238" s="8" t="s">
        <v>401</v>
      </c>
      <c r="Q3238" s="12" t="s">
        <v>17589</v>
      </c>
      <c r="R3238" s="8" t="s">
        <v>29</v>
      </c>
      <c r="S3238" s="7" t="s">
        <v>28</v>
      </c>
      <c r="T3238" s="6"/>
      <c r="U3238" s="8"/>
    </row>
    <row r="3239" spans="1:34" ht="13" customHeight="1">
      <c r="A3239" s="8" t="s">
        <v>17577</v>
      </c>
      <c r="B3239" s="16">
        <v>55</v>
      </c>
      <c r="C3239" s="8" t="s">
        <v>20</v>
      </c>
      <c r="D3239" s="8" t="s">
        <v>37</v>
      </c>
      <c r="E3239" s="8" t="s">
        <v>17578</v>
      </c>
      <c r="F3239" s="17">
        <v>41374</v>
      </c>
      <c r="G3239" s="8" t="s">
        <v>17579</v>
      </c>
      <c r="H3239" s="8" t="s">
        <v>17580</v>
      </c>
      <c r="I3239" s="8" t="s">
        <v>173</v>
      </c>
      <c r="J3239" s="16" t="s">
        <v>17581</v>
      </c>
      <c r="K3239" s="2" t="s">
        <v>1328</v>
      </c>
      <c r="L3239" s="8" t="s">
        <v>17582</v>
      </c>
      <c r="M3239" s="8" t="s">
        <v>27</v>
      </c>
      <c r="N3239" s="2" t="s">
        <v>17583</v>
      </c>
      <c r="O3239" s="8" t="s">
        <v>29</v>
      </c>
      <c r="P3239" s="8" t="s">
        <v>401</v>
      </c>
      <c r="Q3239" s="12" t="s">
        <v>17584</v>
      </c>
      <c r="R3239" s="8" t="s">
        <v>29</v>
      </c>
      <c r="S3239" s="7" t="s">
        <v>28</v>
      </c>
      <c r="T3239" s="6"/>
      <c r="U3239" s="8"/>
    </row>
    <row r="3240" spans="1:34" ht="13" customHeight="1">
      <c r="A3240" s="8" t="s">
        <v>17590</v>
      </c>
      <c r="B3240" s="16">
        <v>45</v>
      </c>
      <c r="C3240" s="8" t="s">
        <v>20</v>
      </c>
      <c r="D3240" s="8" t="s">
        <v>37</v>
      </c>
      <c r="E3240" s="8" t="s">
        <v>17591</v>
      </c>
      <c r="F3240" s="17">
        <v>41374</v>
      </c>
      <c r="G3240" s="8" t="s">
        <v>17592</v>
      </c>
      <c r="H3240" s="8" t="s">
        <v>151</v>
      </c>
      <c r="I3240" s="8" t="s">
        <v>366</v>
      </c>
      <c r="J3240" s="16" t="s">
        <v>17593</v>
      </c>
      <c r="K3240" s="2" t="s">
        <v>693</v>
      </c>
      <c r="L3240" s="8" t="s">
        <v>17594</v>
      </c>
      <c r="M3240" s="8" t="s">
        <v>391</v>
      </c>
      <c r="N3240" s="2" t="s">
        <v>17595</v>
      </c>
      <c r="O3240" s="8" t="s">
        <v>1013</v>
      </c>
      <c r="P3240" s="8" t="s">
        <v>401</v>
      </c>
      <c r="Q3240" s="12" t="s">
        <v>17596</v>
      </c>
      <c r="R3240" s="8" t="s">
        <v>100</v>
      </c>
      <c r="S3240" s="7" t="s">
        <v>28</v>
      </c>
      <c r="T3240" s="6"/>
      <c r="U3240" s="8"/>
    </row>
    <row r="3241" spans="1:34" ht="13" customHeight="1">
      <c r="A3241" s="8" t="s">
        <v>17597</v>
      </c>
      <c r="B3241" s="16">
        <v>25</v>
      </c>
      <c r="C3241" s="8" t="s">
        <v>20</v>
      </c>
      <c r="D3241" s="8" t="s">
        <v>48</v>
      </c>
      <c r="F3241" s="17">
        <v>41373</v>
      </c>
      <c r="G3241" s="8" t="s">
        <v>17598</v>
      </c>
      <c r="H3241" s="8" t="s">
        <v>7599</v>
      </c>
      <c r="I3241" s="8" t="s">
        <v>45</v>
      </c>
      <c r="J3241" s="16" t="s">
        <v>7600</v>
      </c>
      <c r="K3241" s="2" t="s">
        <v>98</v>
      </c>
      <c r="L3241" s="8" t="s">
        <v>14218</v>
      </c>
      <c r="M3241" s="8" t="s">
        <v>27</v>
      </c>
      <c r="N3241" s="2" t="s">
        <v>17599</v>
      </c>
      <c r="O3241" s="8" t="s">
        <v>1013</v>
      </c>
      <c r="P3241" s="8" t="s">
        <v>401</v>
      </c>
      <c r="Q3241" s="12" t="s">
        <v>17600</v>
      </c>
      <c r="R3241" s="8" t="s">
        <v>29</v>
      </c>
      <c r="S3241" s="7" t="s">
        <v>28</v>
      </c>
      <c r="T3241" s="6"/>
      <c r="U3241" s="8"/>
    </row>
    <row r="3242" spans="1:34" ht="13" customHeight="1">
      <c r="A3242" s="8" t="s">
        <v>17601</v>
      </c>
      <c r="B3242" s="16">
        <v>20</v>
      </c>
      <c r="C3242" s="8" t="s">
        <v>20</v>
      </c>
      <c r="D3242" s="8" t="s">
        <v>37</v>
      </c>
      <c r="E3242" s="8" t="s">
        <v>17602</v>
      </c>
      <c r="F3242" s="17">
        <v>41373</v>
      </c>
      <c r="G3242" s="8" t="s">
        <v>17603</v>
      </c>
      <c r="H3242" s="8" t="s">
        <v>1097</v>
      </c>
      <c r="I3242" s="8" t="s">
        <v>395</v>
      </c>
      <c r="J3242" s="16" t="s">
        <v>17604</v>
      </c>
      <c r="K3242" s="2" t="s">
        <v>1098</v>
      </c>
      <c r="L3242" s="8" t="s">
        <v>1099</v>
      </c>
      <c r="M3242" s="8" t="s">
        <v>27</v>
      </c>
      <c r="N3242" s="2" t="s">
        <v>17605</v>
      </c>
      <c r="O3242" s="8" t="s">
        <v>550</v>
      </c>
      <c r="P3242" s="8" t="s">
        <v>401</v>
      </c>
      <c r="Q3242" s="12" t="s">
        <v>17606</v>
      </c>
      <c r="R3242" s="8" t="s">
        <v>100</v>
      </c>
      <c r="S3242" s="7" t="s">
        <v>28</v>
      </c>
      <c r="T3242" s="6"/>
      <c r="U3242" s="8"/>
    </row>
    <row r="3243" spans="1:34" ht="13" customHeight="1">
      <c r="A3243" s="8" t="s">
        <v>17607</v>
      </c>
      <c r="B3243" s="16">
        <v>23</v>
      </c>
      <c r="C3243" s="8" t="s">
        <v>20</v>
      </c>
      <c r="D3243" s="8" t="s">
        <v>37</v>
      </c>
      <c r="E3243" s="8" t="s">
        <v>17608</v>
      </c>
      <c r="F3243" s="17">
        <v>41373</v>
      </c>
      <c r="G3243" s="8" t="s">
        <v>17609</v>
      </c>
      <c r="H3243" s="8" t="s">
        <v>1097</v>
      </c>
      <c r="I3243" s="8" t="s">
        <v>395</v>
      </c>
      <c r="J3243" s="16" t="s">
        <v>17604</v>
      </c>
      <c r="K3243" s="2" t="s">
        <v>1098</v>
      </c>
      <c r="L3243" s="8" t="s">
        <v>1099</v>
      </c>
      <c r="M3243" s="8" t="s">
        <v>27</v>
      </c>
      <c r="N3243" s="2" t="s">
        <v>17605</v>
      </c>
      <c r="O3243" s="8" t="s">
        <v>550</v>
      </c>
      <c r="P3243" s="8" t="s">
        <v>401</v>
      </c>
      <c r="Q3243" s="12" t="s">
        <v>17606</v>
      </c>
      <c r="R3243" s="8" t="s">
        <v>100</v>
      </c>
      <c r="S3243" s="7" t="s">
        <v>28</v>
      </c>
      <c r="T3243" s="6"/>
      <c r="U3243" s="8"/>
    </row>
    <row r="3244" spans="1:34" ht="13" customHeight="1">
      <c r="A3244" s="8" t="s">
        <v>17610</v>
      </c>
      <c r="B3244" s="16" t="s">
        <v>16477</v>
      </c>
      <c r="C3244" s="8" t="s">
        <v>20</v>
      </c>
      <c r="D3244" s="8" t="s">
        <v>85</v>
      </c>
      <c r="E3244" s="8" t="s">
        <v>17611</v>
      </c>
      <c r="F3244" s="17">
        <v>41371</v>
      </c>
      <c r="G3244" s="8" t="s">
        <v>7733</v>
      </c>
      <c r="H3244" s="8" t="s">
        <v>634</v>
      </c>
      <c r="I3244" s="8" t="s">
        <v>123</v>
      </c>
      <c r="J3244" s="16" t="s">
        <v>4644</v>
      </c>
      <c r="K3244" s="2" t="s">
        <v>635</v>
      </c>
      <c r="L3244" s="8" t="s">
        <v>11196</v>
      </c>
      <c r="M3244" s="8" t="s">
        <v>27</v>
      </c>
      <c r="N3244" s="2" t="s">
        <v>17612</v>
      </c>
      <c r="O3244" s="8" t="s">
        <v>550</v>
      </c>
      <c r="P3244" s="8" t="s">
        <v>401</v>
      </c>
      <c r="Q3244" s="12" t="s">
        <v>17613</v>
      </c>
      <c r="R3244" s="8" t="s">
        <v>100</v>
      </c>
      <c r="S3244" s="7" t="s">
        <v>379</v>
      </c>
      <c r="T3244" s="6"/>
      <c r="U3244" s="8"/>
      <c r="Y3244" s="8"/>
      <c r="Z3244" s="8"/>
      <c r="AA3244" s="8"/>
      <c r="AB3244" s="8"/>
      <c r="AC3244" s="8"/>
      <c r="AD3244" s="8"/>
      <c r="AE3244" s="8"/>
      <c r="AF3244" s="8"/>
      <c r="AG3244" s="8"/>
      <c r="AH3244" s="8"/>
    </row>
    <row r="3245" spans="1:34" ht="13" customHeight="1">
      <c r="A3245" s="8" t="s">
        <v>17614</v>
      </c>
      <c r="B3245" s="16" t="s">
        <v>9418</v>
      </c>
      <c r="C3245" s="8" t="s">
        <v>20</v>
      </c>
      <c r="D3245" s="8" t="s">
        <v>30</v>
      </c>
      <c r="F3245" s="17">
        <v>41371</v>
      </c>
      <c r="G3245" s="8" t="s">
        <v>17615</v>
      </c>
      <c r="H3245" s="8" t="s">
        <v>17616</v>
      </c>
      <c r="I3245" s="8" t="s">
        <v>46</v>
      </c>
      <c r="J3245" s="16" t="s">
        <v>17617</v>
      </c>
      <c r="K3245" s="2" t="s">
        <v>8982</v>
      </c>
      <c r="L3245" s="8" t="s">
        <v>17481</v>
      </c>
      <c r="M3245" s="8" t="s">
        <v>27</v>
      </c>
      <c r="N3245" s="2" t="s">
        <v>17618</v>
      </c>
      <c r="O3245" s="8" t="s">
        <v>550</v>
      </c>
      <c r="P3245" s="8" t="s">
        <v>401</v>
      </c>
      <c r="Q3245" s="12" t="s">
        <v>17619</v>
      </c>
      <c r="R3245" s="8" t="s">
        <v>100</v>
      </c>
      <c r="S3245" s="7" t="s">
        <v>28</v>
      </c>
      <c r="T3245" s="6"/>
      <c r="U3245" s="8"/>
    </row>
    <row r="3246" spans="1:34" ht="13" customHeight="1">
      <c r="A3246" s="8" t="s">
        <v>17620</v>
      </c>
      <c r="B3246" s="16">
        <v>18</v>
      </c>
      <c r="C3246" s="8" t="s">
        <v>114</v>
      </c>
      <c r="D3246" s="8" t="s">
        <v>85</v>
      </c>
      <c r="F3246" s="17">
        <v>41370</v>
      </c>
      <c r="G3246" s="8" t="s">
        <v>17621</v>
      </c>
      <c r="H3246" s="8" t="s">
        <v>5573</v>
      </c>
      <c r="I3246" s="8" t="s">
        <v>62</v>
      </c>
      <c r="J3246" s="16" t="s">
        <v>17622</v>
      </c>
      <c r="K3246" s="2" t="s">
        <v>9194</v>
      </c>
      <c r="L3246" s="8" t="s">
        <v>9243</v>
      </c>
      <c r="M3246" s="8" t="s">
        <v>379</v>
      </c>
      <c r="N3246" s="2" t="s">
        <v>17623</v>
      </c>
      <c r="O3246" s="8" t="s">
        <v>1013</v>
      </c>
      <c r="P3246" s="8" t="s">
        <v>401</v>
      </c>
      <c r="Q3246" s="12" t="s">
        <v>21635</v>
      </c>
      <c r="R3246" s="8" t="s">
        <v>100</v>
      </c>
      <c r="S3246" s="7" t="s">
        <v>35</v>
      </c>
      <c r="T3246" s="6"/>
      <c r="U3246" s="8"/>
    </row>
    <row r="3247" spans="1:34" ht="13" customHeight="1">
      <c r="A3247" s="8" t="s">
        <v>17624</v>
      </c>
      <c r="B3247" s="16">
        <v>20</v>
      </c>
      <c r="C3247" s="8" t="s">
        <v>20</v>
      </c>
      <c r="D3247" s="8" t="s">
        <v>85</v>
      </c>
      <c r="E3247" s="8" t="s">
        <v>17625</v>
      </c>
      <c r="F3247" s="17">
        <v>41370</v>
      </c>
      <c r="G3247" s="8" t="s">
        <v>17621</v>
      </c>
      <c r="H3247" s="8" t="s">
        <v>5573</v>
      </c>
      <c r="I3247" s="8" t="s">
        <v>62</v>
      </c>
      <c r="J3247" s="16" t="s">
        <v>17622</v>
      </c>
      <c r="K3247" s="2" t="s">
        <v>9194</v>
      </c>
      <c r="L3247" s="8" t="s">
        <v>9243</v>
      </c>
      <c r="M3247" s="8" t="s">
        <v>379</v>
      </c>
      <c r="N3247" s="2" t="s">
        <v>21640</v>
      </c>
      <c r="O3247" s="8" t="s">
        <v>1013</v>
      </c>
      <c r="P3247" s="8" t="s">
        <v>401</v>
      </c>
      <c r="Q3247" s="12" t="s">
        <v>21635</v>
      </c>
      <c r="R3247" s="8" t="s">
        <v>100</v>
      </c>
      <c r="S3247" s="7" t="s">
        <v>35</v>
      </c>
      <c r="T3247" s="6"/>
      <c r="U3247" s="8"/>
    </row>
    <row r="3248" spans="1:34" ht="13" customHeight="1">
      <c r="A3248" s="8" t="s">
        <v>17626</v>
      </c>
      <c r="B3248" s="16">
        <v>27</v>
      </c>
      <c r="C3248" s="8" t="s">
        <v>20</v>
      </c>
      <c r="D3248" s="8" t="s">
        <v>30</v>
      </c>
      <c r="F3248" s="17">
        <v>41369</v>
      </c>
      <c r="G3248" s="8" t="s">
        <v>17627</v>
      </c>
      <c r="H3248" s="8" t="s">
        <v>8810</v>
      </c>
      <c r="I3248" s="8" t="s">
        <v>330</v>
      </c>
      <c r="J3248" s="16" t="s">
        <v>4447</v>
      </c>
      <c r="K3248" s="2" t="s">
        <v>7259</v>
      </c>
      <c r="L3248" s="8" t="s">
        <v>4448</v>
      </c>
      <c r="M3248" s="8" t="s">
        <v>27</v>
      </c>
      <c r="N3248" s="2" t="s">
        <v>17628</v>
      </c>
      <c r="O3248" s="8" t="s">
        <v>550</v>
      </c>
      <c r="P3248" s="8" t="s">
        <v>401</v>
      </c>
      <c r="Q3248" s="12" t="s">
        <v>17629</v>
      </c>
      <c r="R3248" s="8" t="s">
        <v>29</v>
      </c>
      <c r="S3248" s="7" t="s">
        <v>28</v>
      </c>
      <c r="T3248" s="6"/>
      <c r="U3248" s="8"/>
      <c r="Y3248" s="8"/>
      <c r="Z3248" s="8"/>
      <c r="AA3248" s="8"/>
      <c r="AB3248" s="8"/>
      <c r="AC3248" s="8"/>
      <c r="AD3248" s="8"/>
      <c r="AE3248" s="8"/>
      <c r="AF3248" s="8"/>
      <c r="AG3248" s="8"/>
      <c r="AH3248" s="8"/>
    </row>
    <row r="3249" spans="1:39" ht="13" customHeight="1">
      <c r="A3249" s="8" t="s">
        <v>17630</v>
      </c>
      <c r="B3249" s="16">
        <v>20</v>
      </c>
      <c r="C3249" s="8" t="s">
        <v>20</v>
      </c>
      <c r="D3249" s="8" t="s">
        <v>85</v>
      </c>
      <c r="E3249" s="8" t="s">
        <v>17631</v>
      </c>
      <c r="F3249" s="17">
        <v>41368</v>
      </c>
      <c r="G3249" s="8" t="s">
        <v>17632</v>
      </c>
      <c r="H3249" s="8" t="s">
        <v>1058</v>
      </c>
      <c r="I3249" s="8" t="s">
        <v>69</v>
      </c>
      <c r="J3249" s="16" t="s">
        <v>17633</v>
      </c>
      <c r="K3249" s="2" t="s">
        <v>1059</v>
      </c>
      <c r="L3249" s="8" t="s">
        <v>405</v>
      </c>
      <c r="M3249" s="8" t="s">
        <v>27</v>
      </c>
      <c r="N3249" s="2" t="s">
        <v>17634</v>
      </c>
      <c r="O3249" s="8" t="s">
        <v>550</v>
      </c>
      <c r="P3249" s="8" t="s">
        <v>401</v>
      </c>
      <c r="Q3249" s="12" t="str">
        <f>HYPERLINK("http://www.daytondailynews.com/news/news/crime-law/fbi-working-at-shooting-site/nXDWH/","http://www.daytondailynews.com/news/news/crime-law/fbi-working-at-shooting-site/nXDWH/")</f>
        <v>http://www.daytondailynews.com/news/news/crime-law/fbi-working-at-shooting-site/nXDWH/</v>
      </c>
      <c r="R3249" s="8" t="s">
        <v>100</v>
      </c>
      <c r="S3249" s="7" t="s">
        <v>35</v>
      </c>
      <c r="T3249" s="6"/>
      <c r="U3249" s="8"/>
    </row>
    <row r="3250" spans="1:39" ht="13" customHeight="1">
      <c r="A3250" s="8" t="s">
        <v>17635</v>
      </c>
      <c r="B3250" s="16">
        <v>50</v>
      </c>
      <c r="C3250" s="8" t="s">
        <v>20</v>
      </c>
      <c r="D3250" s="8" t="s">
        <v>30</v>
      </c>
      <c r="F3250" s="17">
        <v>41368</v>
      </c>
      <c r="G3250" s="8" t="s">
        <v>17636</v>
      </c>
      <c r="H3250" s="8" t="s">
        <v>98</v>
      </c>
      <c r="I3250" s="8" t="s">
        <v>45</v>
      </c>
      <c r="J3250" s="16">
        <v>90004</v>
      </c>
      <c r="K3250" s="2" t="s">
        <v>98</v>
      </c>
      <c r="L3250" s="8" t="s">
        <v>99</v>
      </c>
      <c r="M3250" s="8" t="s">
        <v>391</v>
      </c>
      <c r="N3250" s="2" t="s">
        <v>17637</v>
      </c>
      <c r="O3250" s="8" t="s">
        <v>29</v>
      </c>
      <c r="P3250" s="8" t="s">
        <v>401</v>
      </c>
      <c r="Q3250" s="12" t="s">
        <v>17638</v>
      </c>
      <c r="R3250" s="8" t="s">
        <v>100</v>
      </c>
      <c r="S3250" s="7" t="s">
        <v>28</v>
      </c>
      <c r="T3250" s="6"/>
      <c r="U3250" s="8"/>
    </row>
    <row r="3251" spans="1:39" ht="13" customHeight="1">
      <c r="A3251" s="8" t="s">
        <v>17639</v>
      </c>
      <c r="B3251" s="16">
        <v>26</v>
      </c>
      <c r="C3251" s="8" t="s">
        <v>114</v>
      </c>
      <c r="D3251" s="8" t="s">
        <v>21</v>
      </c>
      <c r="F3251" s="17">
        <v>41367</v>
      </c>
      <c r="G3251" s="8" t="s">
        <v>17640</v>
      </c>
      <c r="H3251" s="8" t="s">
        <v>213</v>
      </c>
      <c r="I3251" s="8" t="s">
        <v>62</v>
      </c>
      <c r="J3251" s="16" t="s">
        <v>17641</v>
      </c>
      <c r="K3251" s="2" t="s">
        <v>161</v>
      </c>
      <c r="L3251" s="8" t="s">
        <v>17642</v>
      </c>
      <c r="M3251" s="8" t="s">
        <v>379</v>
      </c>
      <c r="N3251" s="2" t="s">
        <v>17643</v>
      </c>
      <c r="O3251" s="8" t="s">
        <v>1013</v>
      </c>
      <c r="P3251" s="8" t="s">
        <v>401</v>
      </c>
      <c r="Q3251" s="12" t="s">
        <v>17644</v>
      </c>
      <c r="R3251" s="8" t="s">
        <v>100</v>
      </c>
      <c r="S3251" s="7" t="s">
        <v>28</v>
      </c>
      <c r="T3251" s="6"/>
      <c r="U3251" s="8"/>
      <c r="AI3251" s="8"/>
      <c r="AJ3251" s="8"/>
      <c r="AK3251" s="8"/>
      <c r="AL3251" s="8"/>
      <c r="AM3251" s="8"/>
    </row>
    <row r="3252" spans="1:39" ht="13" customHeight="1">
      <c r="A3252" s="8" t="s">
        <v>17645</v>
      </c>
      <c r="B3252" s="16">
        <v>26</v>
      </c>
      <c r="C3252" s="8" t="s">
        <v>114</v>
      </c>
      <c r="D3252" s="8" t="s">
        <v>21</v>
      </c>
      <c r="F3252" s="17">
        <v>41367</v>
      </c>
      <c r="G3252" s="8" t="s">
        <v>17640</v>
      </c>
      <c r="H3252" s="8" t="s">
        <v>213</v>
      </c>
      <c r="I3252" s="8" t="s">
        <v>62</v>
      </c>
      <c r="J3252" s="16" t="s">
        <v>17641</v>
      </c>
      <c r="K3252" s="2" t="s">
        <v>161</v>
      </c>
      <c r="L3252" s="8" t="s">
        <v>17642</v>
      </c>
      <c r="M3252" s="8" t="s">
        <v>379</v>
      </c>
      <c r="N3252" s="2" t="s">
        <v>17643</v>
      </c>
      <c r="O3252" s="8" t="s">
        <v>1013</v>
      </c>
      <c r="P3252" s="8" t="s">
        <v>401</v>
      </c>
      <c r="Q3252" s="12" t="s">
        <v>17644</v>
      </c>
      <c r="R3252" s="8" t="s">
        <v>100</v>
      </c>
      <c r="S3252" s="7" t="s">
        <v>28</v>
      </c>
      <c r="T3252" s="6"/>
      <c r="U3252" s="8"/>
      <c r="AI3252" s="8"/>
      <c r="AJ3252" s="8"/>
      <c r="AK3252" s="8"/>
      <c r="AL3252" s="8"/>
      <c r="AM3252" s="8"/>
    </row>
    <row r="3253" spans="1:39" ht="13" customHeight="1">
      <c r="A3253" s="8" t="s">
        <v>17646</v>
      </c>
      <c r="B3253" s="16">
        <v>31</v>
      </c>
      <c r="C3253" s="8" t="s">
        <v>20</v>
      </c>
      <c r="D3253" s="8" t="s">
        <v>21</v>
      </c>
      <c r="F3253" s="17">
        <v>41367</v>
      </c>
      <c r="G3253" s="8" t="s">
        <v>17640</v>
      </c>
      <c r="H3253" s="8" t="s">
        <v>213</v>
      </c>
      <c r="I3253" s="8" t="s">
        <v>62</v>
      </c>
      <c r="J3253" s="16" t="s">
        <v>17641</v>
      </c>
      <c r="K3253" s="2" t="s">
        <v>161</v>
      </c>
      <c r="L3253" s="8" t="s">
        <v>17642</v>
      </c>
      <c r="M3253" s="8" t="s">
        <v>379</v>
      </c>
      <c r="N3253" s="2" t="s">
        <v>17643</v>
      </c>
      <c r="O3253" s="8" t="s">
        <v>1013</v>
      </c>
      <c r="P3253" s="8" t="s">
        <v>401</v>
      </c>
      <c r="Q3253" s="12" t="s">
        <v>17644</v>
      </c>
      <c r="R3253" s="8" t="s">
        <v>100</v>
      </c>
      <c r="S3253" s="7" t="s">
        <v>28</v>
      </c>
      <c r="T3253" s="6"/>
      <c r="U3253" s="8"/>
      <c r="AI3253" s="8"/>
      <c r="AJ3253" s="8"/>
      <c r="AK3253" s="8"/>
      <c r="AL3253" s="8"/>
      <c r="AM3253" s="8"/>
    </row>
    <row r="3254" spans="1:39" ht="13" customHeight="1">
      <c r="A3254" s="8" t="s">
        <v>17647</v>
      </c>
      <c r="B3254" s="16">
        <v>33</v>
      </c>
      <c r="C3254" s="8" t="s">
        <v>20</v>
      </c>
      <c r="D3254" s="8" t="s">
        <v>21</v>
      </c>
      <c r="F3254" s="17">
        <v>41367</v>
      </c>
      <c r="G3254" s="8" t="s">
        <v>17640</v>
      </c>
      <c r="H3254" s="8" t="s">
        <v>213</v>
      </c>
      <c r="I3254" s="8" t="s">
        <v>62</v>
      </c>
      <c r="J3254" s="16" t="s">
        <v>17641</v>
      </c>
      <c r="K3254" s="2" t="s">
        <v>161</v>
      </c>
      <c r="L3254" s="8" t="s">
        <v>17642</v>
      </c>
      <c r="M3254" s="8" t="s">
        <v>379</v>
      </c>
      <c r="N3254" s="2" t="s">
        <v>17643</v>
      </c>
      <c r="O3254" s="8" t="s">
        <v>1013</v>
      </c>
      <c r="P3254" s="8" t="s">
        <v>401</v>
      </c>
      <c r="Q3254" s="12" t="s">
        <v>17644</v>
      </c>
      <c r="R3254" s="8" t="s">
        <v>100</v>
      </c>
      <c r="S3254" s="7" t="s">
        <v>28</v>
      </c>
      <c r="T3254" s="6"/>
      <c r="U3254" s="8"/>
      <c r="AI3254" s="8"/>
      <c r="AJ3254" s="8"/>
      <c r="AK3254" s="8"/>
      <c r="AL3254" s="8"/>
      <c r="AM3254" s="8"/>
    </row>
    <row r="3255" spans="1:39" ht="13" customHeight="1">
      <c r="A3255" s="8" t="s">
        <v>17648</v>
      </c>
      <c r="B3255" s="16">
        <v>21</v>
      </c>
      <c r="C3255" s="8" t="s">
        <v>20</v>
      </c>
      <c r="D3255" s="8" t="s">
        <v>85</v>
      </c>
      <c r="E3255" s="8" t="s">
        <v>17649</v>
      </c>
      <c r="F3255" s="17">
        <v>41365</v>
      </c>
      <c r="G3255" s="8" t="s">
        <v>17650</v>
      </c>
      <c r="H3255" s="8" t="s">
        <v>12926</v>
      </c>
      <c r="I3255" s="8" t="s">
        <v>41</v>
      </c>
      <c r="J3255" s="16">
        <v>6604</v>
      </c>
      <c r="K3255" s="2" t="s">
        <v>4915</v>
      </c>
      <c r="L3255" s="8" t="s">
        <v>12928</v>
      </c>
      <c r="M3255" s="8" t="s">
        <v>27</v>
      </c>
      <c r="N3255" s="2" t="s">
        <v>17651</v>
      </c>
      <c r="O3255" s="8" t="s">
        <v>550</v>
      </c>
      <c r="P3255" s="8" t="s">
        <v>401</v>
      </c>
      <c r="Q3255" s="12" t="s">
        <v>17652</v>
      </c>
      <c r="R3255" s="8" t="s">
        <v>29</v>
      </c>
      <c r="S3255" s="7" t="s">
        <v>28</v>
      </c>
      <c r="T3255" s="6"/>
      <c r="U3255" s="8"/>
    </row>
    <row r="3256" spans="1:39" ht="13" customHeight="1">
      <c r="A3256" s="8" t="s">
        <v>17653</v>
      </c>
      <c r="B3256" s="16">
        <v>49</v>
      </c>
      <c r="C3256" s="8" t="s">
        <v>114</v>
      </c>
      <c r="D3256" s="8" t="s">
        <v>30</v>
      </c>
      <c r="F3256" s="17">
        <v>41365</v>
      </c>
      <c r="G3256" s="8" t="s">
        <v>17654</v>
      </c>
      <c r="H3256" s="8" t="s">
        <v>15441</v>
      </c>
      <c r="I3256" s="8" t="s">
        <v>62</v>
      </c>
      <c r="J3256" s="16" t="s">
        <v>17655</v>
      </c>
      <c r="K3256" s="2" t="s">
        <v>1127</v>
      </c>
      <c r="L3256" s="8" t="s">
        <v>17656</v>
      </c>
      <c r="M3256" s="8" t="s">
        <v>27</v>
      </c>
      <c r="N3256" s="2" t="s">
        <v>17657</v>
      </c>
      <c r="O3256" s="8" t="s">
        <v>1013</v>
      </c>
      <c r="P3256" s="8" t="s">
        <v>401</v>
      </c>
      <c r="Q3256" s="12" t="s">
        <v>17658</v>
      </c>
      <c r="R3256" s="8" t="s">
        <v>100</v>
      </c>
      <c r="S3256" s="7" t="s">
        <v>28</v>
      </c>
      <c r="T3256" s="6"/>
      <c r="U3256" s="8"/>
    </row>
    <row r="3257" spans="1:39" ht="13" customHeight="1">
      <c r="A3257" s="8" t="s">
        <v>17665</v>
      </c>
      <c r="B3257" s="16" t="s">
        <v>13480</v>
      </c>
      <c r="C3257" s="8" t="s">
        <v>20</v>
      </c>
      <c r="D3257" s="8" t="s">
        <v>37</v>
      </c>
      <c r="E3257" s="8" t="s">
        <v>17666</v>
      </c>
      <c r="F3257" s="17">
        <v>41364</v>
      </c>
      <c r="G3257" s="8" t="s">
        <v>17667</v>
      </c>
      <c r="H3257" s="8" t="s">
        <v>151</v>
      </c>
      <c r="I3257" s="8" t="s">
        <v>366</v>
      </c>
      <c r="J3257" s="16" t="s">
        <v>17668</v>
      </c>
      <c r="K3257" s="2" t="s">
        <v>693</v>
      </c>
      <c r="L3257" s="8" t="s">
        <v>16886</v>
      </c>
      <c r="M3257" s="8" t="s">
        <v>27</v>
      </c>
      <c r="N3257" s="2" t="s">
        <v>17669</v>
      </c>
      <c r="O3257" s="8" t="s">
        <v>550</v>
      </c>
      <c r="P3257" s="8" t="s">
        <v>401</v>
      </c>
      <c r="Q3257" s="12" t="s">
        <v>17670</v>
      </c>
      <c r="R3257" s="8" t="s">
        <v>555</v>
      </c>
      <c r="S3257" s="7" t="s">
        <v>28</v>
      </c>
      <c r="T3257" s="6"/>
      <c r="U3257" s="8"/>
    </row>
    <row r="3258" spans="1:39" ht="13" customHeight="1">
      <c r="A3258" s="8" t="s">
        <v>17659</v>
      </c>
      <c r="B3258" s="16">
        <v>60</v>
      </c>
      <c r="C3258" s="8" t="s">
        <v>114</v>
      </c>
      <c r="D3258" s="8" t="s">
        <v>37</v>
      </c>
      <c r="E3258" s="8" t="s">
        <v>17660</v>
      </c>
      <c r="F3258" s="17">
        <v>41364</v>
      </c>
      <c r="G3258" s="8" t="s">
        <v>17661</v>
      </c>
      <c r="H3258" s="8" t="s">
        <v>3990</v>
      </c>
      <c r="I3258" s="8" t="s">
        <v>366</v>
      </c>
      <c r="J3258" s="16" t="s">
        <v>3991</v>
      </c>
      <c r="K3258" s="2" t="s">
        <v>3992</v>
      </c>
      <c r="L3258" s="8" t="s">
        <v>17662</v>
      </c>
      <c r="M3258" s="8" t="s">
        <v>27</v>
      </c>
      <c r="N3258" s="2" t="s">
        <v>17663</v>
      </c>
      <c r="O3258" s="8" t="s">
        <v>1013</v>
      </c>
      <c r="P3258" s="8" t="s">
        <v>401</v>
      </c>
      <c r="Q3258" s="12" t="s">
        <v>17664</v>
      </c>
      <c r="R3258" s="8" t="s">
        <v>555</v>
      </c>
      <c r="S3258" s="7" t="s">
        <v>28</v>
      </c>
      <c r="T3258" s="6"/>
      <c r="U3258" s="8"/>
    </row>
    <row r="3259" spans="1:39" ht="13" customHeight="1">
      <c r="A3259" s="8" t="s">
        <v>17671</v>
      </c>
      <c r="B3259" s="16">
        <v>32</v>
      </c>
      <c r="C3259" s="8" t="s">
        <v>20</v>
      </c>
      <c r="D3259" s="8" t="s">
        <v>85</v>
      </c>
      <c r="F3259" s="17">
        <v>41363</v>
      </c>
      <c r="G3259" s="8" t="s">
        <v>17672</v>
      </c>
      <c r="H3259" s="8" t="s">
        <v>603</v>
      </c>
      <c r="I3259" s="8" t="s">
        <v>45</v>
      </c>
      <c r="J3259" s="16" t="s">
        <v>15617</v>
      </c>
      <c r="K3259" s="2" t="s">
        <v>604</v>
      </c>
      <c r="L3259" s="8" t="s">
        <v>249</v>
      </c>
      <c r="M3259" s="8" t="s">
        <v>27</v>
      </c>
      <c r="N3259" s="2" t="s">
        <v>17673</v>
      </c>
      <c r="O3259" s="8" t="s">
        <v>1013</v>
      </c>
      <c r="P3259" s="8" t="s">
        <v>401</v>
      </c>
      <c r="Q3259" s="12" t="s">
        <v>17674</v>
      </c>
      <c r="R3259" s="8" t="s">
        <v>100</v>
      </c>
      <c r="S3259" s="7" t="s">
        <v>379</v>
      </c>
      <c r="T3259" s="6"/>
      <c r="U3259" s="8"/>
      <c r="Y3259" s="8"/>
      <c r="Z3259" s="8"/>
      <c r="AA3259" s="8"/>
      <c r="AB3259" s="8"/>
      <c r="AC3259" s="8"/>
      <c r="AD3259" s="8"/>
      <c r="AE3259" s="8"/>
      <c r="AF3259" s="8"/>
      <c r="AG3259" s="8"/>
      <c r="AH3259" s="8"/>
    </row>
    <row r="3260" spans="1:39" ht="13" customHeight="1">
      <c r="A3260" s="8" t="s">
        <v>17683</v>
      </c>
      <c r="B3260" s="16" t="s">
        <v>15112</v>
      </c>
      <c r="C3260" s="8" t="s">
        <v>20</v>
      </c>
      <c r="D3260" s="8" t="s">
        <v>37</v>
      </c>
      <c r="E3260" s="8" t="s">
        <v>17684</v>
      </c>
      <c r="F3260" s="17">
        <v>41362</v>
      </c>
      <c r="G3260" s="8" t="s">
        <v>17685</v>
      </c>
      <c r="H3260" s="8" t="s">
        <v>17686</v>
      </c>
      <c r="I3260" s="8" t="s">
        <v>240</v>
      </c>
      <c r="J3260" s="16" t="s">
        <v>17687</v>
      </c>
      <c r="K3260" s="2" t="s">
        <v>17688</v>
      </c>
      <c r="L3260" s="8" t="s">
        <v>17689</v>
      </c>
      <c r="M3260" s="8" t="s">
        <v>27</v>
      </c>
      <c r="N3260" s="2" t="s">
        <v>17690</v>
      </c>
      <c r="O3260" s="8" t="s">
        <v>550</v>
      </c>
      <c r="P3260" s="8" t="s">
        <v>401</v>
      </c>
      <c r="Q3260" s="12" t="s">
        <v>17691</v>
      </c>
      <c r="R3260" s="8" t="s">
        <v>29</v>
      </c>
      <c r="S3260" s="7" t="s">
        <v>28</v>
      </c>
      <c r="T3260" s="6"/>
      <c r="U3260" s="8"/>
      <c r="V3260" s="8"/>
      <c r="W3260" s="8"/>
      <c r="X3260" s="8"/>
    </row>
    <row r="3261" spans="1:39" ht="13" customHeight="1">
      <c r="A3261" s="8" t="s">
        <v>17675</v>
      </c>
      <c r="B3261" s="16" t="s">
        <v>17476</v>
      </c>
      <c r="C3261" s="8" t="s">
        <v>20</v>
      </c>
      <c r="D3261" s="8" t="s">
        <v>37</v>
      </c>
      <c r="E3261" s="8" t="s">
        <v>17676</v>
      </c>
      <c r="F3261" s="17">
        <v>41362</v>
      </c>
      <c r="G3261" s="8" t="s">
        <v>17677</v>
      </c>
      <c r="H3261" s="8" t="s">
        <v>17678</v>
      </c>
      <c r="I3261" s="8" t="s">
        <v>506</v>
      </c>
      <c r="J3261" s="16" t="s">
        <v>17679</v>
      </c>
      <c r="K3261" s="2" t="s">
        <v>14953</v>
      </c>
      <c r="L3261" s="8" t="s">
        <v>17680</v>
      </c>
      <c r="M3261" s="8" t="s">
        <v>27</v>
      </c>
      <c r="N3261" s="2" t="s">
        <v>17681</v>
      </c>
      <c r="O3261" s="8" t="s">
        <v>550</v>
      </c>
      <c r="P3261" s="8" t="s">
        <v>401</v>
      </c>
      <c r="Q3261" s="12" t="s">
        <v>17682</v>
      </c>
      <c r="R3261" s="8" t="s">
        <v>100</v>
      </c>
      <c r="S3261" s="7" t="s">
        <v>28</v>
      </c>
      <c r="T3261" s="6"/>
      <c r="U3261" s="8"/>
      <c r="Y3261" s="8"/>
      <c r="Z3261" s="8"/>
      <c r="AA3261" s="8"/>
      <c r="AB3261" s="8"/>
      <c r="AC3261" s="8"/>
      <c r="AD3261" s="8"/>
      <c r="AE3261" s="8"/>
      <c r="AF3261" s="8"/>
      <c r="AG3261" s="8"/>
      <c r="AH3261" s="8"/>
    </row>
    <row r="3262" spans="1:39" ht="13" customHeight="1">
      <c r="A3262" s="8" t="s">
        <v>17692</v>
      </c>
      <c r="B3262" s="16" t="s">
        <v>17249</v>
      </c>
      <c r="C3262" s="8" t="s">
        <v>20</v>
      </c>
      <c r="D3262" s="8" t="s">
        <v>30</v>
      </c>
      <c r="F3262" s="17">
        <v>41360</v>
      </c>
      <c r="G3262" s="8" t="s">
        <v>17693</v>
      </c>
      <c r="H3262" s="8" t="s">
        <v>1195</v>
      </c>
      <c r="I3262" s="8" t="s">
        <v>319</v>
      </c>
      <c r="J3262" s="16" t="s">
        <v>17694</v>
      </c>
      <c r="K3262" s="2" t="s">
        <v>1196</v>
      </c>
      <c r="L3262" s="8" t="s">
        <v>1197</v>
      </c>
      <c r="M3262" s="8" t="s">
        <v>27</v>
      </c>
      <c r="N3262" s="2" t="s">
        <v>17695</v>
      </c>
      <c r="O3262" s="8" t="s">
        <v>29</v>
      </c>
      <c r="P3262" s="8" t="s">
        <v>401</v>
      </c>
      <c r="Q3262" s="12" t="s">
        <v>17696</v>
      </c>
      <c r="R3262" s="8" t="s">
        <v>100</v>
      </c>
      <c r="S3262" s="7" t="s">
        <v>28</v>
      </c>
      <c r="T3262" s="6"/>
      <c r="U3262" s="8"/>
    </row>
    <row r="3263" spans="1:39" ht="13" customHeight="1">
      <c r="A3263" s="8" t="s">
        <v>17697</v>
      </c>
      <c r="B3263" s="16">
        <v>72</v>
      </c>
      <c r="C3263" s="8" t="s">
        <v>20</v>
      </c>
      <c r="D3263" s="8" t="s">
        <v>30</v>
      </c>
      <c r="F3263" s="17">
        <v>41360</v>
      </c>
      <c r="G3263" s="8" t="s">
        <v>17698</v>
      </c>
      <c r="H3263" s="8" t="s">
        <v>689</v>
      </c>
      <c r="I3263" s="8" t="s">
        <v>123</v>
      </c>
      <c r="J3263" s="16" t="s">
        <v>12155</v>
      </c>
      <c r="K3263" s="2" t="s">
        <v>635</v>
      </c>
      <c r="L3263" s="8" t="s">
        <v>4910</v>
      </c>
      <c r="M3263" s="8" t="s">
        <v>27</v>
      </c>
      <c r="N3263" s="2" t="s">
        <v>17699</v>
      </c>
      <c r="O3263" s="8" t="s">
        <v>1013</v>
      </c>
      <c r="P3263" s="8" t="s">
        <v>401</v>
      </c>
      <c r="Q3263" s="12" t="s">
        <v>17700</v>
      </c>
      <c r="R3263" s="8" t="s">
        <v>29</v>
      </c>
      <c r="S3263" s="7" t="s">
        <v>28</v>
      </c>
      <c r="T3263" s="6"/>
      <c r="U3263" s="8"/>
    </row>
    <row r="3264" spans="1:39" ht="13" customHeight="1">
      <c r="A3264" s="8" t="s">
        <v>17701</v>
      </c>
      <c r="B3264" s="16">
        <v>20</v>
      </c>
      <c r="C3264" s="8" t="s">
        <v>20</v>
      </c>
      <c r="D3264" s="8" t="s">
        <v>37</v>
      </c>
      <c r="F3264" s="17">
        <v>41359</v>
      </c>
      <c r="G3264" s="8" t="s">
        <v>17702</v>
      </c>
      <c r="H3264" s="8" t="s">
        <v>17703</v>
      </c>
      <c r="I3264" s="8" t="s">
        <v>69</v>
      </c>
      <c r="J3264" s="16" t="s">
        <v>17704</v>
      </c>
      <c r="K3264" s="2" t="s">
        <v>17703</v>
      </c>
      <c r="L3264" s="8" t="s">
        <v>17705</v>
      </c>
      <c r="M3264" s="8" t="s">
        <v>27</v>
      </c>
      <c r="N3264" s="2" t="s">
        <v>17706</v>
      </c>
      <c r="O3264" s="8" t="s">
        <v>1013</v>
      </c>
      <c r="P3264" s="8" t="s">
        <v>401</v>
      </c>
      <c r="Q3264" s="12" t="s">
        <v>17707</v>
      </c>
      <c r="R3264" s="8" t="s">
        <v>29</v>
      </c>
      <c r="S3264" s="7" t="s">
        <v>28</v>
      </c>
      <c r="T3264" s="6"/>
      <c r="U3264" s="8"/>
    </row>
    <row r="3265" spans="1:21" ht="13" customHeight="1">
      <c r="A3265" s="8" t="s">
        <v>17708</v>
      </c>
      <c r="B3265" s="16">
        <v>26</v>
      </c>
      <c r="C3265" s="8" t="s">
        <v>20</v>
      </c>
      <c r="D3265" s="8" t="s">
        <v>30</v>
      </c>
      <c r="F3265" s="17">
        <v>41358</v>
      </c>
      <c r="G3265" s="8" t="s">
        <v>17709</v>
      </c>
      <c r="H3265" s="8" t="s">
        <v>4602</v>
      </c>
      <c r="I3265" s="8" t="s">
        <v>857</v>
      </c>
      <c r="J3265" s="16" t="s">
        <v>4603</v>
      </c>
      <c r="K3265" s="2" t="s">
        <v>4604</v>
      </c>
      <c r="L3265" s="8" t="s">
        <v>5059</v>
      </c>
      <c r="M3265" s="8" t="s">
        <v>379</v>
      </c>
      <c r="N3265" s="2" t="s">
        <v>17710</v>
      </c>
      <c r="O3265" s="8" t="s">
        <v>1013</v>
      </c>
      <c r="P3265" s="8" t="s">
        <v>401</v>
      </c>
      <c r="Q3265" s="12" t="s">
        <v>17711</v>
      </c>
      <c r="R3265" s="8" t="s">
        <v>100</v>
      </c>
      <c r="S3265" s="7" t="s">
        <v>379</v>
      </c>
      <c r="T3265" s="6"/>
      <c r="U3265" s="8"/>
    </row>
    <row r="3266" spans="1:21" ht="13" customHeight="1">
      <c r="A3266" s="8" t="s">
        <v>17712</v>
      </c>
      <c r="B3266" s="16">
        <v>25</v>
      </c>
      <c r="C3266" s="8" t="s">
        <v>20</v>
      </c>
      <c r="D3266" s="8" t="s">
        <v>30</v>
      </c>
      <c r="F3266" s="17">
        <v>41357</v>
      </c>
      <c r="G3266" s="8" t="s">
        <v>17713</v>
      </c>
      <c r="H3266" s="8" t="s">
        <v>12528</v>
      </c>
      <c r="I3266" s="8" t="s">
        <v>94</v>
      </c>
      <c r="J3266" s="16" t="s">
        <v>12529</v>
      </c>
      <c r="K3266" s="2" t="s">
        <v>12530</v>
      </c>
      <c r="L3266" s="8" t="s">
        <v>12531</v>
      </c>
      <c r="M3266" s="8" t="s">
        <v>391</v>
      </c>
      <c r="N3266" s="2" t="s">
        <v>17714</v>
      </c>
      <c r="O3266" s="8" t="s">
        <v>1013</v>
      </c>
      <c r="P3266" s="8" t="s">
        <v>401</v>
      </c>
      <c r="Q3266" s="12" t="s">
        <v>17715</v>
      </c>
      <c r="R3266" s="8" t="s">
        <v>967</v>
      </c>
      <c r="S3266" s="7" t="s">
        <v>28</v>
      </c>
      <c r="T3266" s="6"/>
      <c r="U3266" s="8"/>
    </row>
    <row r="3267" spans="1:21" ht="13" customHeight="1">
      <c r="A3267" s="8" t="s">
        <v>17723</v>
      </c>
      <c r="B3267" s="16">
        <v>49</v>
      </c>
      <c r="C3267" s="8" t="s">
        <v>20</v>
      </c>
      <c r="D3267" s="8" t="s">
        <v>85</v>
      </c>
      <c r="E3267" s="8" t="s">
        <v>17724</v>
      </c>
      <c r="F3267" s="17">
        <v>41355</v>
      </c>
      <c r="G3267" s="8" t="s">
        <v>17725</v>
      </c>
      <c r="H3267" s="8" t="s">
        <v>61</v>
      </c>
      <c r="I3267" s="8" t="s">
        <v>62</v>
      </c>
      <c r="J3267" s="16" t="s">
        <v>17726</v>
      </c>
      <c r="K3267" s="2" t="s">
        <v>5354</v>
      </c>
      <c r="L3267" s="8" t="s">
        <v>63</v>
      </c>
      <c r="M3267" s="8" t="s">
        <v>27</v>
      </c>
      <c r="N3267" s="2" t="s">
        <v>17727</v>
      </c>
      <c r="O3267" s="8" t="s">
        <v>1013</v>
      </c>
      <c r="P3267" s="8" t="s">
        <v>401</v>
      </c>
      <c r="Q3267" s="12" t="s">
        <v>17728</v>
      </c>
      <c r="R3267" s="8" t="s">
        <v>100</v>
      </c>
      <c r="S3267" s="7" t="s">
        <v>28</v>
      </c>
      <c r="T3267" s="6"/>
      <c r="U3267" s="8"/>
    </row>
    <row r="3268" spans="1:21" ht="13" customHeight="1">
      <c r="A3268" s="8" t="s">
        <v>17716</v>
      </c>
      <c r="B3268" s="16">
        <v>51</v>
      </c>
      <c r="C3268" s="8" t="s">
        <v>20</v>
      </c>
      <c r="D3268" s="8" t="s">
        <v>85</v>
      </c>
      <c r="E3268" s="8" t="s">
        <v>17717</v>
      </c>
      <c r="F3268" s="17">
        <v>41355</v>
      </c>
      <c r="G3268" s="8" t="s">
        <v>17718</v>
      </c>
      <c r="H3268" s="8" t="s">
        <v>1211</v>
      </c>
      <c r="I3268" s="8" t="s">
        <v>303</v>
      </c>
      <c r="J3268" s="16" t="s">
        <v>17719</v>
      </c>
      <c r="K3268" s="2" t="s">
        <v>1212</v>
      </c>
      <c r="L3268" s="8" t="s">
        <v>17720</v>
      </c>
      <c r="M3268" s="8" t="s">
        <v>27</v>
      </c>
      <c r="N3268" s="2" t="s">
        <v>17721</v>
      </c>
      <c r="O3268" s="8" t="s">
        <v>550</v>
      </c>
      <c r="P3268" s="8" t="s">
        <v>401</v>
      </c>
      <c r="Q3268" s="12" t="s">
        <v>17722</v>
      </c>
      <c r="R3268" s="8" t="s">
        <v>29</v>
      </c>
      <c r="S3268" s="7" t="s">
        <v>18</v>
      </c>
      <c r="T3268" s="6"/>
      <c r="U3268" s="8"/>
    </row>
    <row r="3269" spans="1:21" ht="13" customHeight="1">
      <c r="A3269" s="8" t="s">
        <v>17729</v>
      </c>
      <c r="B3269" s="16">
        <v>19</v>
      </c>
      <c r="C3269" s="8" t="s">
        <v>114</v>
      </c>
      <c r="D3269" s="8" t="s">
        <v>85</v>
      </c>
      <c r="F3269" s="17">
        <v>41355</v>
      </c>
      <c r="G3269" s="8" t="s">
        <v>17730</v>
      </c>
      <c r="H3269" s="8" t="s">
        <v>13531</v>
      </c>
      <c r="I3269" s="8" t="s">
        <v>62</v>
      </c>
      <c r="J3269" s="16" t="s">
        <v>15478</v>
      </c>
      <c r="K3269" s="2" t="s">
        <v>2316</v>
      </c>
      <c r="L3269" s="8" t="s">
        <v>14154</v>
      </c>
      <c r="M3269" s="8" t="s">
        <v>379</v>
      </c>
      <c r="N3269" s="2" t="s">
        <v>17731</v>
      </c>
      <c r="O3269" s="8" t="s">
        <v>1013</v>
      </c>
      <c r="P3269" s="8" t="s">
        <v>401</v>
      </c>
      <c r="Q3269" s="12" t="s">
        <v>17732</v>
      </c>
      <c r="R3269" s="8" t="s">
        <v>100</v>
      </c>
      <c r="S3269" s="7" t="s">
        <v>379</v>
      </c>
      <c r="T3269" s="6"/>
      <c r="U3269" s="8"/>
    </row>
    <row r="3270" spans="1:21" ht="13" customHeight="1">
      <c r="A3270" s="8" t="s">
        <v>17733</v>
      </c>
      <c r="B3270" s="16">
        <v>28</v>
      </c>
      <c r="C3270" s="8" t="s">
        <v>20</v>
      </c>
      <c r="D3270" s="8" t="s">
        <v>37</v>
      </c>
      <c r="E3270" s="8" t="s">
        <v>17734</v>
      </c>
      <c r="F3270" s="17">
        <v>41354</v>
      </c>
      <c r="G3270" s="8" t="s">
        <v>17735</v>
      </c>
      <c r="H3270" s="8" t="s">
        <v>17736</v>
      </c>
      <c r="I3270" s="8" t="s">
        <v>73</v>
      </c>
      <c r="J3270" s="16" t="s">
        <v>17737</v>
      </c>
      <c r="K3270" s="2" t="s">
        <v>17738</v>
      </c>
      <c r="L3270" s="8" t="s">
        <v>4762</v>
      </c>
      <c r="M3270" s="8" t="s">
        <v>27</v>
      </c>
      <c r="N3270" s="2" t="s">
        <v>17739</v>
      </c>
      <c r="O3270" s="8" t="s">
        <v>550</v>
      </c>
      <c r="P3270" s="8" t="s">
        <v>401</v>
      </c>
      <c r="Q3270" s="12" t="s">
        <v>17740</v>
      </c>
      <c r="R3270" s="8" t="s">
        <v>100</v>
      </c>
      <c r="S3270" s="7" t="s">
        <v>28</v>
      </c>
      <c r="T3270" s="6"/>
      <c r="U3270" s="8"/>
    </row>
    <row r="3271" spans="1:21" ht="13" customHeight="1">
      <c r="A3271" s="8" t="s">
        <v>17741</v>
      </c>
      <c r="B3271" s="16" t="s">
        <v>13841</v>
      </c>
      <c r="C3271" s="8" t="s">
        <v>20</v>
      </c>
      <c r="D3271" s="8" t="s">
        <v>85</v>
      </c>
      <c r="E3271" s="8" t="s">
        <v>17742</v>
      </c>
      <c r="F3271" s="17">
        <v>41353</v>
      </c>
      <c r="G3271" s="8" t="s">
        <v>17743</v>
      </c>
      <c r="H3271" s="8" t="s">
        <v>1804</v>
      </c>
      <c r="I3271" s="8" t="s">
        <v>217</v>
      </c>
      <c r="J3271" s="16" t="s">
        <v>17272</v>
      </c>
      <c r="K3271" s="2" t="s">
        <v>1806</v>
      </c>
      <c r="L3271" s="8" t="s">
        <v>1807</v>
      </c>
      <c r="M3271" s="8" t="s">
        <v>27</v>
      </c>
      <c r="N3271" s="2" t="s">
        <v>17744</v>
      </c>
      <c r="O3271" s="8" t="s">
        <v>29</v>
      </c>
      <c r="P3271" s="8" t="s">
        <v>401</v>
      </c>
      <c r="Q3271" s="12" t="s">
        <v>17745</v>
      </c>
      <c r="R3271" s="8" t="s">
        <v>100</v>
      </c>
      <c r="S3271" s="7" t="s">
        <v>28</v>
      </c>
      <c r="T3271" s="6"/>
      <c r="U3271" s="8"/>
    </row>
    <row r="3272" spans="1:21" ht="13" customHeight="1">
      <c r="A3272" s="8" t="s">
        <v>17746</v>
      </c>
      <c r="B3272" s="16" t="s">
        <v>8771</v>
      </c>
      <c r="C3272" s="8" t="s">
        <v>20</v>
      </c>
      <c r="D3272" s="8" t="s">
        <v>48</v>
      </c>
      <c r="F3272" s="17">
        <v>41352</v>
      </c>
      <c r="G3272" s="8" t="s">
        <v>17747</v>
      </c>
      <c r="H3272" s="8" t="s">
        <v>239</v>
      </c>
      <c r="I3272" s="8" t="s">
        <v>240</v>
      </c>
      <c r="J3272" s="16" t="s">
        <v>10362</v>
      </c>
      <c r="K3272" s="2" t="s">
        <v>613</v>
      </c>
      <c r="L3272" s="8" t="s">
        <v>17748</v>
      </c>
      <c r="M3272" s="8" t="s">
        <v>27</v>
      </c>
      <c r="N3272" s="2" t="s">
        <v>17749</v>
      </c>
      <c r="O3272" s="8" t="s">
        <v>550</v>
      </c>
      <c r="P3272" s="8" t="s">
        <v>401</v>
      </c>
      <c r="Q3272" s="12" t="s">
        <v>17750</v>
      </c>
      <c r="R3272" s="8" t="s">
        <v>100</v>
      </c>
      <c r="S3272" s="7" t="s">
        <v>28</v>
      </c>
      <c r="T3272" s="6"/>
      <c r="U3272" s="8"/>
    </row>
    <row r="3273" spans="1:21" ht="13" customHeight="1">
      <c r="A3273" s="8" t="s">
        <v>17751</v>
      </c>
      <c r="B3273" s="16" t="s">
        <v>16025</v>
      </c>
      <c r="C3273" s="8" t="s">
        <v>20</v>
      </c>
      <c r="D3273" s="8" t="s">
        <v>30</v>
      </c>
      <c r="F3273" s="17">
        <v>41352</v>
      </c>
      <c r="G3273" s="8" t="s">
        <v>17752</v>
      </c>
      <c r="H3273" s="8" t="s">
        <v>925</v>
      </c>
      <c r="I3273" s="8" t="s">
        <v>195</v>
      </c>
      <c r="J3273" s="16" t="s">
        <v>17753</v>
      </c>
      <c r="K3273" s="2" t="s">
        <v>467</v>
      </c>
      <c r="L3273" s="8" t="s">
        <v>3098</v>
      </c>
      <c r="M3273" s="8" t="s">
        <v>27</v>
      </c>
      <c r="N3273" s="2" t="s">
        <v>17754</v>
      </c>
      <c r="O3273" s="8" t="s">
        <v>29</v>
      </c>
      <c r="P3273" s="8" t="s">
        <v>401</v>
      </c>
      <c r="Q3273" s="12" t="s">
        <v>10165</v>
      </c>
      <c r="R3273" s="8" t="s">
        <v>100</v>
      </c>
      <c r="S3273" s="7" t="s">
        <v>28</v>
      </c>
      <c r="T3273" s="6"/>
      <c r="U3273" s="8"/>
    </row>
    <row r="3274" spans="1:21" ht="13" customHeight="1">
      <c r="A3274" s="8" t="s">
        <v>17755</v>
      </c>
      <c r="B3274" s="16" t="s">
        <v>13480</v>
      </c>
      <c r="C3274" s="8" t="s">
        <v>20</v>
      </c>
      <c r="D3274" s="8" t="s">
        <v>30</v>
      </c>
      <c r="F3274" s="17">
        <v>41352</v>
      </c>
      <c r="G3274" s="8" t="s">
        <v>17756</v>
      </c>
      <c r="H3274" s="8" t="s">
        <v>17757</v>
      </c>
      <c r="I3274" s="8" t="s">
        <v>94</v>
      </c>
      <c r="J3274" s="16">
        <v>36022</v>
      </c>
      <c r="K3274" s="2" t="s">
        <v>4097</v>
      </c>
      <c r="L3274" s="8" t="s">
        <v>17758</v>
      </c>
      <c r="M3274" s="8" t="s">
        <v>27</v>
      </c>
      <c r="N3274" s="2" t="s">
        <v>17759</v>
      </c>
      <c r="O3274" s="8" t="s">
        <v>550</v>
      </c>
      <c r="P3274" s="8" t="s">
        <v>401</v>
      </c>
      <c r="Q3274" s="12" t="s">
        <v>17760</v>
      </c>
      <c r="R3274" s="8" t="s">
        <v>100</v>
      </c>
      <c r="S3274" s="7" t="s">
        <v>28</v>
      </c>
      <c r="T3274" s="6"/>
      <c r="U3274" s="8"/>
    </row>
    <row r="3275" spans="1:21" ht="13" customHeight="1">
      <c r="A3275" s="8" t="s">
        <v>17763</v>
      </c>
      <c r="B3275" s="16" t="s">
        <v>13587</v>
      </c>
      <c r="C3275" s="8" t="s">
        <v>20</v>
      </c>
      <c r="D3275" s="8" t="s">
        <v>48</v>
      </c>
      <c r="E3275" s="8" t="s">
        <v>17764</v>
      </c>
      <c r="F3275" s="17">
        <v>41351</v>
      </c>
      <c r="G3275" s="8" t="s">
        <v>17765</v>
      </c>
      <c r="H3275" s="8" t="s">
        <v>608</v>
      </c>
      <c r="I3275" s="8" t="s">
        <v>45</v>
      </c>
      <c r="J3275" s="16" t="s">
        <v>17766</v>
      </c>
      <c r="K3275" s="2" t="s">
        <v>609</v>
      </c>
      <c r="L3275" s="8" t="s">
        <v>730</v>
      </c>
      <c r="M3275" s="8" t="s">
        <v>27</v>
      </c>
      <c r="N3275" s="2" t="s">
        <v>17767</v>
      </c>
      <c r="O3275" s="8" t="s">
        <v>550</v>
      </c>
      <c r="P3275" s="8" t="s">
        <v>401</v>
      </c>
      <c r="Q3275" s="12" t="s">
        <v>17768</v>
      </c>
      <c r="R3275" s="8" t="s">
        <v>100</v>
      </c>
      <c r="S3275" s="7" t="s">
        <v>28</v>
      </c>
      <c r="T3275" s="6"/>
      <c r="U3275" s="8"/>
    </row>
    <row r="3276" spans="1:21" ht="13" customHeight="1">
      <c r="A3276" s="8" t="s">
        <v>3267</v>
      </c>
      <c r="B3276" s="16">
        <v>33</v>
      </c>
      <c r="C3276" s="8" t="s">
        <v>20</v>
      </c>
      <c r="D3276" s="8" t="s">
        <v>48</v>
      </c>
      <c r="F3276" s="17">
        <v>41351</v>
      </c>
      <c r="G3276" s="8" t="s">
        <v>17761</v>
      </c>
      <c r="H3276" s="8" t="s">
        <v>726</v>
      </c>
      <c r="I3276" s="8" t="s">
        <v>73</v>
      </c>
      <c r="J3276" s="16" t="s">
        <v>14210</v>
      </c>
      <c r="K3276" s="2" t="s">
        <v>558</v>
      </c>
      <c r="L3276" s="8" t="s">
        <v>727</v>
      </c>
      <c r="M3276" s="8" t="s">
        <v>27</v>
      </c>
      <c r="N3276" s="2" t="s">
        <v>17762</v>
      </c>
      <c r="O3276" s="8" t="s">
        <v>29</v>
      </c>
      <c r="P3276" s="8" t="s">
        <v>401</v>
      </c>
      <c r="Q3276" s="12" t="str">
        <f>HYPERLINK("http://www.chron.com/news/houston-texas/houston/article/HPD-officer-wounded-suspect-killed-in-shootout-4362891.php","http://www.chron.com/news/houston-texas/houston/article/HPD-officer-wounded-suspect-killed-in-shootout-4362891.php")</f>
        <v>http://www.chron.com/news/houston-texas/houston/article/HPD-officer-wounded-suspect-killed-in-shootout-4362891.php</v>
      </c>
      <c r="R3276" s="8" t="s">
        <v>100</v>
      </c>
      <c r="S3276" s="7" t="s">
        <v>28</v>
      </c>
      <c r="T3276" s="6"/>
      <c r="U3276" s="8"/>
    </row>
    <row r="3277" spans="1:21" ht="13" customHeight="1">
      <c r="A3277" s="8" t="s">
        <v>17769</v>
      </c>
      <c r="B3277" s="16">
        <v>22</v>
      </c>
      <c r="C3277" s="8" t="s">
        <v>20</v>
      </c>
      <c r="D3277" s="8" t="s">
        <v>85</v>
      </c>
      <c r="E3277" s="8" t="s">
        <v>17770</v>
      </c>
      <c r="F3277" s="17">
        <v>41350</v>
      </c>
      <c r="G3277" s="8" t="s">
        <v>17771</v>
      </c>
      <c r="H3277" s="8" t="s">
        <v>17772</v>
      </c>
      <c r="I3277" s="8" t="s">
        <v>69</v>
      </c>
      <c r="J3277" s="16" t="s">
        <v>17773</v>
      </c>
      <c r="K3277" s="2" t="s">
        <v>105</v>
      </c>
      <c r="L3277" s="8" t="s">
        <v>17774</v>
      </c>
      <c r="M3277" s="8" t="s">
        <v>27</v>
      </c>
      <c r="N3277" s="2" t="s">
        <v>17775</v>
      </c>
      <c r="O3277" s="8" t="s">
        <v>550</v>
      </c>
      <c r="P3277" s="8" t="s">
        <v>401</v>
      </c>
      <c r="Q3277" s="12" t="s">
        <v>17776</v>
      </c>
      <c r="R3277" s="8" t="s">
        <v>100</v>
      </c>
      <c r="S3277" s="7" t="s">
        <v>28</v>
      </c>
      <c r="T3277" s="6"/>
      <c r="U3277" s="8"/>
    </row>
    <row r="3278" spans="1:21" ht="13" customHeight="1">
      <c r="A3278" s="8" t="s">
        <v>17777</v>
      </c>
      <c r="B3278" s="16">
        <v>28</v>
      </c>
      <c r="C3278" s="8" t="s">
        <v>114</v>
      </c>
      <c r="D3278" s="8" t="s">
        <v>48</v>
      </c>
      <c r="F3278" s="17">
        <v>41349</v>
      </c>
      <c r="G3278" s="8" t="s">
        <v>17778</v>
      </c>
      <c r="H3278" s="8" t="s">
        <v>2886</v>
      </c>
      <c r="I3278" s="8" t="s">
        <v>45</v>
      </c>
      <c r="J3278" s="16" t="s">
        <v>17779</v>
      </c>
      <c r="K3278" s="2" t="s">
        <v>98</v>
      </c>
      <c r="L3278" s="8" t="s">
        <v>17780</v>
      </c>
      <c r="M3278" s="8" t="s">
        <v>27</v>
      </c>
      <c r="N3278" s="2" t="s">
        <v>17781</v>
      </c>
      <c r="O3278" s="8" t="s">
        <v>1013</v>
      </c>
      <c r="P3278" s="8" t="s">
        <v>401</v>
      </c>
      <c r="Q3278" s="12" t="s">
        <v>17782</v>
      </c>
      <c r="R3278" s="8" t="s">
        <v>29</v>
      </c>
      <c r="S3278" s="7" t="s">
        <v>28</v>
      </c>
      <c r="T3278" s="6"/>
      <c r="U3278" s="8"/>
    </row>
    <row r="3279" spans="1:21" ht="13" customHeight="1">
      <c r="A3279" s="8" t="s">
        <v>17783</v>
      </c>
      <c r="B3279" s="16">
        <v>41</v>
      </c>
      <c r="C3279" s="8" t="s">
        <v>20</v>
      </c>
      <c r="D3279" s="8" t="s">
        <v>37</v>
      </c>
      <c r="E3279" s="8" t="s">
        <v>17784</v>
      </c>
      <c r="F3279" s="17">
        <v>41348</v>
      </c>
      <c r="G3279" s="8" t="s">
        <v>17785</v>
      </c>
      <c r="H3279" s="8" t="s">
        <v>3712</v>
      </c>
      <c r="I3279" s="8" t="s">
        <v>45</v>
      </c>
      <c r="J3279" s="16" t="s">
        <v>3713</v>
      </c>
      <c r="K3279" s="2" t="s">
        <v>1064</v>
      </c>
      <c r="L3279" s="8" t="s">
        <v>3714</v>
      </c>
      <c r="M3279" s="8" t="s">
        <v>27</v>
      </c>
      <c r="N3279" s="2" t="s">
        <v>17786</v>
      </c>
      <c r="O3279" s="8" t="s">
        <v>550</v>
      </c>
      <c r="P3279" s="8" t="s">
        <v>401</v>
      </c>
      <c r="Q3279" s="12" t="s">
        <v>17787</v>
      </c>
      <c r="R3279" s="8" t="s">
        <v>100</v>
      </c>
      <c r="S3279" s="7" t="s">
        <v>28</v>
      </c>
      <c r="T3279" s="6"/>
      <c r="U3279" s="8"/>
    </row>
    <row r="3280" spans="1:21" ht="13" customHeight="1">
      <c r="A3280" s="8" t="s">
        <v>17788</v>
      </c>
      <c r="B3280" s="16">
        <v>21</v>
      </c>
      <c r="C3280" s="8" t="s">
        <v>20</v>
      </c>
      <c r="D3280" s="8" t="s">
        <v>85</v>
      </c>
      <c r="F3280" s="17">
        <v>41347</v>
      </c>
      <c r="G3280" s="8" t="s">
        <v>17789</v>
      </c>
      <c r="H3280" s="8" t="s">
        <v>285</v>
      </c>
      <c r="I3280" s="8" t="s">
        <v>73</v>
      </c>
      <c r="J3280" s="16" t="s">
        <v>8016</v>
      </c>
      <c r="K3280" s="2" t="s">
        <v>285</v>
      </c>
      <c r="L3280" s="8" t="s">
        <v>286</v>
      </c>
      <c r="M3280" s="8" t="s">
        <v>27</v>
      </c>
      <c r="N3280" s="2" t="s">
        <v>17790</v>
      </c>
      <c r="O3280" s="8" t="s">
        <v>550</v>
      </c>
      <c r="P3280" s="8" t="s">
        <v>401</v>
      </c>
      <c r="Q3280" s="12" t="s">
        <v>17791</v>
      </c>
      <c r="R3280" s="8" t="s">
        <v>100</v>
      </c>
      <c r="S3280" s="7" t="s">
        <v>28</v>
      </c>
      <c r="T3280" s="6"/>
      <c r="U3280" s="8"/>
    </row>
    <row r="3281" spans="1:24" ht="13" customHeight="1">
      <c r="A3281" s="8" t="s">
        <v>17792</v>
      </c>
      <c r="B3281" s="16">
        <v>58</v>
      </c>
      <c r="C3281" s="8" t="s">
        <v>20</v>
      </c>
      <c r="D3281" s="8" t="s">
        <v>30</v>
      </c>
      <c r="F3281" s="17">
        <v>41347</v>
      </c>
      <c r="G3281" s="8" t="s">
        <v>17793</v>
      </c>
      <c r="H3281" s="8" t="s">
        <v>87</v>
      </c>
      <c r="I3281" s="8" t="s">
        <v>44</v>
      </c>
      <c r="J3281" s="16" t="s">
        <v>6634</v>
      </c>
      <c r="K3281" s="2" t="s">
        <v>88</v>
      </c>
      <c r="L3281" s="8" t="s">
        <v>89</v>
      </c>
      <c r="M3281" s="8" t="s">
        <v>27</v>
      </c>
      <c r="N3281" s="2" t="s">
        <v>17794</v>
      </c>
      <c r="O3281" s="8" t="s">
        <v>1013</v>
      </c>
      <c r="P3281" s="8" t="s">
        <v>401</v>
      </c>
      <c r="Q3281" s="12" t="s">
        <v>17795</v>
      </c>
      <c r="R3281" s="8" t="s">
        <v>29</v>
      </c>
      <c r="S3281" s="7" t="s">
        <v>28</v>
      </c>
      <c r="T3281" s="6"/>
      <c r="U3281" s="8"/>
    </row>
    <row r="3282" spans="1:24" ht="13" customHeight="1">
      <c r="A3282" s="8" t="s">
        <v>17796</v>
      </c>
      <c r="B3282" s="16">
        <v>30</v>
      </c>
      <c r="C3282" s="8" t="s">
        <v>20</v>
      </c>
      <c r="D3282" s="8" t="s">
        <v>37</v>
      </c>
      <c r="E3282" s="8" t="s">
        <v>17797</v>
      </c>
      <c r="F3282" s="17">
        <v>41347</v>
      </c>
      <c r="G3282" s="8" t="s">
        <v>17798</v>
      </c>
      <c r="H3282" s="8" t="s">
        <v>17799</v>
      </c>
      <c r="I3282" s="8" t="s">
        <v>793</v>
      </c>
      <c r="J3282" s="16" t="s">
        <v>17800</v>
      </c>
      <c r="K3282" s="2" t="s">
        <v>17801</v>
      </c>
      <c r="L3282" s="8" t="s">
        <v>17802</v>
      </c>
      <c r="M3282" s="8" t="s">
        <v>27</v>
      </c>
      <c r="N3282" s="2" t="s">
        <v>17803</v>
      </c>
      <c r="O3282" s="8" t="s">
        <v>550</v>
      </c>
      <c r="P3282" s="8" t="s">
        <v>401</v>
      </c>
      <c r="Q3282" s="12" t="s">
        <v>17804</v>
      </c>
      <c r="R3282" s="8" t="s">
        <v>967</v>
      </c>
      <c r="S3282" s="7" t="s">
        <v>28</v>
      </c>
      <c r="T3282" s="6"/>
      <c r="U3282" s="8"/>
    </row>
    <row r="3283" spans="1:24" ht="13" customHeight="1">
      <c r="A3283" s="8" t="s">
        <v>17805</v>
      </c>
      <c r="B3283" s="16">
        <v>64</v>
      </c>
      <c r="C3283" s="8" t="s">
        <v>20</v>
      </c>
      <c r="D3283" s="8" t="s">
        <v>37</v>
      </c>
      <c r="E3283" s="8" t="s">
        <v>17806</v>
      </c>
      <c r="F3283" s="17">
        <v>41347</v>
      </c>
      <c r="G3283" s="8" t="s">
        <v>17807</v>
      </c>
      <c r="H3283" s="8" t="s">
        <v>17808</v>
      </c>
      <c r="I3283" s="8" t="s">
        <v>423</v>
      </c>
      <c r="J3283" s="16" t="s">
        <v>17809</v>
      </c>
      <c r="K3283" s="2" t="s">
        <v>17808</v>
      </c>
      <c r="L3283" s="8" t="s">
        <v>5671</v>
      </c>
      <c r="M3283" s="8" t="s">
        <v>27</v>
      </c>
      <c r="N3283" s="2" t="s">
        <v>17810</v>
      </c>
      <c r="O3283" s="8" t="s">
        <v>550</v>
      </c>
      <c r="P3283" s="8" t="s">
        <v>401</v>
      </c>
      <c r="Q3283" s="12" t="s">
        <v>17811</v>
      </c>
      <c r="R3283" s="8" t="s">
        <v>100</v>
      </c>
      <c r="S3283" s="7" t="s">
        <v>28</v>
      </c>
      <c r="T3283" s="6"/>
      <c r="U3283" s="8"/>
    </row>
    <row r="3284" spans="1:24" ht="13" customHeight="1">
      <c r="A3284" s="8" t="s">
        <v>17812</v>
      </c>
      <c r="B3284" s="16">
        <v>20</v>
      </c>
      <c r="C3284" s="8" t="s">
        <v>20</v>
      </c>
      <c r="D3284" s="8" t="s">
        <v>85</v>
      </c>
      <c r="F3284" s="17">
        <v>41346</v>
      </c>
      <c r="G3284" s="8" t="s">
        <v>17813</v>
      </c>
      <c r="H3284" s="8" t="s">
        <v>987</v>
      </c>
      <c r="I3284" s="8" t="s">
        <v>671</v>
      </c>
      <c r="J3284" s="16" t="s">
        <v>17814</v>
      </c>
      <c r="K3284" s="2" t="s">
        <v>17815</v>
      </c>
      <c r="L3284" s="8" t="s">
        <v>17816</v>
      </c>
      <c r="M3284" s="8" t="s">
        <v>27</v>
      </c>
      <c r="N3284" s="2" t="s">
        <v>17817</v>
      </c>
      <c r="O3284" s="8" t="s">
        <v>1790</v>
      </c>
      <c r="P3284" s="8" t="s">
        <v>1162</v>
      </c>
      <c r="Q3284" s="12" t="s">
        <v>17818</v>
      </c>
      <c r="R3284" s="8" t="s">
        <v>100</v>
      </c>
      <c r="S3284" s="7" t="s">
        <v>28</v>
      </c>
      <c r="T3284" s="6"/>
      <c r="U3284" s="8"/>
    </row>
    <row r="3285" spans="1:24" ht="13" customHeight="1">
      <c r="A3285" s="8" t="s">
        <v>17819</v>
      </c>
      <c r="B3285" s="16" t="s">
        <v>10160</v>
      </c>
      <c r="C3285" s="8" t="s">
        <v>20</v>
      </c>
      <c r="D3285" s="8" t="s">
        <v>85</v>
      </c>
      <c r="E3285" s="8" t="s">
        <v>17820</v>
      </c>
      <c r="F3285" s="17">
        <v>41346</v>
      </c>
      <c r="G3285" s="8" t="s">
        <v>17821</v>
      </c>
      <c r="H3285" s="8" t="s">
        <v>17822</v>
      </c>
      <c r="I3285" s="8" t="s">
        <v>150</v>
      </c>
      <c r="J3285" s="16" t="s">
        <v>17823</v>
      </c>
      <c r="K3285" s="2" t="s">
        <v>5365</v>
      </c>
      <c r="L3285" s="8" t="s">
        <v>17824</v>
      </c>
      <c r="M3285" s="8" t="s">
        <v>27</v>
      </c>
      <c r="N3285" s="2" t="s">
        <v>17825</v>
      </c>
      <c r="O3285" s="8" t="s">
        <v>550</v>
      </c>
      <c r="P3285" s="8" t="s">
        <v>401</v>
      </c>
      <c r="Q3285" s="12" t="s">
        <v>17826</v>
      </c>
      <c r="R3285" s="8" t="s">
        <v>555</v>
      </c>
      <c r="S3285" s="7" t="s">
        <v>28</v>
      </c>
      <c r="T3285" s="6"/>
      <c r="U3285" s="8"/>
    </row>
    <row r="3286" spans="1:24" ht="13" customHeight="1">
      <c r="A3286" s="8" t="s">
        <v>17827</v>
      </c>
      <c r="B3286" s="16">
        <v>78</v>
      </c>
      <c r="C3286" s="8" t="s">
        <v>20</v>
      </c>
      <c r="D3286" s="8" t="s">
        <v>48</v>
      </c>
      <c r="F3286" s="17">
        <v>41346</v>
      </c>
      <c r="G3286" s="8" t="s">
        <v>17828</v>
      </c>
      <c r="H3286" s="8" t="s">
        <v>17829</v>
      </c>
      <c r="I3286" s="8" t="s">
        <v>73</v>
      </c>
      <c r="J3286" s="16" t="s">
        <v>17830</v>
      </c>
      <c r="K3286" s="2" t="s">
        <v>11593</v>
      </c>
      <c r="L3286" s="8" t="s">
        <v>11595</v>
      </c>
      <c r="M3286" s="8" t="s">
        <v>27</v>
      </c>
      <c r="N3286" s="2" t="s">
        <v>17831</v>
      </c>
      <c r="O3286" s="8" t="s">
        <v>1013</v>
      </c>
      <c r="P3286" s="8" t="s">
        <v>401</v>
      </c>
      <c r="Q3286" s="12" t="s">
        <v>17832</v>
      </c>
      <c r="R3286" s="8" t="s">
        <v>29</v>
      </c>
      <c r="S3286" s="7" t="s">
        <v>28</v>
      </c>
      <c r="T3286" s="6"/>
      <c r="U3286" s="8"/>
    </row>
    <row r="3287" spans="1:24" ht="13" customHeight="1">
      <c r="A3287" s="8" t="s">
        <v>17833</v>
      </c>
      <c r="B3287" s="16" t="s">
        <v>17264</v>
      </c>
      <c r="C3287" s="8" t="s">
        <v>20</v>
      </c>
      <c r="D3287" s="8" t="s">
        <v>37</v>
      </c>
      <c r="E3287" s="8" t="s">
        <v>17834</v>
      </c>
      <c r="F3287" s="17">
        <v>41346</v>
      </c>
      <c r="G3287" s="8" t="s">
        <v>17835</v>
      </c>
      <c r="H3287" s="8" t="s">
        <v>4922</v>
      </c>
      <c r="I3287" s="8" t="s">
        <v>44</v>
      </c>
      <c r="J3287" s="16" t="s">
        <v>17836</v>
      </c>
      <c r="K3287" s="2" t="s">
        <v>17837</v>
      </c>
      <c r="L3287" s="8" t="s">
        <v>4924</v>
      </c>
      <c r="M3287" s="8" t="s">
        <v>27</v>
      </c>
      <c r="N3287" s="2" t="s">
        <v>17838</v>
      </c>
      <c r="O3287" s="8" t="s">
        <v>550</v>
      </c>
      <c r="P3287" s="8" t="s">
        <v>401</v>
      </c>
      <c r="Q3287" s="12" t="s">
        <v>17839</v>
      </c>
      <c r="R3287" s="8" t="s">
        <v>967</v>
      </c>
      <c r="S3287" s="7" t="s">
        <v>28</v>
      </c>
      <c r="T3287" s="6"/>
      <c r="U3287" s="8"/>
    </row>
    <row r="3288" spans="1:24" ht="13" customHeight="1">
      <c r="A3288" s="8" t="s">
        <v>17840</v>
      </c>
      <c r="B3288" s="16">
        <v>17</v>
      </c>
      <c r="C3288" s="8" t="s">
        <v>20</v>
      </c>
      <c r="D3288" s="8" t="s">
        <v>85</v>
      </c>
      <c r="E3288" s="8" t="s">
        <v>17841</v>
      </c>
      <c r="F3288" s="17">
        <v>41345</v>
      </c>
      <c r="G3288" s="8" t="s">
        <v>17842</v>
      </c>
      <c r="H3288" s="8" t="s">
        <v>14632</v>
      </c>
      <c r="I3288" s="8" t="s">
        <v>57</v>
      </c>
      <c r="J3288" s="16" t="s">
        <v>17843</v>
      </c>
      <c r="K3288" s="2" t="s">
        <v>603</v>
      </c>
      <c r="L3288" s="8" t="s">
        <v>17844</v>
      </c>
      <c r="M3288" s="8" t="s">
        <v>27</v>
      </c>
      <c r="N3288" s="2" t="s">
        <v>17845</v>
      </c>
      <c r="O3288" s="8" t="s">
        <v>550</v>
      </c>
      <c r="P3288" s="8" t="s">
        <v>401</v>
      </c>
      <c r="Q3288" s="12" t="s">
        <v>17846</v>
      </c>
      <c r="R3288" s="8" t="s">
        <v>100</v>
      </c>
      <c r="S3288" s="7" t="s">
        <v>28</v>
      </c>
      <c r="T3288" s="6"/>
      <c r="U3288" s="8"/>
    </row>
    <row r="3289" spans="1:24" ht="13" customHeight="1">
      <c r="A3289" s="8" t="s">
        <v>17847</v>
      </c>
      <c r="B3289" s="16">
        <v>44</v>
      </c>
      <c r="C3289" s="8" t="s">
        <v>20</v>
      </c>
      <c r="D3289" s="8" t="s">
        <v>48</v>
      </c>
      <c r="F3289" s="17">
        <v>41345</v>
      </c>
      <c r="G3289" s="8" t="s">
        <v>17848</v>
      </c>
      <c r="H3289" s="8" t="s">
        <v>213</v>
      </c>
      <c r="I3289" s="8" t="s">
        <v>62</v>
      </c>
      <c r="J3289" s="16" t="s">
        <v>17849</v>
      </c>
      <c r="K3289" s="2" t="s">
        <v>161</v>
      </c>
      <c r="L3289" s="8" t="s">
        <v>162</v>
      </c>
      <c r="M3289" s="8" t="s">
        <v>27</v>
      </c>
      <c r="N3289" s="2" t="s">
        <v>17850</v>
      </c>
      <c r="O3289" s="8" t="s">
        <v>400</v>
      </c>
      <c r="P3289" s="8" t="s">
        <v>401</v>
      </c>
      <c r="Q3289" s="12" t="s">
        <v>17851</v>
      </c>
      <c r="R3289" s="8" t="s">
        <v>100</v>
      </c>
      <c r="S3289" s="7" t="s">
        <v>28</v>
      </c>
      <c r="T3289" s="6"/>
      <c r="U3289" s="8"/>
    </row>
    <row r="3290" spans="1:24" ht="13" customHeight="1">
      <c r="A3290" s="8" t="s">
        <v>17852</v>
      </c>
      <c r="B3290" s="16">
        <v>47</v>
      </c>
      <c r="C3290" s="8" t="s">
        <v>20</v>
      </c>
      <c r="D3290" s="8" t="s">
        <v>30</v>
      </c>
      <c r="F3290" s="17">
        <v>41345</v>
      </c>
      <c r="G3290" s="8" t="s">
        <v>17853</v>
      </c>
      <c r="H3290" s="8" t="s">
        <v>17854</v>
      </c>
      <c r="I3290" s="8" t="s">
        <v>463</v>
      </c>
      <c r="J3290" s="16" t="s">
        <v>17855</v>
      </c>
      <c r="K3290" s="2" t="s">
        <v>17856</v>
      </c>
      <c r="L3290" s="8" t="s">
        <v>17857</v>
      </c>
      <c r="M3290" s="8" t="s">
        <v>27</v>
      </c>
      <c r="N3290" s="2" t="s">
        <v>17858</v>
      </c>
      <c r="O3290" s="8" t="s">
        <v>550</v>
      </c>
      <c r="P3290" s="8" t="s">
        <v>401</v>
      </c>
      <c r="Q3290" s="12" t="s">
        <v>17859</v>
      </c>
      <c r="R3290" s="8" t="s">
        <v>29</v>
      </c>
      <c r="S3290" s="7" t="s">
        <v>28</v>
      </c>
      <c r="T3290" s="6"/>
      <c r="U3290" s="8"/>
    </row>
    <row r="3291" spans="1:24" ht="13" customHeight="1">
      <c r="A3291" s="8" t="s">
        <v>17860</v>
      </c>
      <c r="B3291" s="16">
        <v>58</v>
      </c>
      <c r="C3291" s="8" t="s">
        <v>20</v>
      </c>
      <c r="D3291" s="8" t="s">
        <v>37</v>
      </c>
      <c r="F3291" s="17">
        <v>41345</v>
      </c>
      <c r="G3291" s="8" t="s">
        <v>17861</v>
      </c>
      <c r="H3291" s="8" t="s">
        <v>17862</v>
      </c>
      <c r="I3291" s="8" t="s">
        <v>41</v>
      </c>
      <c r="J3291" s="16" t="s">
        <v>17863</v>
      </c>
      <c r="K3291" s="2" t="s">
        <v>10576</v>
      </c>
      <c r="L3291" s="8" t="s">
        <v>17864</v>
      </c>
      <c r="M3291" s="8" t="s">
        <v>27</v>
      </c>
      <c r="N3291" s="2" t="s">
        <v>17865</v>
      </c>
      <c r="O3291" s="8" t="s">
        <v>550</v>
      </c>
      <c r="P3291" s="8" t="s">
        <v>401</v>
      </c>
      <c r="Q3291" s="12" t="s">
        <v>17866</v>
      </c>
      <c r="R3291" s="8" t="s">
        <v>100</v>
      </c>
      <c r="S3291" s="7" t="s">
        <v>28</v>
      </c>
      <c r="T3291" s="6"/>
      <c r="U3291" s="8"/>
      <c r="V3291" s="8"/>
      <c r="W3291" s="8"/>
      <c r="X3291" s="8"/>
    </row>
    <row r="3292" spans="1:24" ht="13" customHeight="1">
      <c r="A3292" s="8" t="s">
        <v>17877</v>
      </c>
      <c r="B3292" s="16">
        <v>16</v>
      </c>
      <c r="C3292" s="8" t="s">
        <v>20</v>
      </c>
      <c r="D3292" s="8" t="s">
        <v>85</v>
      </c>
      <c r="F3292" s="17">
        <v>41343</v>
      </c>
      <c r="G3292" s="8" t="s">
        <v>17878</v>
      </c>
      <c r="H3292" s="8" t="s">
        <v>757</v>
      </c>
      <c r="I3292" s="8" t="s">
        <v>423</v>
      </c>
      <c r="J3292" s="16" t="s">
        <v>17879</v>
      </c>
      <c r="K3292" s="2" t="s">
        <v>1716</v>
      </c>
      <c r="L3292" s="8" t="s">
        <v>582</v>
      </c>
      <c r="M3292" s="8" t="s">
        <v>27</v>
      </c>
      <c r="N3292" s="2" t="s">
        <v>17880</v>
      </c>
      <c r="O3292" s="8" t="s">
        <v>1013</v>
      </c>
      <c r="P3292" s="8" t="s">
        <v>401</v>
      </c>
      <c r="Q3292" s="12" t="str">
        <f>HYPERLINK("http://www.dnainfo.com/new-york/20130310/east-flatbush/police-fatally-shoot-allegedly-armed-teenager-brooklyn","http://www.dnainfo.com/new-york/20130310/east-flatbush/police-fatally-shoot-allegedly-armed-teenager-brooklyn")</f>
        <v>http://www.dnainfo.com/new-york/20130310/east-flatbush/police-fatally-shoot-allegedly-armed-teenager-brooklyn</v>
      </c>
      <c r="R3292" s="8" t="s">
        <v>100</v>
      </c>
      <c r="S3292" s="7" t="s">
        <v>28</v>
      </c>
      <c r="T3292" s="6"/>
      <c r="U3292" s="8"/>
    </row>
    <row r="3293" spans="1:24" ht="13" customHeight="1">
      <c r="A3293" s="8" t="s">
        <v>17881</v>
      </c>
      <c r="B3293" s="16">
        <v>49</v>
      </c>
      <c r="C3293" s="8" t="s">
        <v>20</v>
      </c>
      <c r="D3293" s="8" t="s">
        <v>85</v>
      </c>
      <c r="E3293" s="8" t="s">
        <v>17882</v>
      </c>
      <c r="F3293" s="17">
        <v>41343</v>
      </c>
      <c r="G3293" s="8" t="s">
        <v>17883</v>
      </c>
      <c r="H3293" s="8" t="s">
        <v>17884</v>
      </c>
      <c r="I3293" s="8" t="s">
        <v>173</v>
      </c>
      <c r="J3293" s="16" t="s">
        <v>17885</v>
      </c>
      <c r="K3293" s="2" t="s">
        <v>726</v>
      </c>
      <c r="L3293" s="8" t="s">
        <v>17886</v>
      </c>
      <c r="M3293" s="8" t="s">
        <v>27</v>
      </c>
      <c r="N3293" s="2" t="s">
        <v>17887</v>
      </c>
      <c r="O3293" s="8" t="s">
        <v>550</v>
      </c>
      <c r="P3293" s="8" t="s">
        <v>401</v>
      </c>
      <c r="Q3293" s="12" t="s">
        <v>17888</v>
      </c>
      <c r="R3293" s="8" t="s">
        <v>100</v>
      </c>
      <c r="S3293" s="7" t="s">
        <v>28</v>
      </c>
      <c r="T3293" s="6"/>
      <c r="U3293" s="8"/>
    </row>
    <row r="3294" spans="1:24" ht="13" customHeight="1">
      <c r="A3294" s="8" t="s">
        <v>17871</v>
      </c>
      <c r="B3294" s="16" t="s">
        <v>17872</v>
      </c>
      <c r="C3294" s="8" t="s">
        <v>20</v>
      </c>
      <c r="D3294" s="8" t="s">
        <v>85</v>
      </c>
      <c r="E3294" s="8" t="s">
        <v>17873</v>
      </c>
      <c r="F3294" s="17">
        <v>41343</v>
      </c>
      <c r="G3294" s="8" t="s">
        <v>17874</v>
      </c>
      <c r="H3294" s="8" t="s">
        <v>1195</v>
      </c>
      <c r="I3294" s="8" t="s">
        <v>319</v>
      </c>
      <c r="J3294" s="16">
        <v>38126</v>
      </c>
      <c r="K3294" s="2" t="s">
        <v>1196</v>
      </c>
      <c r="L3294" s="8" t="s">
        <v>1197</v>
      </c>
      <c r="M3294" s="8" t="s">
        <v>27</v>
      </c>
      <c r="N3294" s="2" t="s">
        <v>17875</v>
      </c>
      <c r="O3294" s="8" t="s">
        <v>29</v>
      </c>
      <c r="P3294" s="8" t="s">
        <v>401</v>
      </c>
      <c r="Q3294" s="12" t="s">
        <v>17876</v>
      </c>
      <c r="R3294" s="8" t="s">
        <v>555</v>
      </c>
      <c r="S3294" s="7" t="s">
        <v>28</v>
      </c>
      <c r="T3294" s="6"/>
      <c r="U3294" s="8"/>
    </row>
    <row r="3295" spans="1:24" ht="13" customHeight="1">
      <c r="A3295" s="8" t="s">
        <v>17867</v>
      </c>
      <c r="B3295" s="16" t="s">
        <v>16177</v>
      </c>
      <c r="C3295" s="8" t="s">
        <v>20</v>
      </c>
      <c r="D3295" s="8" t="s">
        <v>85</v>
      </c>
      <c r="E3295" s="8" t="s">
        <v>17868</v>
      </c>
      <c r="F3295" s="17">
        <v>41343</v>
      </c>
      <c r="G3295" s="8" t="s">
        <v>17869</v>
      </c>
      <c r="H3295" s="8" t="s">
        <v>285</v>
      </c>
      <c r="I3295" s="8" t="s">
        <v>73</v>
      </c>
      <c r="J3295" s="16" t="s">
        <v>8970</v>
      </c>
      <c r="K3295" s="2" t="s">
        <v>285</v>
      </c>
      <c r="L3295" s="8" t="s">
        <v>286</v>
      </c>
      <c r="M3295" s="8" t="s">
        <v>27</v>
      </c>
      <c r="N3295" s="2" t="s">
        <v>17870</v>
      </c>
      <c r="O3295" s="8" t="s">
        <v>29</v>
      </c>
      <c r="P3295" s="8" t="s">
        <v>401</v>
      </c>
      <c r="Q3295" s="59" t="str">
        <f>HYPERLINK("http://crimeblog.dallasnews.com/2013/03/dallas-police-officer-fatally-shoots-suspect-after-major-disturbance-at-apartment-complex.html/","http://crimeblog.dallasnews.com/2013/03/dallas-police-officer-fatally-shoots-suspect-after-major-disturbance-at-apartment-complex.html/")</f>
        <v>http://crimeblog.dallasnews.com/2013/03/dallas-police-officer-fatally-shoots-suspect-after-major-disturbance-at-apartment-complex.html/</v>
      </c>
      <c r="R3295" s="8" t="s">
        <v>967</v>
      </c>
      <c r="S3295" s="7" t="s">
        <v>18</v>
      </c>
      <c r="T3295" s="6"/>
      <c r="U3295" s="8"/>
    </row>
    <row r="3296" spans="1:24" ht="13" customHeight="1">
      <c r="A3296" s="8" t="s">
        <v>17889</v>
      </c>
      <c r="B3296" s="16">
        <v>32</v>
      </c>
      <c r="C3296" s="8" t="s">
        <v>20</v>
      </c>
      <c r="D3296" s="8" t="s">
        <v>48</v>
      </c>
      <c r="E3296" s="8" t="s">
        <v>17890</v>
      </c>
      <c r="F3296" s="17">
        <v>41343</v>
      </c>
      <c r="G3296" s="8" t="s">
        <v>17891</v>
      </c>
      <c r="H3296" s="8" t="s">
        <v>526</v>
      </c>
      <c r="I3296" s="8" t="s">
        <v>81</v>
      </c>
      <c r="J3296" s="16" t="s">
        <v>17892</v>
      </c>
      <c r="K3296" s="2" t="s">
        <v>528</v>
      </c>
      <c r="L3296" s="8" t="s">
        <v>529</v>
      </c>
      <c r="M3296" s="8" t="s">
        <v>27</v>
      </c>
      <c r="N3296" s="2" t="s">
        <v>17893</v>
      </c>
      <c r="O3296" s="8" t="s">
        <v>1013</v>
      </c>
      <c r="P3296" s="8" t="s">
        <v>401</v>
      </c>
      <c r="Q3296" s="12" t="s">
        <v>17894</v>
      </c>
      <c r="R3296" s="8" t="s">
        <v>100</v>
      </c>
      <c r="S3296" s="7" t="s">
        <v>28</v>
      </c>
      <c r="T3296" s="6"/>
      <c r="U3296" s="8"/>
    </row>
    <row r="3297" spans="1:21" ht="13" customHeight="1">
      <c r="A3297" s="8" t="s">
        <v>17895</v>
      </c>
      <c r="B3297" s="16">
        <v>28</v>
      </c>
      <c r="C3297" s="8" t="s">
        <v>20</v>
      </c>
      <c r="D3297" s="8" t="s">
        <v>37</v>
      </c>
      <c r="E3297" s="8" t="s">
        <v>17896</v>
      </c>
      <c r="F3297" s="17">
        <v>41343</v>
      </c>
      <c r="G3297" s="8" t="s">
        <v>17897</v>
      </c>
      <c r="H3297" s="8" t="s">
        <v>17898</v>
      </c>
      <c r="I3297" s="8" t="s">
        <v>370</v>
      </c>
      <c r="J3297" s="16" t="s">
        <v>17899</v>
      </c>
      <c r="K3297" s="2" t="s">
        <v>3303</v>
      </c>
      <c r="L3297" s="8" t="s">
        <v>17900</v>
      </c>
      <c r="M3297" s="8" t="s">
        <v>27</v>
      </c>
      <c r="N3297" s="2" t="s">
        <v>17901</v>
      </c>
      <c r="O3297" s="8" t="s">
        <v>29</v>
      </c>
      <c r="P3297" s="8" t="s">
        <v>401</v>
      </c>
      <c r="Q3297" s="12" t="s">
        <v>17902</v>
      </c>
      <c r="R3297" s="8" t="s">
        <v>29</v>
      </c>
      <c r="S3297" s="7" t="s">
        <v>28</v>
      </c>
      <c r="T3297" s="6"/>
      <c r="U3297" s="8"/>
    </row>
    <row r="3298" spans="1:21" ht="13" customHeight="1">
      <c r="A3298" s="8" t="s">
        <v>17903</v>
      </c>
      <c r="B3298" s="16" t="s">
        <v>17249</v>
      </c>
      <c r="C3298" s="8" t="s">
        <v>20</v>
      </c>
      <c r="D3298" s="8" t="s">
        <v>37</v>
      </c>
      <c r="E3298" s="8" t="s">
        <v>17904</v>
      </c>
      <c r="F3298" s="17">
        <v>41343</v>
      </c>
      <c r="G3298" s="8" t="s">
        <v>17905</v>
      </c>
      <c r="H3298" s="8" t="s">
        <v>17906</v>
      </c>
      <c r="I3298" s="8" t="s">
        <v>69</v>
      </c>
      <c r="J3298" s="16" t="s">
        <v>17907</v>
      </c>
      <c r="K3298" s="2" t="s">
        <v>17908</v>
      </c>
      <c r="L3298" s="8" t="s">
        <v>17909</v>
      </c>
      <c r="M3298" s="8" t="s">
        <v>27</v>
      </c>
      <c r="N3298" s="2" t="s">
        <v>17910</v>
      </c>
      <c r="O3298" s="8" t="s">
        <v>29</v>
      </c>
      <c r="P3298" s="8" t="s">
        <v>401</v>
      </c>
      <c r="Q3298" s="12" t="s">
        <v>17911</v>
      </c>
      <c r="R3298" s="8" t="s">
        <v>100</v>
      </c>
      <c r="S3298" s="7" t="s">
        <v>28</v>
      </c>
      <c r="T3298" s="6"/>
      <c r="U3298" s="8"/>
    </row>
    <row r="3299" spans="1:21" ht="13" customHeight="1">
      <c r="A3299" s="8" t="s">
        <v>17912</v>
      </c>
      <c r="B3299" s="16">
        <v>43</v>
      </c>
      <c r="C3299" s="8" t="s">
        <v>20</v>
      </c>
      <c r="D3299" s="8" t="s">
        <v>37</v>
      </c>
      <c r="E3299" s="8" t="s">
        <v>17913</v>
      </c>
      <c r="F3299" s="17">
        <v>41343</v>
      </c>
      <c r="G3299" s="8" t="s">
        <v>17914</v>
      </c>
      <c r="H3299" s="8" t="s">
        <v>17915</v>
      </c>
      <c r="I3299" s="8" t="s">
        <v>62</v>
      </c>
      <c r="J3299" s="16" t="s">
        <v>17916</v>
      </c>
      <c r="K3299" s="2" t="s">
        <v>2316</v>
      </c>
      <c r="L3299" s="8" t="s">
        <v>14154</v>
      </c>
      <c r="M3299" s="8" t="s">
        <v>27</v>
      </c>
      <c r="N3299" s="2" t="s">
        <v>17917</v>
      </c>
      <c r="O3299" s="8" t="s">
        <v>550</v>
      </c>
      <c r="P3299" s="8" t="s">
        <v>401</v>
      </c>
      <c r="Q3299" s="12" t="s">
        <v>17918</v>
      </c>
      <c r="R3299" s="8" t="s">
        <v>555</v>
      </c>
      <c r="S3299" s="7" t="s">
        <v>28</v>
      </c>
      <c r="T3299" s="6"/>
      <c r="U3299" s="8"/>
    </row>
    <row r="3300" spans="1:21" ht="13" customHeight="1">
      <c r="A3300" s="8" t="s">
        <v>17919</v>
      </c>
      <c r="B3300" s="16">
        <v>19</v>
      </c>
      <c r="C3300" s="8" t="s">
        <v>20</v>
      </c>
      <c r="D3300" s="8" t="s">
        <v>85</v>
      </c>
      <c r="E3300" s="8" t="s">
        <v>17920</v>
      </c>
      <c r="F3300" s="17">
        <v>41342</v>
      </c>
      <c r="G3300" s="8" t="s">
        <v>17921</v>
      </c>
      <c r="H3300" s="8" t="s">
        <v>726</v>
      </c>
      <c r="I3300" s="8" t="s">
        <v>73</v>
      </c>
      <c r="J3300" s="16" t="s">
        <v>17922</v>
      </c>
      <c r="K3300" s="2" t="s">
        <v>558</v>
      </c>
      <c r="L3300" s="8" t="s">
        <v>559</v>
      </c>
      <c r="M3300" s="8" t="s">
        <v>27</v>
      </c>
      <c r="N3300" s="2" t="s">
        <v>17923</v>
      </c>
      <c r="O3300" s="8" t="s">
        <v>550</v>
      </c>
      <c r="P3300" s="8" t="s">
        <v>401</v>
      </c>
      <c r="Q3300" s="12" t="s">
        <v>17924</v>
      </c>
      <c r="R3300" s="8" t="s">
        <v>100</v>
      </c>
      <c r="S3300" s="7" t="s">
        <v>28</v>
      </c>
      <c r="T3300" s="6"/>
      <c r="U3300" s="8"/>
    </row>
    <row r="3301" spans="1:21" ht="13" customHeight="1">
      <c r="A3301" s="8" t="s">
        <v>17925</v>
      </c>
      <c r="B3301" s="16">
        <v>44</v>
      </c>
      <c r="C3301" s="8" t="s">
        <v>20</v>
      </c>
      <c r="D3301" s="8" t="s">
        <v>85</v>
      </c>
      <c r="F3301" s="17">
        <v>41341</v>
      </c>
      <c r="G3301" s="8" t="s">
        <v>17926</v>
      </c>
      <c r="H3301" s="8" t="s">
        <v>8611</v>
      </c>
      <c r="I3301" s="8" t="s">
        <v>81</v>
      </c>
      <c r="J3301" s="16" t="s">
        <v>17927</v>
      </c>
      <c r="K3301" s="2" t="s">
        <v>2486</v>
      </c>
      <c r="L3301" s="8" t="s">
        <v>8613</v>
      </c>
      <c r="M3301" s="8" t="s">
        <v>27</v>
      </c>
      <c r="N3301" s="2" t="s">
        <v>17928</v>
      </c>
      <c r="O3301" s="8" t="s">
        <v>1013</v>
      </c>
      <c r="P3301" s="8" t="s">
        <v>401</v>
      </c>
      <c r="Q3301" s="12" t="s">
        <v>17929</v>
      </c>
      <c r="R3301" s="8" t="s">
        <v>555</v>
      </c>
      <c r="S3301" s="7" t="s">
        <v>28</v>
      </c>
      <c r="T3301" s="6"/>
      <c r="U3301" s="8"/>
    </row>
    <row r="3302" spans="1:21" ht="13" customHeight="1">
      <c r="A3302" s="8" t="s">
        <v>17930</v>
      </c>
      <c r="B3302" s="16">
        <v>20</v>
      </c>
      <c r="C3302" s="8" t="s">
        <v>20</v>
      </c>
      <c r="D3302" s="8" t="s">
        <v>30</v>
      </c>
      <c r="F3302" s="17">
        <v>41341</v>
      </c>
      <c r="G3302" s="8" t="s">
        <v>17931</v>
      </c>
      <c r="H3302" s="8" t="s">
        <v>10806</v>
      </c>
      <c r="I3302" s="8" t="s">
        <v>62</v>
      </c>
      <c r="J3302" s="16" t="s">
        <v>17932</v>
      </c>
      <c r="K3302" s="2" t="s">
        <v>5354</v>
      </c>
      <c r="L3302" s="8" t="s">
        <v>13669</v>
      </c>
      <c r="M3302" s="8" t="s">
        <v>27</v>
      </c>
      <c r="N3302" s="2" t="s">
        <v>17933</v>
      </c>
      <c r="O3302" s="8" t="s">
        <v>1013</v>
      </c>
      <c r="P3302" s="8" t="s">
        <v>401</v>
      </c>
      <c r="Q3302" s="12" t="str">
        <f>HYPERLINK("http://articles.sun-sentinel.com/2013-03-12/news/fl-boca-officer-involved-named-20130311_1_boca-raton-police-police-officers-facebook-profile","http://articles.sun-sentinel.com/2013-03-12/news/fl-boca-officer-involved-named-20130311_1_boca-raton-police-police-officers-facebook-profile")</f>
        <v>http://articles.sun-sentinel.com/2013-03-12/news/fl-boca-officer-involved-named-20130311_1_boca-raton-police-police-officers-facebook-profile</v>
      </c>
      <c r="R3302" s="8" t="s">
        <v>967</v>
      </c>
      <c r="S3302" s="7" t="s">
        <v>28</v>
      </c>
      <c r="T3302" s="6"/>
      <c r="U3302" s="8"/>
    </row>
    <row r="3303" spans="1:21" ht="13" customHeight="1">
      <c r="A3303" s="8" t="s">
        <v>17934</v>
      </c>
      <c r="B3303" s="16">
        <v>55</v>
      </c>
      <c r="C3303" s="8" t="s">
        <v>20</v>
      </c>
      <c r="D3303" s="8" t="s">
        <v>30</v>
      </c>
      <c r="F3303" s="17">
        <v>41341</v>
      </c>
      <c r="G3303" s="8" t="s">
        <v>17935</v>
      </c>
      <c r="H3303" s="8" t="s">
        <v>2988</v>
      </c>
      <c r="I3303" s="8" t="s">
        <v>62</v>
      </c>
      <c r="J3303" s="16" t="s">
        <v>2989</v>
      </c>
      <c r="K3303" s="2" t="s">
        <v>2990</v>
      </c>
      <c r="L3303" s="8" t="s">
        <v>2991</v>
      </c>
      <c r="M3303" s="8" t="s">
        <v>27</v>
      </c>
      <c r="N3303" s="2" t="s">
        <v>17936</v>
      </c>
      <c r="O3303" s="8" t="s">
        <v>550</v>
      </c>
      <c r="P3303" s="8" t="s">
        <v>401</v>
      </c>
      <c r="Q3303" s="12" t="s">
        <v>17937</v>
      </c>
      <c r="R3303" s="8" t="s">
        <v>100</v>
      </c>
      <c r="S3303" s="7" t="s">
        <v>28</v>
      </c>
      <c r="T3303" s="6"/>
      <c r="U3303" s="8"/>
    </row>
    <row r="3304" spans="1:21" ht="13" customHeight="1">
      <c r="A3304" s="8" t="s">
        <v>17949</v>
      </c>
      <c r="B3304" s="16">
        <v>32</v>
      </c>
      <c r="C3304" s="8" t="s">
        <v>20</v>
      </c>
      <c r="D3304" s="8" t="s">
        <v>37</v>
      </c>
      <c r="E3304" s="8" t="s">
        <v>17950</v>
      </c>
      <c r="F3304" s="17">
        <v>41341</v>
      </c>
      <c r="G3304" s="8" t="s">
        <v>17951</v>
      </c>
      <c r="H3304" s="8" t="s">
        <v>17952</v>
      </c>
      <c r="I3304" s="8" t="s">
        <v>25</v>
      </c>
      <c r="J3304" s="16" t="s">
        <v>17953</v>
      </c>
      <c r="K3304" s="2" t="s">
        <v>17954</v>
      </c>
      <c r="L3304" s="8" t="s">
        <v>17955</v>
      </c>
      <c r="M3304" s="8" t="s">
        <v>27</v>
      </c>
      <c r="N3304" s="2" t="s">
        <v>17956</v>
      </c>
      <c r="O3304" s="8" t="s">
        <v>550</v>
      </c>
      <c r="P3304" s="8" t="s">
        <v>401</v>
      </c>
      <c r="Q3304" s="12" t="s">
        <v>17957</v>
      </c>
      <c r="R3304" s="8" t="s">
        <v>29</v>
      </c>
      <c r="S3304" s="7" t="s">
        <v>28</v>
      </c>
      <c r="T3304" s="6"/>
      <c r="U3304" s="8"/>
    </row>
    <row r="3305" spans="1:21" ht="13" customHeight="1">
      <c r="A3305" s="8" t="s">
        <v>17944</v>
      </c>
      <c r="B3305" s="16">
        <v>34</v>
      </c>
      <c r="C3305" s="8" t="s">
        <v>20</v>
      </c>
      <c r="D3305" s="8" t="s">
        <v>37</v>
      </c>
      <c r="E3305" s="8" t="s">
        <v>17945</v>
      </c>
      <c r="F3305" s="17">
        <v>41341</v>
      </c>
      <c r="G3305" s="8" t="s">
        <v>17946</v>
      </c>
      <c r="H3305" s="8" t="s">
        <v>1631</v>
      </c>
      <c r="I3305" s="8" t="s">
        <v>463</v>
      </c>
      <c r="J3305" s="16" t="s">
        <v>4655</v>
      </c>
      <c r="K3305" s="2" t="s">
        <v>941</v>
      </c>
      <c r="L3305" s="8" t="s">
        <v>2258</v>
      </c>
      <c r="M3305" s="8" t="s">
        <v>27</v>
      </c>
      <c r="N3305" s="2" t="s">
        <v>17947</v>
      </c>
      <c r="O3305" s="8" t="s">
        <v>550</v>
      </c>
      <c r="P3305" s="8" t="s">
        <v>401</v>
      </c>
      <c r="Q3305" s="12" t="s">
        <v>17948</v>
      </c>
      <c r="R3305" s="8" t="s">
        <v>967</v>
      </c>
      <c r="S3305" s="7" t="s">
        <v>28</v>
      </c>
      <c r="T3305" s="6"/>
      <c r="U3305" s="8"/>
    </row>
    <row r="3306" spans="1:21" ht="13" customHeight="1">
      <c r="A3306" s="8" t="s">
        <v>17938</v>
      </c>
      <c r="B3306" s="16" t="s">
        <v>8771</v>
      </c>
      <c r="C3306" s="8" t="s">
        <v>20</v>
      </c>
      <c r="D3306" s="8" t="s">
        <v>37</v>
      </c>
      <c r="E3306" s="8" t="s">
        <v>17939</v>
      </c>
      <c r="F3306" s="17">
        <v>41341</v>
      </c>
      <c r="G3306" s="8" t="s">
        <v>17940</v>
      </c>
      <c r="H3306" s="8" t="s">
        <v>860</v>
      </c>
      <c r="I3306" s="8" t="s">
        <v>73</v>
      </c>
      <c r="J3306" s="16" t="s">
        <v>17941</v>
      </c>
      <c r="K3306" s="2" t="s">
        <v>860</v>
      </c>
      <c r="L3306" s="8" t="s">
        <v>861</v>
      </c>
      <c r="M3306" s="8" t="s">
        <v>27</v>
      </c>
      <c r="N3306" s="2" t="s">
        <v>17942</v>
      </c>
      <c r="O3306" s="8" t="s">
        <v>550</v>
      </c>
      <c r="P3306" s="8" t="s">
        <v>401</v>
      </c>
      <c r="Q3306" s="12" t="s">
        <v>17943</v>
      </c>
      <c r="R3306" s="8" t="s">
        <v>100</v>
      </c>
      <c r="S3306" s="7" t="s">
        <v>28</v>
      </c>
      <c r="T3306" s="6"/>
      <c r="U3306" s="8"/>
    </row>
    <row r="3307" spans="1:21" ht="13" customHeight="1">
      <c r="A3307" s="8" t="s">
        <v>17958</v>
      </c>
      <c r="B3307" s="16">
        <v>27</v>
      </c>
      <c r="C3307" s="8" t="s">
        <v>20</v>
      </c>
      <c r="D3307" s="8" t="s">
        <v>48</v>
      </c>
      <c r="F3307" s="17">
        <v>41340</v>
      </c>
      <c r="G3307" s="8" t="s">
        <v>17959</v>
      </c>
      <c r="H3307" s="8" t="s">
        <v>17960</v>
      </c>
      <c r="I3307" s="8" t="s">
        <v>303</v>
      </c>
      <c r="J3307" s="16" t="s">
        <v>17961</v>
      </c>
      <c r="K3307" s="2" t="s">
        <v>6288</v>
      </c>
      <c r="L3307" s="8" t="s">
        <v>17962</v>
      </c>
      <c r="M3307" s="8" t="s">
        <v>27</v>
      </c>
      <c r="N3307" s="2" t="s">
        <v>17963</v>
      </c>
      <c r="O3307" s="8" t="s">
        <v>550</v>
      </c>
      <c r="P3307" s="8" t="s">
        <v>401</v>
      </c>
      <c r="Q3307" s="12" t="s">
        <v>17964</v>
      </c>
      <c r="S3307" s="7" t="s">
        <v>28</v>
      </c>
      <c r="T3307" s="6"/>
      <c r="U3307" s="8"/>
    </row>
    <row r="3308" spans="1:21" ht="13" customHeight="1">
      <c r="A3308" s="8" t="s">
        <v>17969</v>
      </c>
      <c r="B3308" s="16">
        <v>32</v>
      </c>
      <c r="C3308" s="8" t="s">
        <v>20</v>
      </c>
      <c r="D3308" s="8" t="s">
        <v>30</v>
      </c>
      <c r="F3308" s="17">
        <v>41340</v>
      </c>
      <c r="G3308" s="8" t="s">
        <v>17970</v>
      </c>
      <c r="H3308" s="8" t="s">
        <v>1103</v>
      </c>
      <c r="I3308" s="8" t="s">
        <v>404</v>
      </c>
      <c r="J3308" s="16" t="s">
        <v>16789</v>
      </c>
      <c r="K3308" s="2" t="s">
        <v>1103</v>
      </c>
      <c r="L3308" s="8" t="s">
        <v>1104</v>
      </c>
      <c r="M3308" s="8" t="s">
        <v>27</v>
      </c>
      <c r="N3308" s="2" t="s">
        <v>17971</v>
      </c>
      <c r="O3308" s="8" t="s">
        <v>1013</v>
      </c>
      <c r="P3308" s="8" t="s">
        <v>401</v>
      </c>
      <c r="Q3308" s="12" t="s">
        <v>17972</v>
      </c>
      <c r="R3308" s="8" t="s">
        <v>100</v>
      </c>
      <c r="S3308" s="7" t="s">
        <v>28</v>
      </c>
      <c r="T3308" s="6"/>
      <c r="U3308" s="8"/>
    </row>
    <row r="3309" spans="1:21" ht="13" customHeight="1">
      <c r="A3309" s="8" t="s">
        <v>17965</v>
      </c>
      <c r="B3309" s="16">
        <v>55</v>
      </c>
      <c r="C3309" s="8" t="s">
        <v>20</v>
      </c>
      <c r="D3309" s="8" t="s">
        <v>30</v>
      </c>
      <c r="F3309" s="17">
        <v>41340</v>
      </c>
      <c r="G3309" s="8" t="s">
        <v>17966</v>
      </c>
      <c r="H3309" s="8" t="s">
        <v>653</v>
      </c>
      <c r="I3309" s="8" t="s">
        <v>62</v>
      </c>
      <c r="J3309" s="16" t="s">
        <v>13426</v>
      </c>
      <c r="K3309" s="2" t="s">
        <v>654</v>
      </c>
      <c r="L3309" s="8" t="s">
        <v>655</v>
      </c>
      <c r="M3309" s="8" t="s">
        <v>27</v>
      </c>
      <c r="N3309" s="2" t="s">
        <v>17967</v>
      </c>
      <c r="O3309" s="8" t="s">
        <v>1013</v>
      </c>
      <c r="P3309" s="8" t="s">
        <v>401</v>
      </c>
      <c r="Q3309" s="12" t="s">
        <v>17968</v>
      </c>
      <c r="R3309" s="8" t="s">
        <v>100</v>
      </c>
      <c r="S3309" s="7" t="s">
        <v>28</v>
      </c>
      <c r="T3309" s="6"/>
      <c r="U3309" s="8"/>
    </row>
    <row r="3310" spans="1:21" ht="13" customHeight="1">
      <c r="A3310" s="8" t="s">
        <v>17973</v>
      </c>
      <c r="B3310" s="16">
        <v>40</v>
      </c>
      <c r="C3310" s="8" t="s">
        <v>20</v>
      </c>
      <c r="D3310" s="8" t="s">
        <v>30</v>
      </c>
      <c r="F3310" s="17">
        <v>41339</v>
      </c>
      <c r="G3310" s="8" t="s">
        <v>17974</v>
      </c>
      <c r="H3310" s="8" t="s">
        <v>17975</v>
      </c>
      <c r="I3310" s="8" t="s">
        <v>319</v>
      </c>
      <c r="J3310" s="16" t="s">
        <v>17976</v>
      </c>
      <c r="K3310" s="2" t="s">
        <v>1781</v>
      </c>
      <c r="L3310" s="8" t="s">
        <v>17977</v>
      </c>
      <c r="M3310" s="8" t="s">
        <v>27</v>
      </c>
      <c r="N3310" s="2" t="s">
        <v>17978</v>
      </c>
      <c r="O3310" s="8" t="s">
        <v>550</v>
      </c>
      <c r="P3310" s="8" t="s">
        <v>401</v>
      </c>
      <c r="Q3310" s="12" t="s">
        <v>17979</v>
      </c>
      <c r="R3310" s="8" t="s">
        <v>100</v>
      </c>
      <c r="S3310" s="7" t="s">
        <v>28</v>
      </c>
      <c r="T3310" s="6"/>
      <c r="U3310" s="8"/>
    </row>
    <row r="3311" spans="1:21" ht="13" customHeight="1">
      <c r="A3311" s="8" t="s">
        <v>17980</v>
      </c>
      <c r="B3311" s="16">
        <v>47</v>
      </c>
      <c r="C3311" s="8" t="s">
        <v>20</v>
      </c>
      <c r="D3311" s="8" t="s">
        <v>37</v>
      </c>
      <c r="E3311" s="8" t="s">
        <v>17981</v>
      </c>
      <c r="F3311" s="17">
        <v>41339</v>
      </c>
      <c r="G3311" s="8" t="s">
        <v>17982</v>
      </c>
      <c r="H3311" s="8" t="s">
        <v>1290</v>
      </c>
      <c r="I3311" s="8" t="s">
        <v>173</v>
      </c>
      <c r="J3311" s="16" t="s">
        <v>17983</v>
      </c>
      <c r="K3311" s="2" t="s">
        <v>10842</v>
      </c>
      <c r="L3311" s="8" t="s">
        <v>19721</v>
      </c>
      <c r="M3311" s="8" t="s">
        <v>27</v>
      </c>
      <c r="N3311" s="2" t="s">
        <v>17984</v>
      </c>
      <c r="O3311" s="8" t="s">
        <v>1013</v>
      </c>
      <c r="P3311" s="8" t="s">
        <v>401</v>
      </c>
      <c r="Q3311" s="12" t="s">
        <v>17985</v>
      </c>
      <c r="R3311" s="8" t="s">
        <v>100</v>
      </c>
      <c r="S3311" s="7" t="s">
        <v>28</v>
      </c>
      <c r="T3311" s="6"/>
      <c r="U3311" s="8"/>
    </row>
    <row r="3312" spans="1:21" ht="13" customHeight="1">
      <c r="A3312" s="8" t="s">
        <v>17986</v>
      </c>
      <c r="B3312" s="16">
        <v>37</v>
      </c>
      <c r="C3312" s="8" t="s">
        <v>20</v>
      </c>
      <c r="D3312" s="8" t="s">
        <v>85</v>
      </c>
      <c r="F3312" s="17">
        <v>41338</v>
      </c>
      <c r="G3312" s="8" t="s">
        <v>17987</v>
      </c>
      <c r="H3312" s="8" t="s">
        <v>712</v>
      </c>
      <c r="I3312" s="8" t="s">
        <v>431</v>
      </c>
      <c r="J3312" s="16" t="s">
        <v>11677</v>
      </c>
      <c r="K3312" s="2" t="s">
        <v>712</v>
      </c>
      <c r="L3312" s="8" t="s">
        <v>4545</v>
      </c>
      <c r="M3312" s="8" t="s">
        <v>27</v>
      </c>
      <c r="N3312" s="2" t="s">
        <v>17988</v>
      </c>
      <c r="O3312" s="8" t="s">
        <v>1013</v>
      </c>
      <c r="P3312" s="8" t="s">
        <v>401</v>
      </c>
      <c r="Q3312" s="12" t="s">
        <v>17989</v>
      </c>
      <c r="R3312" s="8" t="s">
        <v>29</v>
      </c>
      <c r="S3312" s="7" t="s">
        <v>28</v>
      </c>
      <c r="T3312" s="6"/>
      <c r="U3312" s="8"/>
    </row>
    <row r="3313" spans="1:34" ht="13" customHeight="1">
      <c r="A3313" s="8" t="s">
        <v>17990</v>
      </c>
      <c r="B3313" s="16">
        <v>38</v>
      </c>
      <c r="C3313" s="8" t="s">
        <v>20</v>
      </c>
      <c r="D3313" s="8" t="s">
        <v>48</v>
      </c>
      <c r="F3313" s="17">
        <v>41338</v>
      </c>
      <c r="G3313" s="8" t="s">
        <v>17991</v>
      </c>
      <c r="H3313" s="8" t="s">
        <v>685</v>
      </c>
      <c r="I3313" s="8" t="s">
        <v>363</v>
      </c>
      <c r="J3313" s="16" t="s">
        <v>10652</v>
      </c>
      <c r="K3313" s="2" t="s">
        <v>686</v>
      </c>
      <c r="L3313" s="8" t="s">
        <v>687</v>
      </c>
      <c r="M3313" s="8" t="s">
        <v>379</v>
      </c>
      <c r="N3313" s="2" t="s">
        <v>17992</v>
      </c>
      <c r="O3313" s="8" t="s">
        <v>1013</v>
      </c>
      <c r="P3313" s="8" t="s">
        <v>401</v>
      </c>
      <c r="Q3313" s="12" t="s">
        <v>17993</v>
      </c>
      <c r="R3313" s="8" t="s">
        <v>100</v>
      </c>
      <c r="S3313" s="7" t="s">
        <v>28</v>
      </c>
      <c r="T3313" s="6"/>
      <c r="U3313" s="8"/>
      <c r="V3313" s="8"/>
      <c r="W3313" s="8"/>
      <c r="X3313" s="8"/>
    </row>
    <row r="3314" spans="1:34" ht="13" customHeight="1">
      <c r="A3314" s="8" t="s">
        <v>17998</v>
      </c>
      <c r="B3314" s="16">
        <v>28</v>
      </c>
      <c r="C3314" s="8" t="s">
        <v>20</v>
      </c>
      <c r="D3314" s="8" t="s">
        <v>37</v>
      </c>
      <c r="E3314" s="8" t="s">
        <v>17999</v>
      </c>
      <c r="F3314" s="17">
        <v>41338</v>
      </c>
      <c r="G3314" s="8" t="s">
        <v>18000</v>
      </c>
      <c r="H3314" s="8" t="s">
        <v>18001</v>
      </c>
      <c r="I3314" s="8" t="s">
        <v>423</v>
      </c>
      <c r="J3314" s="16" t="s">
        <v>18002</v>
      </c>
      <c r="K3314" s="2" t="s">
        <v>528</v>
      </c>
      <c r="L3314" s="8" t="s">
        <v>4980</v>
      </c>
      <c r="M3314" s="8" t="s">
        <v>27</v>
      </c>
      <c r="N3314" s="2" t="s">
        <v>18003</v>
      </c>
      <c r="O3314" s="8" t="s">
        <v>550</v>
      </c>
      <c r="P3314" s="8" t="s">
        <v>401</v>
      </c>
      <c r="Q3314" s="12" t="s">
        <v>18004</v>
      </c>
      <c r="R3314" s="8" t="s">
        <v>100</v>
      </c>
      <c r="S3314" s="7" t="s">
        <v>28</v>
      </c>
      <c r="T3314" s="6"/>
      <c r="U3314" s="8"/>
    </row>
    <row r="3315" spans="1:34" ht="13" customHeight="1">
      <c r="A3315" s="8" t="s">
        <v>17994</v>
      </c>
      <c r="B3315" s="16" t="s">
        <v>16202</v>
      </c>
      <c r="C3315" s="8" t="s">
        <v>20</v>
      </c>
      <c r="D3315" s="8" t="s">
        <v>37</v>
      </c>
      <c r="E3315" s="8" t="s">
        <v>17995</v>
      </c>
      <c r="F3315" s="17">
        <v>41338</v>
      </c>
      <c r="G3315" s="8" t="s">
        <v>17996</v>
      </c>
      <c r="H3315" s="8" t="s">
        <v>925</v>
      </c>
      <c r="I3315" s="8" t="s">
        <v>195</v>
      </c>
      <c r="J3315" s="16" t="s">
        <v>4994</v>
      </c>
      <c r="K3315" s="2" t="s">
        <v>467</v>
      </c>
      <c r="L3315" s="8" t="s">
        <v>4995</v>
      </c>
      <c r="M3315" s="8" t="s">
        <v>27</v>
      </c>
      <c r="N3315" s="2" t="s">
        <v>17997</v>
      </c>
      <c r="O3315" s="8" t="s">
        <v>29</v>
      </c>
      <c r="P3315" s="8" t="s">
        <v>401</v>
      </c>
      <c r="Q3315" s="12" t="s">
        <v>10165</v>
      </c>
      <c r="R3315" s="8" t="s">
        <v>100</v>
      </c>
      <c r="S3315" s="7" t="s">
        <v>28</v>
      </c>
      <c r="T3315" s="6"/>
      <c r="U3315" s="8"/>
      <c r="Y3315" s="8"/>
      <c r="Z3315" s="8"/>
      <c r="AA3315" s="8"/>
      <c r="AB3315" s="8"/>
      <c r="AC3315" s="8"/>
      <c r="AD3315" s="8"/>
      <c r="AE3315" s="8"/>
      <c r="AF3315" s="8"/>
      <c r="AG3315" s="8"/>
      <c r="AH3315" s="8"/>
    </row>
    <row r="3316" spans="1:34" ht="13" customHeight="1">
      <c r="A3316" s="8" t="s">
        <v>18005</v>
      </c>
      <c r="B3316" s="16">
        <v>22</v>
      </c>
      <c r="C3316" s="8" t="s">
        <v>20</v>
      </c>
      <c r="D3316" s="8" t="s">
        <v>85</v>
      </c>
      <c r="E3316" s="8" t="s">
        <v>18006</v>
      </c>
      <c r="F3316" s="17">
        <v>41337</v>
      </c>
      <c r="G3316" s="8" t="s">
        <v>18007</v>
      </c>
      <c r="H3316" s="8" t="s">
        <v>6126</v>
      </c>
      <c r="I3316" s="8" t="s">
        <v>366</v>
      </c>
      <c r="J3316" s="16" t="s">
        <v>18008</v>
      </c>
      <c r="K3316" s="2" t="s">
        <v>18009</v>
      </c>
      <c r="L3316" s="8" t="s">
        <v>5671</v>
      </c>
      <c r="M3316" s="8" t="s">
        <v>27</v>
      </c>
      <c r="N3316" s="2" t="s">
        <v>18010</v>
      </c>
      <c r="O3316" s="8" t="s">
        <v>1013</v>
      </c>
      <c r="P3316" s="8" t="s">
        <v>401</v>
      </c>
      <c r="Q3316" s="12" t="s">
        <v>18011</v>
      </c>
      <c r="R3316" s="8" t="s">
        <v>100</v>
      </c>
      <c r="S3316" s="7" t="s">
        <v>28</v>
      </c>
      <c r="T3316" s="6"/>
      <c r="U3316" s="8"/>
    </row>
    <row r="3317" spans="1:34" ht="13" customHeight="1">
      <c r="A3317" s="8" t="s">
        <v>18012</v>
      </c>
      <c r="B3317" s="16" t="s">
        <v>10251</v>
      </c>
      <c r="C3317" s="8" t="s">
        <v>20</v>
      </c>
      <c r="D3317" s="8" t="s">
        <v>48</v>
      </c>
      <c r="E3317" s="8" t="s">
        <v>18013</v>
      </c>
      <c r="F3317" s="17">
        <v>41337</v>
      </c>
      <c r="G3317" s="8" t="s">
        <v>18014</v>
      </c>
      <c r="H3317" s="8" t="s">
        <v>575</v>
      </c>
      <c r="I3317" s="8" t="s">
        <v>73</v>
      </c>
      <c r="J3317" s="16" t="s">
        <v>18015</v>
      </c>
      <c r="K3317" s="2" t="s">
        <v>576</v>
      </c>
      <c r="L3317" s="8" t="s">
        <v>577</v>
      </c>
      <c r="M3317" s="8" t="s">
        <v>27</v>
      </c>
      <c r="N3317" s="2" t="s">
        <v>18016</v>
      </c>
      <c r="O3317" s="8" t="s">
        <v>29</v>
      </c>
      <c r="P3317" s="8" t="s">
        <v>401</v>
      </c>
      <c r="Q3317" s="12" t="s">
        <v>18017</v>
      </c>
      <c r="R3317" s="8" t="s">
        <v>555</v>
      </c>
      <c r="S3317" s="7" t="s">
        <v>28</v>
      </c>
      <c r="T3317" s="6"/>
      <c r="U3317" s="8"/>
    </row>
    <row r="3318" spans="1:34" ht="13" customHeight="1">
      <c r="A3318" s="8" t="s">
        <v>18018</v>
      </c>
      <c r="B3318" s="16">
        <v>32</v>
      </c>
      <c r="C3318" s="8" t="s">
        <v>20</v>
      </c>
      <c r="D3318" s="8" t="s">
        <v>48</v>
      </c>
      <c r="E3318" s="8" t="s">
        <v>18019</v>
      </c>
      <c r="F3318" s="17">
        <v>41337</v>
      </c>
      <c r="G3318" s="8" t="s">
        <v>18020</v>
      </c>
      <c r="H3318" s="8" t="s">
        <v>1565</v>
      </c>
      <c r="I3318" s="8" t="s">
        <v>117</v>
      </c>
      <c r="J3318" s="16" t="s">
        <v>18021</v>
      </c>
      <c r="K3318" s="2" t="s">
        <v>1567</v>
      </c>
      <c r="L3318" s="8" t="s">
        <v>18022</v>
      </c>
      <c r="M3318" s="8" t="s">
        <v>27</v>
      </c>
      <c r="N3318" s="2" t="s">
        <v>18023</v>
      </c>
      <c r="O3318" s="8" t="s">
        <v>550</v>
      </c>
      <c r="P3318" s="8" t="s">
        <v>401</v>
      </c>
      <c r="Q3318" s="12" t="s">
        <v>18024</v>
      </c>
      <c r="R3318" s="8" t="s">
        <v>29</v>
      </c>
      <c r="S3318" s="7" t="s">
        <v>28</v>
      </c>
      <c r="T3318" s="6"/>
      <c r="U3318" s="8"/>
    </row>
    <row r="3319" spans="1:34" ht="13" customHeight="1">
      <c r="A3319" s="8" t="s">
        <v>18025</v>
      </c>
      <c r="B3319" s="16">
        <v>43</v>
      </c>
      <c r="C3319" s="8" t="s">
        <v>20</v>
      </c>
      <c r="D3319" s="8" t="s">
        <v>30</v>
      </c>
      <c r="F3319" s="17">
        <v>41336</v>
      </c>
      <c r="G3319" s="8" t="s">
        <v>18026</v>
      </c>
      <c r="H3319" s="8" t="s">
        <v>18027</v>
      </c>
      <c r="I3319" s="8" t="s">
        <v>62</v>
      </c>
      <c r="J3319" s="16" t="s">
        <v>8862</v>
      </c>
      <c r="K3319" s="2" t="s">
        <v>1127</v>
      </c>
      <c r="L3319" s="8" t="s">
        <v>2207</v>
      </c>
      <c r="M3319" s="8" t="s">
        <v>27</v>
      </c>
      <c r="N3319" s="2" t="s">
        <v>18028</v>
      </c>
      <c r="O3319" s="8" t="s">
        <v>1013</v>
      </c>
      <c r="P3319" s="8" t="s">
        <v>401</v>
      </c>
      <c r="Q3319" s="12" t="s">
        <v>18029</v>
      </c>
      <c r="R3319" s="8" t="s">
        <v>100</v>
      </c>
      <c r="S3319" s="7" t="s">
        <v>28</v>
      </c>
      <c r="T3319" s="6"/>
      <c r="U3319" s="8"/>
    </row>
    <row r="3320" spans="1:34" ht="13" customHeight="1">
      <c r="A3320" s="8" t="s">
        <v>18038</v>
      </c>
      <c r="B3320" s="16" t="s">
        <v>10386</v>
      </c>
      <c r="C3320" s="8" t="s">
        <v>20</v>
      </c>
      <c r="D3320" s="8" t="s">
        <v>37</v>
      </c>
      <c r="E3320" s="8" t="s">
        <v>18039</v>
      </c>
      <c r="F3320" s="17">
        <v>41336</v>
      </c>
      <c r="G3320" s="8" t="s">
        <v>18040</v>
      </c>
      <c r="H3320" s="8" t="s">
        <v>8765</v>
      </c>
      <c r="I3320" s="8" t="s">
        <v>45</v>
      </c>
      <c r="J3320" s="16" t="s">
        <v>15812</v>
      </c>
      <c r="K3320" s="2" t="s">
        <v>604</v>
      </c>
      <c r="L3320" s="8" t="s">
        <v>8767</v>
      </c>
      <c r="M3320" s="8" t="s">
        <v>27</v>
      </c>
      <c r="N3320" s="2" t="s">
        <v>18041</v>
      </c>
      <c r="O3320" s="8" t="s">
        <v>29</v>
      </c>
      <c r="P3320" s="8" t="s">
        <v>401</v>
      </c>
      <c r="Q3320" s="12" t="s">
        <v>18042</v>
      </c>
      <c r="R3320" s="8" t="s">
        <v>100</v>
      </c>
      <c r="S3320" s="7" t="s">
        <v>18</v>
      </c>
      <c r="T3320" s="6"/>
      <c r="U3320" s="8"/>
    </row>
    <row r="3321" spans="1:34" ht="13" customHeight="1">
      <c r="A3321" s="8" t="s">
        <v>18030</v>
      </c>
      <c r="B3321" s="16">
        <v>26</v>
      </c>
      <c r="C3321" s="8" t="s">
        <v>20</v>
      </c>
      <c r="D3321" s="8" t="s">
        <v>37</v>
      </c>
      <c r="E3321" s="8" t="s">
        <v>18031</v>
      </c>
      <c r="F3321" s="17">
        <v>41336</v>
      </c>
      <c r="G3321" s="8" t="s">
        <v>18032</v>
      </c>
      <c r="H3321" s="8" t="s">
        <v>18033</v>
      </c>
      <c r="I3321" s="8" t="s">
        <v>117</v>
      </c>
      <c r="J3321" s="16" t="s">
        <v>18034</v>
      </c>
      <c r="K3321" s="2" t="s">
        <v>941</v>
      </c>
      <c r="L3321" s="8" t="s">
        <v>18035</v>
      </c>
      <c r="M3321" s="8" t="s">
        <v>2297</v>
      </c>
      <c r="N3321" s="2" t="s">
        <v>18036</v>
      </c>
      <c r="O3321" s="8" t="s">
        <v>550</v>
      </c>
      <c r="P3321" s="8" t="s">
        <v>401</v>
      </c>
      <c r="Q3321" s="12" t="s">
        <v>18037</v>
      </c>
      <c r="R3321" s="8" t="s">
        <v>100</v>
      </c>
      <c r="S3321" s="7" t="s">
        <v>28</v>
      </c>
      <c r="T3321" s="6"/>
      <c r="U3321" s="8"/>
    </row>
    <row r="3322" spans="1:34" ht="13" customHeight="1">
      <c r="A3322" s="8" t="s">
        <v>18043</v>
      </c>
      <c r="B3322" s="16" t="s">
        <v>8817</v>
      </c>
      <c r="C3322" s="8" t="s">
        <v>20</v>
      </c>
      <c r="D3322" s="8" t="s">
        <v>85</v>
      </c>
      <c r="E3322" s="8" t="s">
        <v>18044</v>
      </c>
      <c r="F3322" s="17">
        <v>41335</v>
      </c>
      <c r="G3322" s="8" t="s">
        <v>18045</v>
      </c>
      <c r="H3322" s="8" t="s">
        <v>13640</v>
      </c>
      <c r="I3322" s="8" t="s">
        <v>45</v>
      </c>
      <c r="J3322" s="16">
        <v>94587</v>
      </c>
      <c r="K3322" s="2" t="s">
        <v>604</v>
      </c>
      <c r="L3322" s="8" t="s">
        <v>13642</v>
      </c>
      <c r="M3322" s="8" t="s">
        <v>27</v>
      </c>
      <c r="N3322" s="2" t="s">
        <v>18046</v>
      </c>
      <c r="O3322" s="8" t="s">
        <v>29</v>
      </c>
      <c r="P3322" s="8" t="s">
        <v>401</v>
      </c>
      <c r="Q3322" s="12" t="s">
        <v>18047</v>
      </c>
      <c r="R3322" s="8" t="s">
        <v>100</v>
      </c>
      <c r="S3322" s="7" t="s">
        <v>28</v>
      </c>
      <c r="T3322" s="6"/>
      <c r="U3322" s="8"/>
    </row>
    <row r="3323" spans="1:34" ht="13" customHeight="1">
      <c r="A3323" s="8" t="s">
        <v>18048</v>
      </c>
      <c r="B3323" s="16">
        <v>23</v>
      </c>
      <c r="C3323" s="8" t="s">
        <v>20</v>
      </c>
      <c r="D3323" s="8" t="s">
        <v>30</v>
      </c>
      <c r="F3323" s="17">
        <v>41335</v>
      </c>
      <c r="G3323" s="8" t="s">
        <v>18049</v>
      </c>
      <c r="H3323" s="8" t="s">
        <v>948</v>
      </c>
      <c r="I3323" s="8" t="s">
        <v>45</v>
      </c>
      <c r="J3323" s="16" t="s">
        <v>18050</v>
      </c>
      <c r="K3323" s="2" t="s">
        <v>948</v>
      </c>
      <c r="L3323" s="8" t="s">
        <v>18051</v>
      </c>
      <c r="M3323" s="8" t="s">
        <v>27</v>
      </c>
      <c r="N3323" s="2" t="s">
        <v>18052</v>
      </c>
      <c r="O3323" s="8" t="s">
        <v>1013</v>
      </c>
      <c r="P3323" s="8" t="s">
        <v>401</v>
      </c>
      <c r="Q3323" s="12" t="s">
        <v>18053</v>
      </c>
      <c r="R3323" s="8" t="s">
        <v>100</v>
      </c>
      <c r="S3323" s="7" t="s">
        <v>28</v>
      </c>
      <c r="T3323" s="6"/>
      <c r="U3323" s="8"/>
    </row>
    <row r="3324" spans="1:34" ht="13" customHeight="1">
      <c r="A3324" s="8" t="s">
        <v>18054</v>
      </c>
      <c r="B3324" s="16">
        <v>28</v>
      </c>
      <c r="C3324" s="8" t="s">
        <v>20</v>
      </c>
      <c r="D3324" s="8" t="s">
        <v>30</v>
      </c>
      <c r="F3324" s="17">
        <v>41335</v>
      </c>
      <c r="G3324" s="8" t="s">
        <v>18055</v>
      </c>
      <c r="H3324" s="8" t="s">
        <v>608</v>
      </c>
      <c r="I3324" s="8" t="s">
        <v>45</v>
      </c>
      <c r="J3324" s="16" t="s">
        <v>7895</v>
      </c>
      <c r="K3324" s="2" t="s">
        <v>609</v>
      </c>
      <c r="L3324" s="8" t="s">
        <v>730</v>
      </c>
      <c r="M3324" s="8" t="s">
        <v>27</v>
      </c>
      <c r="N3324" s="2" t="s">
        <v>18056</v>
      </c>
      <c r="O3324" s="8" t="s">
        <v>550</v>
      </c>
      <c r="P3324" s="8" t="s">
        <v>401</v>
      </c>
      <c r="Q3324" s="12" t="s">
        <v>18057</v>
      </c>
      <c r="R3324" s="8" t="s">
        <v>100</v>
      </c>
      <c r="S3324" s="7" t="s">
        <v>28</v>
      </c>
      <c r="T3324" s="6"/>
      <c r="U3324" s="8"/>
    </row>
    <row r="3325" spans="1:34" ht="13" customHeight="1">
      <c r="A3325" s="8" t="s">
        <v>18058</v>
      </c>
      <c r="B3325" s="16">
        <v>26</v>
      </c>
      <c r="C3325" s="8" t="s">
        <v>20</v>
      </c>
      <c r="D3325" s="8" t="s">
        <v>37</v>
      </c>
      <c r="F3325" s="17">
        <v>41335</v>
      </c>
      <c r="G3325" s="8" t="s">
        <v>18059</v>
      </c>
      <c r="H3325" s="8" t="s">
        <v>16983</v>
      </c>
      <c r="I3325" s="8" t="s">
        <v>303</v>
      </c>
      <c r="J3325" s="16" t="s">
        <v>16984</v>
      </c>
      <c r="K3325" s="2" t="s">
        <v>1911</v>
      </c>
      <c r="L3325" s="8" t="s">
        <v>18060</v>
      </c>
      <c r="M3325" s="8" t="s">
        <v>27</v>
      </c>
      <c r="N3325" s="2" t="s">
        <v>18061</v>
      </c>
      <c r="O3325" s="8" t="s">
        <v>550</v>
      </c>
      <c r="P3325" s="8" t="s">
        <v>401</v>
      </c>
      <c r="Q3325" s="12" t="s">
        <v>18062</v>
      </c>
      <c r="R3325" s="8" t="s">
        <v>100</v>
      </c>
      <c r="S3325" s="7" t="s">
        <v>28</v>
      </c>
      <c r="T3325" s="6"/>
      <c r="U3325" s="8"/>
    </row>
    <row r="3326" spans="1:34" ht="13" customHeight="1">
      <c r="A3326" s="8" t="s">
        <v>18063</v>
      </c>
      <c r="B3326" s="16">
        <v>35</v>
      </c>
      <c r="C3326" s="8" t="s">
        <v>20</v>
      </c>
      <c r="D3326" s="8" t="s">
        <v>85</v>
      </c>
      <c r="F3326" s="17">
        <v>41334</v>
      </c>
      <c r="G3326" s="8" t="s">
        <v>18064</v>
      </c>
      <c r="H3326" s="8" t="s">
        <v>1097</v>
      </c>
      <c r="I3326" s="8" t="s">
        <v>395</v>
      </c>
      <c r="J3326" s="16" t="s">
        <v>18065</v>
      </c>
      <c r="K3326" s="2" t="s">
        <v>1098</v>
      </c>
      <c r="L3326" s="8" t="s">
        <v>1099</v>
      </c>
      <c r="M3326" s="8" t="s">
        <v>27</v>
      </c>
      <c r="N3326" s="2" t="s">
        <v>18066</v>
      </c>
      <c r="O3326" s="8" t="s">
        <v>4714</v>
      </c>
      <c r="P3326" s="8" t="s">
        <v>401</v>
      </c>
      <c r="Q3326" s="12" t="s">
        <v>18067</v>
      </c>
      <c r="R3326" s="8" t="s">
        <v>100</v>
      </c>
      <c r="S3326" s="7" t="s">
        <v>379</v>
      </c>
      <c r="T3326" s="6"/>
      <c r="U3326" s="8"/>
    </row>
    <row r="3327" spans="1:34" ht="13" customHeight="1">
      <c r="A3327" s="8" t="s">
        <v>18074</v>
      </c>
      <c r="B3327" s="16">
        <v>47</v>
      </c>
      <c r="C3327" s="8" t="s">
        <v>20</v>
      </c>
      <c r="D3327" s="8" t="s">
        <v>37</v>
      </c>
      <c r="E3327" s="8" t="s">
        <v>18075</v>
      </c>
      <c r="F3327" s="17">
        <v>41334</v>
      </c>
      <c r="G3327" s="8" t="s">
        <v>18076</v>
      </c>
      <c r="H3327" s="8" t="s">
        <v>860</v>
      </c>
      <c r="I3327" s="8" t="s">
        <v>73</v>
      </c>
      <c r="J3327" s="16" t="s">
        <v>18077</v>
      </c>
      <c r="K3327" s="2" t="s">
        <v>860</v>
      </c>
      <c r="L3327" s="8" t="s">
        <v>861</v>
      </c>
      <c r="M3327" s="8" t="s">
        <v>27</v>
      </c>
      <c r="N3327" s="2" t="s">
        <v>18078</v>
      </c>
      <c r="O3327" s="8" t="s">
        <v>1013</v>
      </c>
      <c r="P3327" s="8" t="s">
        <v>401</v>
      </c>
      <c r="Q3327" s="12" t="s">
        <v>18079</v>
      </c>
      <c r="R3327" s="8" t="s">
        <v>100</v>
      </c>
      <c r="S3327" s="7" t="s">
        <v>28</v>
      </c>
      <c r="T3327" s="6"/>
      <c r="U3327" s="8"/>
    </row>
    <row r="3328" spans="1:34" ht="13" customHeight="1">
      <c r="A3328" s="8" t="s">
        <v>18068</v>
      </c>
      <c r="B3328" s="16">
        <v>70</v>
      </c>
      <c r="C3328" s="8" t="s">
        <v>20</v>
      </c>
      <c r="D3328" s="8" t="s">
        <v>37</v>
      </c>
      <c r="E3328" s="8" t="s">
        <v>18069</v>
      </c>
      <c r="F3328" s="17">
        <v>41334</v>
      </c>
      <c r="G3328" s="8" t="s">
        <v>18070</v>
      </c>
      <c r="H3328" s="8" t="s">
        <v>1316</v>
      </c>
      <c r="I3328" s="8" t="s">
        <v>73</v>
      </c>
      <c r="J3328" s="16" t="s">
        <v>18071</v>
      </c>
      <c r="K3328" s="2" t="s">
        <v>1317</v>
      </c>
      <c r="L3328" s="8" t="s">
        <v>1318</v>
      </c>
      <c r="M3328" s="8" t="s">
        <v>27</v>
      </c>
      <c r="N3328" s="2" t="s">
        <v>18072</v>
      </c>
      <c r="O3328" s="8" t="s">
        <v>550</v>
      </c>
      <c r="P3328" s="8" t="s">
        <v>401</v>
      </c>
      <c r="Q3328" s="12" t="s">
        <v>18073</v>
      </c>
      <c r="R3328" s="8" t="s">
        <v>100</v>
      </c>
      <c r="S3328" s="7" t="s">
        <v>28</v>
      </c>
      <c r="T3328" s="6"/>
      <c r="U3328" s="8"/>
      <c r="Y3328" s="8"/>
      <c r="Z3328" s="8"/>
      <c r="AA3328" s="8"/>
      <c r="AB3328" s="8"/>
      <c r="AC3328" s="8"/>
      <c r="AD3328" s="8"/>
      <c r="AE3328" s="8"/>
      <c r="AF3328" s="8"/>
      <c r="AG3328" s="8"/>
      <c r="AH3328" s="8"/>
    </row>
    <row r="3329" spans="1:21" ht="13" customHeight="1">
      <c r="A3329" s="8" t="s">
        <v>3267</v>
      </c>
      <c r="B3329" s="16">
        <v>46</v>
      </c>
      <c r="C3329" s="8" t="s">
        <v>20</v>
      </c>
      <c r="D3329" s="8" t="s">
        <v>85</v>
      </c>
      <c r="F3329" s="17">
        <v>41333</v>
      </c>
      <c r="G3329" s="8" t="s">
        <v>18080</v>
      </c>
      <c r="H3329" s="8" t="s">
        <v>726</v>
      </c>
      <c r="I3329" s="8" t="s">
        <v>73</v>
      </c>
      <c r="J3329" s="16" t="s">
        <v>18081</v>
      </c>
      <c r="K3329" s="2" t="s">
        <v>558</v>
      </c>
      <c r="L3329" s="8" t="s">
        <v>727</v>
      </c>
      <c r="M3329" s="8" t="s">
        <v>27</v>
      </c>
      <c r="N3329" s="2" t="s">
        <v>18082</v>
      </c>
      <c r="O3329" s="8" t="s">
        <v>29</v>
      </c>
      <c r="P3329" s="8" t="s">
        <v>401</v>
      </c>
      <c r="Q3329" s="12" t="str">
        <f>HYPERLINK("http://www.myfoxhouston.com/story/21431932/suspected-purse-snatcher-shot-by-houston-police-officer","http://www.myfoxhouston.com/story/21431932/suspected-purse-snatcher-shot-by-houston-police-officer")</f>
        <v>http://www.myfoxhouston.com/story/21431932/suspected-purse-snatcher-shot-by-houston-police-officer</v>
      </c>
      <c r="R3329" s="8" t="s">
        <v>100</v>
      </c>
      <c r="S3329" s="7" t="s">
        <v>28</v>
      </c>
      <c r="T3329" s="6"/>
      <c r="U3329" s="8"/>
    </row>
    <row r="3330" spans="1:21" ht="13" customHeight="1">
      <c r="A3330" s="8" t="s">
        <v>18083</v>
      </c>
      <c r="B3330" s="16">
        <v>37</v>
      </c>
      <c r="C3330" s="8" t="s">
        <v>20</v>
      </c>
      <c r="D3330" s="8" t="s">
        <v>30</v>
      </c>
      <c r="F3330" s="17">
        <v>41333</v>
      </c>
      <c r="G3330" s="8" t="s">
        <v>18084</v>
      </c>
      <c r="H3330" s="8" t="s">
        <v>13047</v>
      </c>
      <c r="I3330" s="8" t="s">
        <v>45</v>
      </c>
      <c r="J3330" s="16" t="s">
        <v>13048</v>
      </c>
      <c r="K3330" s="2" t="s">
        <v>2680</v>
      </c>
      <c r="L3330" s="8" t="s">
        <v>2681</v>
      </c>
      <c r="M3330" s="8" t="s">
        <v>27</v>
      </c>
      <c r="N3330" s="2" t="s">
        <v>18085</v>
      </c>
      <c r="O3330" s="8" t="s">
        <v>550</v>
      </c>
      <c r="P3330" s="8" t="s">
        <v>401</v>
      </c>
      <c r="Q3330" s="12" t="s">
        <v>18086</v>
      </c>
      <c r="R3330" s="8" t="s">
        <v>100</v>
      </c>
      <c r="S3330" s="7" t="s">
        <v>28</v>
      </c>
      <c r="T3330" s="6"/>
      <c r="U3330" s="8"/>
    </row>
    <row r="3331" spans="1:21" ht="13" customHeight="1">
      <c r="A3331" s="8" t="s">
        <v>18087</v>
      </c>
      <c r="B3331" s="16">
        <v>21</v>
      </c>
      <c r="C3331" s="8" t="s">
        <v>20</v>
      </c>
      <c r="D3331" s="8" t="s">
        <v>139</v>
      </c>
      <c r="E3331" s="8" t="s">
        <v>18088</v>
      </c>
      <c r="F3331" s="17">
        <v>41331</v>
      </c>
      <c r="G3331" s="8" t="s">
        <v>18089</v>
      </c>
      <c r="H3331" s="8" t="s">
        <v>1211</v>
      </c>
      <c r="I3331" s="8" t="s">
        <v>303</v>
      </c>
      <c r="J3331" s="16" t="s">
        <v>18090</v>
      </c>
      <c r="K3331" s="2" t="s">
        <v>1212</v>
      </c>
      <c r="L3331" s="8" t="s">
        <v>1213</v>
      </c>
      <c r="M3331" s="8" t="s">
        <v>27</v>
      </c>
      <c r="N3331" s="2" t="s">
        <v>18091</v>
      </c>
      <c r="O3331" s="8" t="s">
        <v>29</v>
      </c>
      <c r="P3331" s="8" t="s">
        <v>401</v>
      </c>
      <c r="Q3331" s="12" t="s">
        <v>18092</v>
      </c>
      <c r="R3331" s="8" t="s">
        <v>555</v>
      </c>
      <c r="S3331" s="7" t="s">
        <v>28</v>
      </c>
      <c r="T3331" s="6"/>
      <c r="U3331" s="8"/>
    </row>
    <row r="3332" spans="1:21" ht="13" customHeight="1">
      <c r="A3332" s="8" t="s">
        <v>18093</v>
      </c>
      <c r="B3332" s="16">
        <v>24</v>
      </c>
      <c r="C3332" s="8" t="s">
        <v>20</v>
      </c>
      <c r="D3332" s="8" t="s">
        <v>30</v>
      </c>
      <c r="F3332" s="17">
        <v>41331</v>
      </c>
      <c r="G3332" s="8" t="s">
        <v>18094</v>
      </c>
      <c r="H3332" s="8" t="s">
        <v>51</v>
      </c>
      <c r="I3332" s="8" t="s">
        <v>32</v>
      </c>
      <c r="J3332" s="16" t="s">
        <v>18095</v>
      </c>
      <c r="K3332" s="2" t="s">
        <v>2599</v>
      </c>
      <c r="L3332" s="8" t="s">
        <v>18096</v>
      </c>
      <c r="M3332" s="8" t="s">
        <v>27</v>
      </c>
      <c r="N3332" s="2" t="s">
        <v>18097</v>
      </c>
      <c r="O3332" s="8" t="s">
        <v>1013</v>
      </c>
      <c r="P3332" s="8" t="s">
        <v>401</v>
      </c>
      <c r="Q3332" s="12" t="s">
        <v>18098</v>
      </c>
      <c r="R3332" s="8" t="s">
        <v>100</v>
      </c>
      <c r="S3332" s="7" t="s">
        <v>28</v>
      </c>
      <c r="T3332" s="6"/>
      <c r="U3332" s="8"/>
    </row>
    <row r="3333" spans="1:21" ht="13" customHeight="1">
      <c r="A3333" s="8" t="s">
        <v>18099</v>
      </c>
      <c r="B3333" s="16" t="s">
        <v>13480</v>
      </c>
      <c r="C3333" s="8" t="s">
        <v>20</v>
      </c>
      <c r="D3333" s="8" t="s">
        <v>37</v>
      </c>
      <c r="E3333" s="8" t="s">
        <v>18100</v>
      </c>
      <c r="F3333" s="17">
        <v>41331</v>
      </c>
      <c r="G3333" s="8" t="s">
        <v>18101</v>
      </c>
      <c r="H3333" s="8" t="s">
        <v>1363</v>
      </c>
      <c r="I3333" s="8" t="s">
        <v>45</v>
      </c>
      <c r="J3333" s="16" t="s">
        <v>18102</v>
      </c>
      <c r="K3333" s="2" t="s">
        <v>1363</v>
      </c>
      <c r="L3333" s="8" t="s">
        <v>18103</v>
      </c>
      <c r="M3333" s="8" t="s">
        <v>27</v>
      </c>
      <c r="N3333" s="2" t="s">
        <v>18104</v>
      </c>
      <c r="O3333" s="8" t="s">
        <v>550</v>
      </c>
      <c r="P3333" s="8" t="s">
        <v>401</v>
      </c>
      <c r="Q3333" s="12" t="s">
        <v>18105</v>
      </c>
      <c r="R3333" s="8" t="s">
        <v>100</v>
      </c>
      <c r="S3333" s="7" t="s">
        <v>28</v>
      </c>
      <c r="T3333" s="6"/>
      <c r="U3333" s="8"/>
    </row>
    <row r="3334" spans="1:21" ht="13" customHeight="1">
      <c r="A3334" s="8" t="s">
        <v>18106</v>
      </c>
      <c r="B3334" s="16" t="s">
        <v>16018</v>
      </c>
      <c r="C3334" s="8" t="s">
        <v>20</v>
      </c>
      <c r="D3334" s="8" t="s">
        <v>48</v>
      </c>
      <c r="F3334" s="17">
        <v>41330</v>
      </c>
      <c r="G3334" s="8" t="s">
        <v>18107</v>
      </c>
      <c r="H3334" s="8" t="s">
        <v>786</v>
      </c>
      <c r="I3334" s="8" t="s">
        <v>45</v>
      </c>
      <c r="J3334" s="16" t="s">
        <v>12345</v>
      </c>
      <c r="K3334" s="2" t="s">
        <v>786</v>
      </c>
      <c r="L3334" s="8" t="s">
        <v>5973</v>
      </c>
      <c r="M3334" s="8" t="s">
        <v>27</v>
      </c>
      <c r="N3334" s="2" t="s">
        <v>18108</v>
      </c>
      <c r="O3334" s="8" t="s">
        <v>29</v>
      </c>
      <c r="P3334" s="8" t="s">
        <v>401</v>
      </c>
      <c r="Q3334" s="12" t="s">
        <v>18109</v>
      </c>
      <c r="R3334" s="8" t="s">
        <v>100</v>
      </c>
      <c r="S3334" s="7" t="s">
        <v>28</v>
      </c>
      <c r="T3334" s="6"/>
      <c r="U3334" s="8"/>
    </row>
    <row r="3335" spans="1:21" ht="13" customHeight="1">
      <c r="A3335" s="8" t="s">
        <v>18117</v>
      </c>
      <c r="B3335" s="16">
        <v>33</v>
      </c>
      <c r="C3335" s="8" t="s">
        <v>20</v>
      </c>
      <c r="D3335" s="8" t="s">
        <v>37</v>
      </c>
      <c r="E3335" s="8" t="s">
        <v>18118</v>
      </c>
      <c r="F3335" s="17">
        <v>41330</v>
      </c>
      <c r="G3335" s="8" t="s">
        <v>7567</v>
      </c>
      <c r="H3335" s="8" t="s">
        <v>18119</v>
      </c>
      <c r="I3335" s="8" t="s">
        <v>240</v>
      </c>
      <c r="J3335" s="16" t="s">
        <v>18120</v>
      </c>
      <c r="K3335" s="2" t="s">
        <v>5037</v>
      </c>
      <c r="L3335" s="8" t="s">
        <v>18121</v>
      </c>
      <c r="M3335" s="8" t="s">
        <v>27</v>
      </c>
      <c r="N3335" s="2" t="s">
        <v>18122</v>
      </c>
      <c r="O3335" s="8" t="s">
        <v>550</v>
      </c>
      <c r="P3335" s="8" t="s">
        <v>401</v>
      </c>
      <c r="Q3335" s="12" t="s">
        <v>5296</v>
      </c>
      <c r="R3335" s="8" t="s">
        <v>100</v>
      </c>
      <c r="S3335" s="7" t="s">
        <v>28</v>
      </c>
      <c r="T3335" s="6"/>
      <c r="U3335" s="8"/>
    </row>
    <row r="3336" spans="1:21" ht="13" customHeight="1">
      <c r="A3336" s="8" t="s">
        <v>18110</v>
      </c>
      <c r="B3336" s="16">
        <v>78</v>
      </c>
      <c r="C3336" s="8" t="s">
        <v>20</v>
      </c>
      <c r="D3336" s="8" t="s">
        <v>37</v>
      </c>
      <c r="E3336" s="8" t="s">
        <v>18111</v>
      </c>
      <c r="F3336" s="17">
        <v>41330</v>
      </c>
      <c r="G3336" s="8" t="s">
        <v>18112</v>
      </c>
      <c r="H3336" s="8" t="s">
        <v>18113</v>
      </c>
      <c r="I3336" s="8" t="s">
        <v>117</v>
      </c>
      <c r="J3336" s="16" t="s">
        <v>4695</v>
      </c>
      <c r="K3336" s="2" t="s">
        <v>420</v>
      </c>
      <c r="L3336" s="8" t="s">
        <v>18114</v>
      </c>
      <c r="M3336" s="8" t="s">
        <v>27</v>
      </c>
      <c r="N3336" s="2" t="s">
        <v>18115</v>
      </c>
      <c r="O3336" s="8" t="s">
        <v>550</v>
      </c>
      <c r="P3336" s="8" t="s">
        <v>401</v>
      </c>
      <c r="Q3336" s="12" t="s">
        <v>18116</v>
      </c>
      <c r="R3336" s="8" t="s">
        <v>100</v>
      </c>
      <c r="S3336" s="7" t="s">
        <v>28</v>
      </c>
      <c r="T3336" s="6"/>
      <c r="U3336" s="8"/>
    </row>
    <row r="3337" spans="1:21" ht="13" customHeight="1">
      <c r="A3337" s="8" t="s">
        <v>18123</v>
      </c>
      <c r="B3337" s="16">
        <v>25</v>
      </c>
      <c r="C3337" s="8" t="s">
        <v>20</v>
      </c>
      <c r="D3337" s="8" t="s">
        <v>48</v>
      </c>
      <c r="F3337" s="17">
        <v>41329</v>
      </c>
      <c r="G3337" s="8" t="s">
        <v>18124</v>
      </c>
      <c r="H3337" s="8" t="s">
        <v>98</v>
      </c>
      <c r="I3337" s="8" t="s">
        <v>45</v>
      </c>
      <c r="J3337" s="16" t="s">
        <v>18125</v>
      </c>
      <c r="K3337" s="2" t="s">
        <v>98</v>
      </c>
      <c r="L3337" s="8" t="s">
        <v>99</v>
      </c>
      <c r="M3337" s="8" t="s">
        <v>27</v>
      </c>
      <c r="N3337" s="2" t="s">
        <v>18126</v>
      </c>
      <c r="O3337" s="8" t="s">
        <v>1013</v>
      </c>
      <c r="P3337" s="8" t="s">
        <v>401</v>
      </c>
      <c r="Q3337" s="12" t="s">
        <v>18127</v>
      </c>
      <c r="R3337" s="8" t="s">
        <v>555</v>
      </c>
      <c r="S3337" s="7" t="s">
        <v>28</v>
      </c>
      <c r="T3337" s="6"/>
      <c r="U3337" s="8"/>
    </row>
    <row r="3338" spans="1:21" ht="13" customHeight="1">
      <c r="A3338" s="8" t="s">
        <v>18128</v>
      </c>
      <c r="B3338" s="16" t="s">
        <v>17554</v>
      </c>
      <c r="C3338" s="8" t="s">
        <v>20</v>
      </c>
      <c r="D3338" s="8" t="s">
        <v>37</v>
      </c>
      <c r="E3338" s="8" t="s">
        <v>18129</v>
      </c>
      <c r="F3338" s="17">
        <v>41329</v>
      </c>
      <c r="G3338" s="8" t="s">
        <v>18130</v>
      </c>
      <c r="H3338" s="8" t="s">
        <v>18131</v>
      </c>
      <c r="I3338" s="8" t="s">
        <v>41</v>
      </c>
      <c r="J3338" s="16" t="s">
        <v>18132</v>
      </c>
      <c r="K3338" s="2" t="s">
        <v>6892</v>
      </c>
      <c r="L3338" s="8" t="s">
        <v>18133</v>
      </c>
      <c r="M3338" s="8" t="s">
        <v>27</v>
      </c>
      <c r="N3338" s="2" t="s">
        <v>18134</v>
      </c>
      <c r="O3338" s="8" t="s">
        <v>550</v>
      </c>
      <c r="P3338" s="8" t="s">
        <v>401</v>
      </c>
      <c r="Q3338" s="12" t="s">
        <v>18135</v>
      </c>
      <c r="R3338" s="8" t="s">
        <v>555</v>
      </c>
      <c r="S3338" s="7" t="s">
        <v>28</v>
      </c>
      <c r="T3338" s="6"/>
      <c r="U3338" s="8"/>
    </row>
    <row r="3339" spans="1:21" ht="13" customHeight="1">
      <c r="A3339" s="8" t="s">
        <v>18136</v>
      </c>
      <c r="B3339" s="16">
        <v>51</v>
      </c>
      <c r="C3339" s="8" t="s">
        <v>20</v>
      </c>
      <c r="D3339" s="8" t="s">
        <v>30</v>
      </c>
      <c r="F3339" s="17">
        <v>41328</v>
      </c>
      <c r="G3339" s="8" t="s">
        <v>18137</v>
      </c>
      <c r="H3339" s="8" t="s">
        <v>18138</v>
      </c>
      <c r="I3339" s="8" t="s">
        <v>81</v>
      </c>
      <c r="J3339" s="16" t="s">
        <v>18139</v>
      </c>
      <c r="K3339" s="2" t="s">
        <v>42</v>
      </c>
      <c r="L3339" s="8" t="s">
        <v>18140</v>
      </c>
      <c r="M3339" s="8" t="s">
        <v>27</v>
      </c>
      <c r="N3339" s="2" t="s">
        <v>18141</v>
      </c>
      <c r="O3339" s="8" t="s">
        <v>1013</v>
      </c>
      <c r="P3339" s="8" t="s">
        <v>401</v>
      </c>
      <c r="Q3339" s="12" t="s">
        <v>18142</v>
      </c>
      <c r="R3339" s="8" t="s">
        <v>29</v>
      </c>
      <c r="S3339" s="7" t="s">
        <v>28</v>
      </c>
      <c r="T3339" s="6"/>
      <c r="U3339" s="8"/>
    </row>
    <row r="3340" spans="1:21" ht="13" customHeight="1">
      <c r="A3340" s="8" t="s">
        <v>18148</v>
      </c>
      <c r="B3340" s="16">
        <v>33</v>
      </c>
      <c r="C3340" s="8" t="s">
        <v>20</v>
      </c>
      <c r="D3340" s="8" t="s">
        <v>37</v>
      </c>
      <c r="E3340" s="8" t="s">
        <v>18149</v>
      </c>
      <c r="F3340" s="17">
        <v>41328</v>
      </c>
      <c r="G3340" s="8" t="s">
        <v>18150</v>
      </c>
      <c r="H3340" s="8" t="s">
        <v>1763</v>
      </c>
      <c r="I3340" s="8" t="s">
        <v>45</v>
      </c>
      <c r="J3340" s="16" t="s">
        <v>18151</v>
      </c>
      <c r="K3340" s="2" t="s">
        <v>1765</v>
      </c>
      <c r="L3340" s="8" t="s">
        <v>18152</v>
      </c>
      <c r="M3340" s="8" t="s">
        <v>27</v>
      </c>
      <c r="N3340" s="2" t="s">
        <v>18153</v>
      </c>
      <c r="O3340" s="8" t="s">
        <v>400</v>
      </c>
      <c r="P3340" s="8" t="s">
        <v>401</v>
      </c>
      <c r="Q3340" s="12" t="s">
        <v>18154</v>
      </c>
      <c r="R3340" s="8" t="s">
        <v>100</v>
      </c>
      <c r="S3340" s="7" t="s">
        <v>28</v>
      </c>
      <c r="T3340" s="6"/>
      <c r="U3340" s="8"/>
    </row>
    <row r="3341" spans="1:21" ht="13" customHeight="1">
      <c r="A3341" s="8" t="s">
        <v>18143</v>
      </c>
      <c r="B3341" s="16" t="s">
        <v>13982</v>
      </c>
      <c r="C3341" s="8" t="s">
        <v>20</v>
      </c>
      <c r="D3341" s="8" t="s">
        <v>37</v>
      </c>
      <c r="F3341" s="17">
        <v>41328</v>
      </c>
      <c r="G3341" s="8" t="s">
        <v>18144</v>
      </c>
      <c r="H3341" s="8" t="s">
        <v>13843</v>
      </c>
      <c r="I3341" s="8" t="s">
        <v>269</v>
      </c>
      <c r="J3341" s="16" t="s">
        <v>18145</v>
      </c>
      <c r="K3341" s="2" t="s">
        <v>6283</v>
      </c>
      <c r="L3341" s="8" t="s">
        <v>7514</v>
      </c>
      <c r="M3341" s="8" t="s">
        <v>27</v>
      </c>
      <c r="N3341" s="2" t="s">
        <v>18146</v>
      </c>
      <c r="O3341" s="8" t="s">
        <v>550</v>
      </c>
      <c r="P3341" s="8" t="s">
        <v>401</v>
      </c>
      <c r="Q3341" s="12" t="s">
        <v>18147</v>
      </c>
      <c r="R3341" s="8" t="s">
        <v>555</v>
      </c>
      <c r="S3341" s="7" t="s">
        <v>28</v>
      </c>
      <c r="T3341" s="6"/>
      <c r="U3341" s="8"/>
    </row>
    <row r="3342" spans="1:21" ht="13" customHeight="1">
      <c r="A3342" s="8" t="s">
        <v>11535</v>
      </c>
      <c r="B3342" s="16">
        <v>33</v>
      </c>
      <c r="C3342" s="8" t="s">
        <v>20</v>
      </c>
      <c r="D3342" s="8" t="s">
        <v>37</v>
      </c>
      <c r="E3342" s="8" t="s">
        <v>11536</v>
      </c>
      <c r="F3342" s="17">
        <v>41328</v>
      </c>
      <c r="G3342" s="8" t="s">
        <v>11537</v>
      </c>
      <c r="H3342" s="8" t="s">
        <v>841</v>
      </c>
      <c r="I3342" s="8" t="s">
        <v>303</v>
      </c>
      <c r="J3342" s="16" t="s">
        <v>11538</v>
      </c>
      <c r="K3342" s="2" t="s">
        <v>841</v>
      </c>
      <c r="L3342" s="8" t="s">
        <v>16562</v>
      </c>
      <c r="M3342" s="8" t="s">
        <v>391</v>
      </c>
      <c r="N3342" s="2" t="s">
        <v>11540</v>
      </c>
      <c r="O3342" s="8" t="s">
        <v>550</v>
      </c>
      <c r="P3342" s="8" t="s">
        <v>401</v>
      </c>
      <c r="Q3342" s="12" t="s">
        <v>11541</v>
      </c>
      <c r="R3342" s="8" t="s">
        <v>967</v>
      </c>
      <c r="S3342" s="7" t="s">
        <v>28</v>
      </c>
      <c r="T3342" s="6"/>
      <c r="U3342" s="8"/>
    </row>
    <row r="3343" spans="1:21" ht="13" customHeight="1">
      <c r="A3343" s="8" t="s">
        <v>18155</v>
      </c>
      <c r="B3343" s="16" t="s">
        <v>16177</v>
      </c>
      <c r="C3343" s="8" t="s">
        <v>20</v>
      </c>
      <c r="D3343" s="8" t="s">
        <v>48</v>
      </c>
      <c r="E3343" s="8" t="s">
        <v>18156</v>
      </c>
      <c r="F3343" s="17">
        <v>41327</v>
      </c>
      <c r="G3343" s="8" t="s">
        <v>18157</v>
      </c>
      <c r="H3343" s="8" t="s">
        <v>575</v>
      </c>
      <c r="I3343" s="8" t="s">
        <v>73</v>
      </c>
      <c r="J3343" s="16" t="s">
        <v>1830</v>
      </c>
      <c r="K3343" s="2" t="s">
        <v>576</v>
      </c>
      <c r="L3343" s="8" t="s">
        <v>577</v>
      </c>
      <c r="M3343" s="8" t="s">
        <v>27</v>
      </c>
      <c r="N3343" s="2" t="s">
        <v>18158</v>
      </c>
      <c r="O3343" s="8" t="s">
        <v>550</v>
      </c>
      <c r="P3343" s="8" t="s">
        <v>401</v>
      </c>
      <c r="Q3343" s="12" t="s">
        <v>18159</v>
      </c>
      <c r="R3343" s="8" t="s">
        <v>100</v>
      </c>
      <c r="S3343" s="7" t="s">
        <v>28</v>
      </c>
      <c r="T3343" s="6"/>
      <c r="U3343" s="8"/>
    </row>
    <row r="3344" spans="1:21" ht="13" customHeight="1">
      <c r="A3344" s="8" t="s">
        <v>18160</v>
      </c>
      <c r="B3344" s="16">
        <v>29</v>
      </c>
      <c r="C3344" s="8" t="s">
        <v>20</v>
      </c>
      <c r="D3344" s="8" t="s">
        <v>37</v>
      </c>
      <c r="E3344" s="8" t="s">
        <v>18161</v>
      </c>
      <c r="F3344" s="17">
        <v>41327</v>
      </c>
      <c r="G3344" s="8" t="s">
        <v>18162</v>
      </c>
      <c r="H3344" s="8" t="s">
        <v>4209</v>
      </c>
      <c r="I3344" s="8" t="s">
        <v>431</v>
      </c>
      <c r="J3344" s="16" t="s">
        <v>18163</v>
      </c>
      <c r="K3344" s="2" t="s">
        <v>4979</v>
      </c>
      <c r="L3344" s="8" t="s">
        <v>4212</v>
      </c>
      <c r="M3344" s="8" t="s">
        <v>27</v>
      </c>
      <c r="N3344" s="2" t="s">
        <v>18164</v>
      </c>
      <c r="O3344" s="8" t="s">
        <v>550</v>
      </c>
      <c r="P3344" s="8" t="s">
        <v>401</v>
      </c>
      <c r="Q3344" s="12" t="s">
        <v>18165</v>
      </c>
      <c r="S3344" s="7" t="s">
        <v>28</v>
      </c>
      <c r="T3344" s="6"/>
      <c r="U3344" s="8"/>
    </row>
    <row r="3345" spans="1:39" ht="13" customHeight="1">
      <c r="A3345" s="8" t="s">
        <v>18166</v>
      </c>
      <c r="B3345" s="16">
        <v>24</v>
      </c>
      <c r="C3345" s="8" t="s">
        <v>20</v>
      </c>
      <c r="D3345" s="8" t="s">
        <v>21</v>
      </c>
      <c r="E3345" s="8" t="s">
        <v>18167</v>
      </c>
      <c r="F3345" s="17">
        <v>41326</v>
      </c>
      <c r="G3345" s="8" t="s">
        <v>18168</v>
      </c>
      <c r="H3345" s="8" t="s">
        <v>18169</v>
      </c>
      <c r="I3345" s="8" t="s">
        <v>423</v>
      </c>
      <c r="J3345" s="16" t="s">
        <v>18170</v>
      </c>
      <c r="K3345" s="2" t="s">
        <v>2686</v>
      </c>
      <c r="L3345" s="8" t="s">
        <v>582</v>
      </c>
      <c r="M3345" s="8" t="s">
        <v>379</v>
      </c>
      <c r="N3345" s="2" t="s">
        <v>18171</v>
      </c>
      <c r="O3345" s="8" t="s">
        <v>1013</v>
      </c>
      <c r="P3345" s="8" t="s">
        <v>401</v>
      </c>
      <c r="Q3345" s="12" t="s">
        <v>18172</v>
      </c>
      <c r="R3345" s="8" t="s">
        <v>100</v>
      </c>
      <c r="S3345" s="7" t="s">
        <v>28</v>
      </c>
      <c r="T3345" s="6"/>
      <c r="U3345" s="8"/>
      <c r="AI3345" s="8"/>
      <c r="AJ3345" s="8"/>
      <c r="AK3345" s="8"/>
      <c r="AL3345" s="8"/>
      <c r="AM3345" s="8"/>
    </row>
    <row r="3346" spans="1:39" ht="13" customHeight="1">
      <c r="A3346" s="8" t="s">
        <v>18173</v>
      </c>
      <c r="B3346" s="16">
        <v>19</v>
      </c>
      <c r="C3346" s="8" t="s">
        <v>20</v>
      </c>
      <c r="D3346" s="8" t="s">
        <v>85</v>
      </c>
      <c r="F3346" s="17">
        <v>41326</v>
      </c>
      <c r="G3346" s="8" t="s">
        <v>18174</v>
      </c>
      <c r="H3346" s="8" t="s">
        <v>489</v>
      </c>
      <c r="I3346" s="8" t="s">
        <v>45</v>
      </c>
      <c r="J3346" s="16" t="s">
        <v>18175</v>
      </c>
      <c r="K3346" s="2" t="s">
        <v>98</v>
      </c>
      <c r="L3346" s="8" t="s">
        <v>490</v>
      </c>
      <c r="M3346" s="8" t="s">
        <v>27</v>
      </c>
      <c r="N3346" s="2" t="s">
        <v>18176</v>
      </c>
      <c r="O3346" s="8" t="s">
        <v>1013</v>
      </c>
      <c r="P3346" s="8" t="s">
        <v>401</v>
      </c>
      <c r="Q3346" s="12" t="s">
        <v>18177</v>
      </c>
      <c r="R3346" s="8" t="s">
        <v>100</v>
      </c>
      <c r="S3346" s="7" t="s">
        <v>28</v>
      </c>
      <c r="T3346" s="6"/>
      <c r="U3346" s="8"/>
    </row>
    <row r="3347" spans="1:39" ht="13" customHeight="1">
      <c r="A3347" s="8" t="s">
        <v>18178</v>
      </c>
      <c r="B3347" s="16">
        <v>44</v>
      </c>
      <c r="C3347" s="8" t="s">
        <v>20</v>
      </c>
      <c r="D3347" s="8" t="s">
        <v>48</v>
      </c>
      <c r="F3347" s="17">
        <v>41326</v>
      </c>
      <c r="G3347" s="8" t="s">
        <v>18179</v>
      </c>
      <c r="H3347" s="8" t="s">
        <v>4112</v>
      </c>
      <c r="I3347" s="8" t="s">
        <v>404</v>
      </c>
      <c r="J3347" s="16" t="s">
        <v>18180</v>
      </c>
      <c r="K3347" s="2" t="s">
        <v>4114</v>
      </c>
      <c r="L3347" s="8" t="s">
        <v>18181</v>
      </c>
      <c r="M3347" s="8" t="s">
        <v>5447</v>
      </c>
      <c r="N3347" s="2" t="s">
        <v>18182</v>
      </c>
      <c r="O3347" s="8" t="s">
        <v>550</v>
      </c>
      <c r="P3347" s="8" t="s">
        <v>401</v>
      </c>
      <c r="Q3347" s="12" t="s">
        <v>18183</v>
      </c>
      <c r="R3347" s="8" t="s">
        <v>555</v>
      </c>
      <c r="S3347" s="7" t="s">
        <v>28</v>
      </c>
      <c r="T3347" s="6"/>
      <c r="U3347" s="8"/>
      <c r="Y3347" s="8"/>
      <c r="Z3347" s="8"/>
      <c r="AA3347" s="8"/>
      <c r="AB3347" s="8"/>
      <c r="AC3347" s="8"/>
      <c r="AD3347" s="8"/>
      <c r="AE3347" s="8"/>
      <c r="AF3347" s="8"/>
      <c r="AG3347" s="8"/>
      <c r="AH3347" s="8"/>
    </row>
    <row r="3348" spans="1:39" ht="13" customHeight="1">
      <c r="A3348" s="8" t="s">
        <v>18184</v>
      </c>
      <c r="B3348" s="16">
        <v>72</v>
      </c>
      <c r="C3348" s="8" t="s">
        <v>20</v>
      </c>
      <c r="D3348" s="8" t="s">
        <v>30</v>
      </c>
      <c r="F3348" s="17">
        <v>41326</v>
      </c>
      <c r="G3348" s="8" t="s">
        <v>18185</v>
      </c>
      <c r="H3348" s="8" t="s">
        <v>18186</v>
      </c>
      <c r="I3348" s="8" t="s">
        <v>404</v>
      </c>
      <c r="J3348" s="16">
        <v>17345</v>
      </c>
      <c r="K3348" s="2" t="s">
        <v>1608</v>
      </c>
      <c r="L3348" s="8" t="s">
        <v>18187</v>
      </c>
      <c r="M3348" s="8" t="s">
        <v>27</v>
      </c>
      <c r="N3348" s="2" t="s">
        <v>18188</v>
      </c>
      <c r="O3348" s="8" t="s">
        <v>550</v>
      </c>
      <c r="P3348" s="8" t="s">
        <v>401</v>
      </c>
      <c r="Q3348" s="12" t="s">
        <v>18189</v>
      </c>
      <c r="R3348" s="8" t="s">
        <v>555</v>
      </c>
      <c r="S3348" s="7" t="s">
        <v>28</v>
      </c>
      <c r="T3348" s="6"/>
      <c r="U3348" s="8"/>
    </row>
    <row r="3349" spans="1:39" ht="13" customHeight="1">
      <c r="A3349" s="8" t="s">
        <v>18190</v>
      </c>
      <c r="B3349" s="16">
        <v>72</v>
      </c>
      <c r="C3349" s="8" t="s">
        <v>20</v>
      </c>
      <c r="D3349" s="8" t="s">
        <v>37</v>
      </c>
      <c r="E3349" s="8" t="s">
        <v>18191</v>
      </c>
      <c r="F3349" s="17">
        <v>41326</v>
      </c>
      <c r="G3349" s="8" t="s">
        <v>18192</v>
      </c>
      <c r="H3349" s="8" t="s">
        <v>6217</v>
      </c>
      <c r="I3349" s="8" t="s">
        <v>404</v>
      </c>
      <c r="J3349" s="16" t="s">
        <v>18193</v>
      </c>
      <c r="K3349" s="2" t="s">
        <v>1608</v>
      </c>
      <c r="L3349" s="8" t="s">
        <v>18194</v>
      </c>
      <c r="M3349" s="8" t="s">
        <v>27</v>
      </c>
      <c r="N3349" s="2" t="s">
        <v>18195</v>
      </c>
      <c r="O3349" s="8" t="s">
        <v>550</v>
      </c>
      <c r="P3349" s="8" t="s">
        <v>401</v>
      </c>
      <c r="Q3349" s="12" t="s">
        <v>18196</v>
      </c>
      <c r="R3349" s="8" t="s">
        <v>555</v>
      </c>
      <c r="S3349" s="7" t="s">
        <v>28</v>
      </c>
      <c r="T3349" s="6"/>
      <c r="U3349" s="8"/>
    </row>
    <row r="3350" spans="1:39" ht="13" customHeight="1">
      <c r="A3350" s="8" t="s">
        <v>18197</v>
      </c>
      <c r="B3350" s="16" t="s">
        <v>16025</v>
      </c>
      <c r="C3350" s="8" t="s">
        <v>20</v>
      </c>
      <c r="D3350" s="8" t="s">
        <v>85</v>
      </c>
      <c r="E3350" s="8" t="s">
        <v>18198</v>
      </c>
      <c r="F3350" s="17">
        <v>41325</v>
      </c>
      <c r="G3350" s="8" t="s">
        <v>18199</v>
      </c>
      <c r="H3350" s="8" t="s">
        <v>1804</v>
      </c>
      <c r="I3350" s="8" t="s">
        <v>217</v>
      </c>
      <c r="J3350" s="16" t="s">
        <v>18200</v>
      </c>
      <c r="K3350" s="2" t="s">
        <v>1806</v>
      </c>
      <c r="L3350" s="8" t="s">
        <v>1807</v>
      </c>
      <c r="M3350" s="8" t="s">
        <v>27</v>
      </c>
      <c r="N3350" s="2" t="s">
        <v>18201</v>
      </c>
      <c r="O3350" s="8" t="s">
        <v>550</v>
      </c>
      <c r="P3350" s="8" t="s">
        <v>401</v>
      </c>
      <c r="Q3350" s="12" t="s">
        <v>18202</v>
      </c>
      <c r="R3350" s="8" t="s">
        <v>100</v>
      </c>
      <c r="S3350" s="7" t="s">
        <v>28</v>
      </c>
      <c r="T3350" s="6"/>
      <c r="U3350" s="8"/>
    </row>
    <row r="3351" spans="1:39" ht="13" customHeight="1">
      <c r="A3351" s="8" t="s">
        <v>18203</v>
      </c>
      <c r="B3351" s="16">
        <v>27</v>
      </c>
      <c r="C3351" s="8" t="s">
        <v>20</v>
      </c>
      <c r="D3351" s="8" t="s">
        <v>30</v>
      </c>
      <c r="F3351" s="17">
        <v>41325</v>
      </c>
      <c r="G3351" s="8" t="s">
        <v>18204</v>
      </c>
      <c r="H3351" s="8" t="s">
        <v>9880</v>
      </c>
      <c r="I3351" s="8" t="s">
        <v>62</v>
      </c>
      <c r="J3351" s="16" t="s">
        <v>13488</v>
      </c>
      <c r="K3351" s="2" t="s">
        <v>2316</v>
      </c>
      <c r="L3351" s="8" t="s">
        <v>13489</v>
      </c>
      <c r="M3351" s="8" t="s">
        <v>379</v>
      </c>
      <c r="N3351" s="2" t="s">
        <v>18205</v>
      </c>
      <c r="O3351" s="8" t="s">
        <v>1013</v>
      </c>
      <c r="P3351" s="8" t="s">
        <v>401</v>
      </c>
      <c r="Q3351" s="12" t="s">
        <v>18206</v>
      </c>
      <c r="R3351" s="8" t="s">
        <v>100</v>
      </c>
      <c r="S3351" s="7" t="s">
        <v>379</v>
      </c>
      <c r="T3351" s="6"/>
      <c r="U3351" s="8"/>
    </row>
    <row r="3352" spans="1:39" ht="13" customHeight="1">
      <c r="A3352" s="8" t="s">
        <v>18207</v>
      </c>
      <c r="B3352" s="16">
        <v>23</v>
      </c>
      <c r="C3352" s="8" t="s">
        <v>20</v>
      </c>
      <c r="D3352" s="8" t="s">
        <v>85</v>
      </c>
      <c r="E3352" s="8" t="s">
        <v>18208</v>
      </c>
      <c r="F3352" s="17">
        <v>41324</v>
      </c>
      <c r="G3352" s="8" t="s">
        <v>18209</v>
      </c>
      <c r="H3352" s="8" t="s">
        <v>653</v>
      </c>
      <c r="I3352" s="8" t="s">
        <v>62</v>
      </c>
      <c r="J3352" s="16" t="s">
        <v>18210</v>
      </c>
      <c r="K3352" s="2" t="s">
        <v>654</v>
      </c>
      <c r="L3352" s="8" t="s">
        <v>655</v>
      </c>
      <c r="M3352" s="8" t="s">
        <v>27</v>
      </c>
      <c r="N3352" s="2" t="s">
        <v>18211</v>
      </c>
      <c r="O3352" s="8" t="s">
        <v>1013</v>
      </c>
      <c r="P3352" s="8" t="s">
        <v>401</v>
      </c>
      <c r="Q3352" s="12" t="s">
        <v>18212</v>
      </c>
      <c r="R3352" s="8" t="s">
        <v>100</v>
      </c>
      <c r="S3352" s="7" t="s">
        <v>28</v>
      </c>
      <c r="T3352" s="6"/>
      <c r="U3352" s="8"/>
    </row>
    <row r="3353" spans="1:39" ht="13" customHeight="1">
      <c r="A3353" s="8" t="s">
        <v>18213</v>
      </c>
      <c r="B3353" s="16">
        <v>32</v>
      </c>
      <c r="C3353" s="8" t="s">
        <v>20</v>
      </c>
      <c r="D3353" s="8" t="s">
        <v>48</v>
      </c>
      <c r="F3353" s="17">
        <v>41324</v>
      </c>
      <c r="G3353" s="8" t="s">
        <v>18214</v>
      </c>
      <c r="H3353" s="8" t="s">
        <v>657</v>
      </c>
      <c r="I3353" s="8" t="s">
        <v>269</v>
      </c>
      <c r="J3353" s="16" t="s">
        <v>18215</v>
      </c>
      <c r="K3353" s="2" t="s">
        <v>570</v>
      </c>
      <c r="L3353" s="8" t="s">
        <v>405</v>
      </c>
      <c r="M3353" s="8" t="s">
        <v>27</v>
      </c>
      <c r="N3353" s="2" t="s">
        <v>18216</v>
      </c>
      <c r="O3353" s="8" t="s">
        <v>550</v>
      </c>
      <c r="P3353" s="8" t="s">
        <v>401</v>
      </c>
      <c r="Q3353" s="12" t="s">
        <v>18217</v>
      </c>
      <c r="R3353" s="8" t="s">
        <v>100</v>
      </c>
      <c r="S3353" s="7" t="s">
        <v>28</v>
      </c>
      <c r="T3353" s="6"/>
      <c r="U3353" s="8"/>
    </row>
    <row r="3354" spans="1:39" ht="13" customHeight="1">
      <c r="A3354" s="8" t="s">
        <v>18218</v>
      </c>
      <c r="B3354" s="16">
        <v>25</v>
      </c>
      <c r="C3354" s="8" t="s">
        <v>20</v>
      </c>
      <c r="D3354" s="8" t="s">
        <v>37</v>
      </c>
      <c r="E3354" s="8" t="s">
        <v>18219</v>
      </c>
      <c r="F3354" s="17">
        <v>41324</v>
      </c>
      <c r="G3354" s="8" t="s">
        <v>18220</v>
      </c>
      <c r="H3354" s="8" t="s">
        <v>4446</v>
      </c>
      <c r="I3354" s="8" t="s">
        <v>330</v>
      </c>
      <c r="J3354" s="16" t="s">
        <v>18221</v>
      </c>
      <c r="K3354" s="2" t="s">
        <v>4446</v>
      </c>
      <c r="L3354" s="8" t="s">
        <v>4448</v>
      </c>
      <c r="M3354" s="8" t="s">
        <v>27</v>
      </c>
      <c r="N3354" s="2" t="s">
        <v>18222</v>
      </c>
      <c r="O3354" s="8" t="s">
        <v>550</v>
      </c>
      <c r="P3354" s="8" t="s">
        <v>401</v>
      </c>
      <c r="Q3354" s="12" t="s">
        <v>18223</v>
      </c>
      <c r="R3354" s="8" t="s">
        <v>29</v>
      </c>
      <c r="S3354" s="7" t="s">
        <v>28</v>
      </c>
      <c r="T3354" s="6"/>
      <c r="U3354" s="8"/>
      <c r="Y3354" s="8"/>
      <c r="Z3354" s="8"/>
      <c r="AA3354" s="8"/>
      <c r="AB3354" s="8"/>
      <c r="AC3354" s="8"/>
      <c r="AD3354" s="8"/>
      <c r="AE3354" s="8"/>
      <c r="AF3354" s="8"/>
      <c r="AG3354" s="8"/>
      <c r="AH3354" s="8"/>
    </row>
    <row r="3355" spans="1:39" ht="13" customHeight="1">
      <c r="A3355" s="8" t="s">
        <v>18224</v>
      </c>
      <c r="B3355" s="16">
        <v>89</v>
      </c>
      <c r="C3355" s="8" t="s">
        <v>114</v>
      </c>
      <c r="D3355" s="8" t="s">
        <v>37</v>
      </c>
      <c r="F3355" s="17">
        <v>41324</v>
      </c>
      <c r="G3355" s="8" t="s">
        <v>18225</v>
      </c>
      <c r="H3355" s="8" t="s">
        <v>18226</v>
      </c>
      <c r="I3355" s="8" t="s">
        <v>404</v>
      </c>
      <c r="J3355" s="16" t="s">
        <v>18227</v>
      </c>
      <c r="K3355" s="2" t="s">
        <v>17501</v>
      </c>
      <c r="L3355" s="8" t="s">
        <v>18228</v>
      </c>
      <c r="M3355" s="8" t="s">
        <v>27</v>
      </c>
      <c r="N3355" s="2" t="s">
        <v>18229</v>
      </c>
      <c r="O3355" s="8" t="s">
        <v>550</v>
      </c>
      <c r="P3355" s="8" t="s">
        <v>401</v>
      </c>
      <c r="Q3355" s="12" t="str">
        <f>HYPERLINK("http://www.phillyburbs.com/news/crime/da-warminster-officer-accidentally-shot-year-old-during-standoff/article_2e02c0de-13d0-54ef-88d7-e00c66713ba5.html","http://www.phillyburbs.com/news/crime/da-warminster-officer-accidentally-shot-year-old-during-standoff/article_2e02c0de-13d0-54ef-88d7-e00c66713ba5.html")</f>
        <v>http://www.phillyburbs.com/news/crime/da-warminster-officer-accidentally-shot-year-old-during-standoff/article_2e02c0de-13d0-54ef-88d7-e00c66713ba5.html</v>
      </c>
      <c r="R3355" s="8" t="s">
        <v>100</v>
      </c>
      <c r="S3355" s="7" t="s">
        <v>28</v>
      </c>
      <c r="T3355" s="6"/>
      <c r="U3355" s="8"/>
    </row>
    <row r="3356" spans="1:39" ht="13" customHeight="1">
      <c r="A3356" s="8" t="s">
        <v>18230</v>
      </c>
      <c r="B3356" s="16">
        <v>30</v>
      </c>
      <c r="C3356" s="8" t="s">
        <v>20</v>
      </c>
      <c r="D3356" s="8" t="s">
        <v>85</v>
      </c>
      <c r="E3356" s="8" t="s">
        <v>18231</v>
      </c>
      <c r="F3356" s="17">
        <v>41323</v>
      </c>
      <c r="G3356" s="8" t="s">
        <v>18232</v>
      </c>
      <c r="H3356" s="8" t="s">
        <v>339</v>
      </c>
      <c r="I3356" s="8" t="s">
        <v>244</v>
      </c>
      <c r="J3356" s="16" t="s">
        <v>18233</v>
      </c>
      <c r="K3356" s="2" t="s">
        <v>16779</v>
      </c>
      <c r="L3356" s="8" t="s">
        <v>18234</v>
      </c>
      <c r="M3356" s="8" t="s">
        <v>27</v>
      </c>
      <c r="N3356" s="2" t="s">
        <v>18235</v>
      </c>
      <c r="O3356" s="8" t="s">
        <v>550</v>
      </c>
      <c r="P3356" s="8" t="s">
        <v>401</v>
      </c>
      <c r="Q3356" s="12" t="s">
        <v>18236</v>
      </c>
      <c r="R3356" s="8" t="s">
        <v>100</v>
      </c>
      <c r="S3356" s="7" t="s">
        <v>28</v>
      </c>
      <c r="T3356" s="6"/>
      <c r="U3356" s="8"/>
      <c r="Y3356" s="8"/>
      <c r="Z3356" s="8"/>
      <c r="AA3356" s="8"/>
      <c r="AB3356" s="8"/>
      <c r="AC3356" s="8"/>
      <c r="AD3356" s="8"/>
      <c r="AE3356" s="8"/>
      <c r="AF3356" s="8"/>
      <c r="AG3356" s="8"/>
      <c r="AH3356" s="8"/>
    </row>
    <row r="3357" spans="1:39" ht="13" customHeight="1">
      <c r="A3357" s="8" t="s">
        <v>18237</v>
      </c>
      <c r="B3357" s="16">
        <v>31</v>
      </c>
      <c r="C3357" s="8" t="s">
        <v>20</v>
      </c>
      <c r="D3357" s="8" t="s">
        <v>37</v>
      </c>
      <c r="E3357" s="8" t="s">
        <v>18238</v>
      </c>
      <c r="F3357" s="17">
        <v>41323</v>
      </c>
      <c r="G3357" s="8" t="s">
        <v>18239</v>
      </c>
      <c r="H3357" s="8" t="s">
        <v>16631</v>
      </c>
      <c r="I3357" s="8" t="s">
        <v>57</v>
      </c>
      <c r="J3357" s="16" t="s">
        <v>18240</v>
      </c>
      <c r="K3357" s="2" t="s">
        <v>4105</v>
      </c>
      <c r="L3357" s="8" t="s">
        <v>18241</v>
      </c>
      <c r="M3357" s="8" t="s">
        <v>27</v>
      </c>
      <c r="N3357" s="2" t="s">
        <v>18242</v>
      </c>
      <c r="O3357" s="8" t="s">
        <v>550</v>
      </c>
      <c r="P3357" s="8" t="s">
        <v>401</v>
      </c>
      <c r="Q3357" s="12" t="s">
        <v>18243</v>
      </c>
      <c r="R3357" s="8" t="s">
        <v>29</v>
      </c>
      <c r="S3357" s="7" t="s">
        <v>28</v>
      </c>
      <c r="T3357" s="6"/>
      <c r="U3357" s="8"/>
      <c r="Y3357" s="8"/>
      <c r="Z3357" s="8"/>
      <c r="AA3357" s="8"/>
      <c r="AB3357" s="8"/>
      <c r="AC3357" s="8"/>
      <c r="AD3357" s="8"/>
      <c r="AE3357" s="8"/>
      <c r="AF3357" s="8"/>
      <c r="AG3357" s="8"/>
      <c r="AH3357" s="8"/>
    </row>
    <row r="3358" spans="1:39" ht="13" customHeight="1">
      <c r="A3358" s="8" t="s">
        <v>18244</v>
      </c>
      <c r="B3358" s="16">
        <v>35</v>
      </c>
      <c r="C3358" s="8" t="s">
        <v>20</v>
      </c>
      <c r="D3358" s="8" t="s">
        <v>37</v>
      </c>
      <c r="E3358" s="8" t="s">
        <v>18245</v>
      </c>
      <c r="F3358" s="17">
        <v>41323</v>
      </c>
      <c r="G3358" s="8" t="s">
        <v>18246</v>
      </c>
      <c r="H3358" s="8" t="s">
        <v>1646</v>
      </c>
      <c r="I3358" s="8" t="s">
        <v>45</v>
      </c>
      <c r="J3358" s="16" t="s">
        <v>18247</v>
      </c>
      <c r="K3358" s="2" t="s">
        <v>1646</v>
      </c>
      <c r="L3358" s="8" t="s">
        <v>18248</v>
      </c>
      <c r="M3358" s="8" t="s">
        <v>27</v>
      </c>
      <c r="N3358" s="2" t="s">
        <v>18249</v>
      </c>
      <c r="O3358" s="8" t="s">
        <v>1013</v>
      </c>
      <c r="P3358" s="8" t="s">
        <v>401</v>
      </c>
      <c r="Q3358" s="12" t="s">
        <v>18250</v>
      </c>
      <c r="R3358" s="8" t="s">
        <v>555</v>
      </c>
      <c r="S3358" s="7" t="s">
        <v>28</v>
      </c>
      <c r="T3358" s="6"/>
      <c r="U3358" s="8"/>
    </row>
    <row r="3359" spans="1:39" ht="13" customHeight="1">
      <c r="A3359" s="8" t="s">
        <v>18251</v>
      </c>
      <c r="B3359" s="16">
        <v>50</v>
      </c>
      <c r="C3359" s="8" t="s">
        <v>20</v>
      </c>
      <c r="D3359" s="8" t="s">
        <v>37</v>
      </c>
      <c r="E3359" s="8" t="s">
        <v>18252</v>
      </c>
      <c r="F3359" s="17">
        <v>41322</v>
      </c>
      <c r="G3359" s="8" t="s">
        <v>18253</v>
      </c>
      <c r="H3359" s="8" t="s">
        <v>1565</v>
      </c>
      <c r="I3359" s="8" t="s">
        <v>117</v>
      </c>
      <c r="J3359" s="16" t="s">
        <v>18254</v>
      </c>
      <c r="K3359" s="2" t="s">
        <v>1567</v>
      </c>
      <c r="L3359" s="8" t="s">
        <v>18022</v>
      </c>
      <c r="M3359" s="8" t="s">
        <v>27</v>
      </c>
      <c r="N3359" s="2" t="s">
        <v>18255</v>
      </c>
      <c r="O3359" s="8" t="s">
        <v>13713</v>
      </c>
      <c r="P3359" s="8" t="s">
        <v>401</v>
      </c>
      <c r="Q3359" s="12" t="s">
        <v>18256</v>
      </c>
      <c r="R3359" s="8" t="s">
        <v>29</v>
      </c>
      <c r="S3359" s="7" t="s">
        <v>28</v>
      </c>
      <c r="T3359" s="6"/>
      <c r="U3359" s="8"/>
    </row>
    <row r="3360" spans="1:39" ht="13" customHeight="1">
      <c r="A3360" s="8" t="s">
        <v>18257</v>
      </c>
      <c r="B3360" s="16">
        <v>30</v>
      </c>
      <c r="C3360" s="8" t="s">
        <v>20</v>
      </c>
      <c r="D3360" s="8" t="s">
        <v>85</v>
      </c>
      <c r="E3360" s="8" t="s">
        <v>18258</v>
      </c>
      <c r="F3360" s="17">
        <v>41321</v>
      </c>
      <c r="G3360" s="8" t="s">
        <v>18259</v>
      </c>
      <c r="H3360" s="8" t="s">
        <v>18260</v>
      </c>
      <c r="I3360" s="8" t="s">
        <v>423</v>
      </c>
      <c r="J3360" s="16" t="s">
        <v>18261</v>
      </c>
      <c r="K3360" s="2" t="s">
        <v>18262</v>
      </c>
      <c r="L3360" s="8" t="s">
        <v>18263</v>
      </c>
      <c r="M3360" s="8" t="s">
        <v>391</v>
      </c>
      <c r="N3360" s="2" t="s">
        <v>18264</v>
      </c>
      <c r="O3360" s="8" t="s">
        <v>1013</v>
      </c>
      <c r="P3360" s="8" t="s">
        <v>401</v>
      </c>
      <c r="Q3360" s="12" t="s">
        <v>18265</v>
      </c>
      <c r="R3360" s="8" t="s">
        <v>100</v>
      </c>
      <c r="S3360" s="7" t="s">
        <v>18</v>
      </c>
      <c r="T3360" s="6"/>
      <c r="U3360" s="8"/>
    </row>
    <row r="3361" spans="1:21" ht="13" customHeight="1">
      <c r="A3361" s="8" t="s">
        <v>18271</v>
      </c>
      <c r="B3361" s="16">
        <v>29</v>
      </c>
      <c r="C3361" s="8" t="s">
        <v>20</v>
      </c>
      <c r="D3361" s="8" t="s">
        <v>48</v>
      </c>
      <c r="E3361" s="8" t="s">
        <v>18272</v>
      </c>
      <c r="F3361" s="17">
        <v>41321</v>
      </c>
      <c r="G3361" s="8" t="s">
        <v>18273</v>
      </c>
      <c r="H3361" s="8" t="s">
        <v>2497</v>
      </c>
      <c r="I3361" s="8" t="s">
        <v>395</v>
      </c>
      <c r="J3361" s="16" t="s">
        <v>18274</v>
      </c>
      <c r="K3361" s="2" t="s">
        <v>2497</v>
      </c>
      <c r="L3361" s="8" t="s">
        <v>3398</v>
      </c>
      <c r="M3361" s="8" t="s">
        <v>27</v>
      </c>
      <c r="N3361" s="2" t="s">
        <v>18275</v>
      </c>
      <c r="O3361" s="8" t="s">
        <v>550</v>
      </c>
      <c r="P3361" s="8" t="s">
        <v>401</v>
      </c>
      <c r="Q3361" s="12" t="s">
        <v>18276</v>
      </c>
      <c r="R3361" s="8" t="s">
        <v>555</v>
      </c>
      <c r="S3361" s="7" t="s">
        <v>28</v>
      </c>
      <c r="T3361" s="6"/>
      <c r="U3361" s="8"/>
    </row>
    <row r="3362" spans="1:21" ht="13" customHeight="1">
      <c r="A3362" s="8" t="s">
        <v>18266</v>
      </c>
      <c r="B3362" s="16">
        <v>42</v>
      </c>
      <c r="C3362" s="8" t="s">
        <v>20</v>
      </c>
      <c r="D3362" s="8" t="s">
        <v>48</v>
      </c>
      <c r="E3362" s="8" t="s">
        <v>18267</v>
      </c>
      <c r="F3362" s="17">
        <v>41321</v>
      </c>
      <c r="G3362" s="8" t="s">
        <v>18268</v>
      </c>
      <c r="H3362" s="8" t="s">
        <v>10443</v>
      </c>
      <c r="I3362" s="8" t="s">
        <v>73</v>
      </c>
      <c r="J3362" s="16" t="s">
        <v>10444</v>
      </c>
      <c r="K3362" s="2" t="s">
        <v>74</v>
      </c>
      <c r="L3362" s="8" t="s">
        <v>4191</v>
      </c>
      <c r="M3362" s="8" t="s">
        <v>27</v>
      </c>
      <c r="N3362" s="2" t="s">
        <v>18269</v>
      </c>
      <c r="O3362" s="8" t="s">
        <v>550</v>
      </c>
      <c r="P3362" s="8" t="s">
        <v>401</v>
      </c>
      <c r="Q3362" s="12" t="s">
        <v>18270</v>
      </c>
      <c r="R3362" s="8" t="s">
        <v>100</v>
      </c>
      <c r="S3362" s="7" t="s">
        <v>28</v>
      </c>
      <c r="T3362" s="6"/>
      <c r="U3362" s="8"/>
    </row>
    <row r="3363" spans="1:21" ht="13" customHeight="1">
      <c r="A3363" s="8" t="s">
        <v>18277</v>
      </c>
      <c r="B3363" s="16">
        <v>63</v>
      </c>
      <c r="C3363" s="8" t="s">
        <v>20</v>
      </c>
      <c r="D3363" s="8" t="s">
        <v>30</v>
      </c>
      <c r="F3363" s="17">
        <v>41321</v>
      </c>
      <c r="G3363" s="8" t="s">
        <v>18278</v>
      </c>
      <c r="H3363" s="8" t="s">
        <v>2201</v>
      </c>
      <c r="I3363" s="8" t="s">
        <v>62</v>
      </c>
      <c r="J3363" s="16" t="s">
        <v>18279</v>
      </c>
      <c r="K3363" s="2" t="s">
        <v>1127</v>
      </c>
      <c r="L3363" s="8" t="s">
        <v>18280</v>
      </c>
      <c r="M3363" s="8" t="s">
        <v>379</v>
      </c>
      <c r="N3363" s="2" t="s">
        <v>18281</v>
      </c>
      <c r="O3363" s="8" t="s">
        <v>1013</v>
      </c>
      <c r="P3363" s="8" t="s">
        <v>401</v>
      </c>
      <c r="Q3363" s="12" t="s">
        <v>18282</v>
      </c>
      <c r="R3363" s="8" t="s">
        <v>100</v>
      </c>
      <c r="S3363" s="7" t="s">
        <v>28</v>
      </c>
      <c r="T3363" s="6"/>
      <c r="U3363" s="8"/>
    </row>
    <row r="3364" spans="1:21" ht="13" customHeight="1">
      <c r="A3364" s="8" t="s">
        <v>18283</v>
      </c>
      <c r="B3364" s="16">
        <v>25</v>
      </c>
      <c r="C3364" s="8" t="s">
        <v>20</v>
      </c>
      <c r="D3364" s="8" t="s">
        <v>30</v>
      </c>
      <c r="F3364" s="17">
        <v>41320</v>
      </c>
      <c r="G3364" s="8" t="s">
        <v>18284</v>
      </c>
      <c r="H3364" s="8" t="s">
        <v>18285</v>
      </c>
      <c r="I3364" s="8" t="s">
        <v>45</v>
      </c>
      <c r="J3364" s="16" t="s">
        <v>18286</v>
      </c>
      <c r="K3364" s="2" t="s">
        <v>98</v>
      </c>
      <c r="L3364" s="8" t="s">
        <v>18287</v>
      </c>
      <c r="M3364" s="8" t="s">
        <v>27</v>
      </c>
      <c r="N3364" s="2" t="s">
        <v>18288</v>
      </c>
      <c r="O3364" s="8" t="s">
        <v>1013</v>
      </c>
      <c r="P3364" s="8" t="s">
        <v>401</v>
      </c>
      <c r="Q3364" s="12" t="s">
        <v>18289</v>
      </c>
      <c r="R3364" s="8" t="s">
        <v>100</v>
      </c>
      <c r="S3364" s="7" t="s">
        <v>28</v>
      </c>
      <c r="T3364" s="6"/>
      <c r="U3364" s="8"/>
    </row>
    <row r="3365" spans="1:21" ht="13" customHeight="1">
      <c r="A3365" s="8" t="s">
        <v>18290</v>
      </c>
      <c r="B3365" s="16">
        <v>23</v>
      </c>
      <c r="C3365" s="8" t="s">
        <v>20</v>
      </c>
      <c r="D3365" s="8" t="s">
        <v>48</v>
      </c>
      <c r="E3365" s="8" t="s">
        <v>18291</v>
      </c>
      <c r="F3365" s="17">
        <v>41319</v>
      </c>
      <c r="G3365" s="8" t="s">
        <v>18292</v>
      </c>
      <c r="H3365" s="8" t="s">
        <v>6343</v>
      </c>
      <c r="I3365" s="8" t="s">
        <v>45</v>
      </c>
      <c r="J3365" s="16" t="s">
        <v>6344</v>
      </c>
      <c r="K3365" s="2" t="s">
        <v>786</v>
      </c>
      <c r="L3365" s="8" t="s">
        <v>6345</v>
      </c>
      <c r="M3365" s="8" t="s">
        <v>27</v>
      </c>
      <c r="N3365" s="2" t="s">
        <v>18293</v>
      </c>
      <c r="O3365" s="8" t="s">
        <v>550</v>
      </c>
      <c r="P3365" s="8" t="s">
        <v>401</v>
      </c>
      <c r="Q3365" s="12" t="s">
        <v>18294</v>
      </c>
      <c r="R3365" s="8" t="s">
        <v>100</v>
      </c>
      <c r="S3365" s="7" t="s">
        <v>28</v>
      </c>
      <c r="T3365" s="6"/>
      <c r="U3365" s="8"/>
    </row>
    <row r="3366" spans="1:21" ht="13" customHeight="1">
      <c r="A3366" s="8" t="s">
        <v>18295</v>
      </c>
      <c r="B3366" s="16">
        <v>41</v>
      </c>
      <c r="C3366" s="8" t="s">
        <v>114</v>
      </c>
      <c r="D3366" s="8" t="s">
        <v>85</v>
      </c>
      <c r="E3366" s="8" t="s">
        <v>18296</v>
      </c>
      <c r="F3366" s="17">
        <v>41318</v>
      </c>
      <c r="G3366" s="8" t="s">
        <v>18297</v>
      </c>
      <c r="H3366" s="8" t="s">
        <v>5365</v>
      </c>
      <c r="I3366" s="8" t="s">
        <v>45</v>
      </c>
      <c r="J3366" s="16" t="s">
        <v>18298</v>
      </c>
      <c r="K3366" s="2" t="s">
        <v>604</v>
      </c>
      <c r="L3366" s="8" t="s">
        <v>5366</v>
      </c>
      <c r="M3366" s="8" t="s">
        <v>8536</v>
      </c>
      <c r="N3366" s="2" t="s">
        <v>18299</v>
      </c>
      <c r="O3366" s="8" t="s">
        <v>3400</v>
      </c>
      <c r="P3366" s="8" t="s">
        <v>401</v>
      </c>
      <c r="Q3366" s="12" t="s">
        <v>18300</v>
      </c>
      <c r="R3366" s="8" t="s">
        <v>555</v>
      </c>
      <c r="S3366" s="7" t="s">
        <v>18</v>
      </c>
      <c r="T3366" s="6"/>
      <c r="U3366" s="8"/>
    </row>
    <row r="3367" spans="1:21" ht="13" customHeight="1">
      <c r="A3367" s="8" t="s">
        <v>3267</v>
      </c>
      <c r="B3367" s="16">
        <v>34</v>
      </c>
      <c r="C3367" s="8" t="s">
        <v>20</v>
      </c>
      <c r="D3367" s="8" t="s">
        <v>85</v>
      </c>
      <c r="F3367" s="17">
        <v>41318</v>
      </c>
      <c r="G3367" s="8" t="s">
        <v>18301</v>
      </c>
      <c r="H3367" s="8" t="s">
        <v>726</v>
      </c>
      <c r="I3367" s="8" t="s">
        <v>73</v>
      </c>
      <c r="J3367" s="16" t="s">
        <v>18302</v>
      </c>
      <c r="K3367" s="2" t="s">
        <v>558</v>
      </c>
      <c r="L3367" s="8" t="s">
        <v>727</v>
      </c>
      <c r="M3367" s="8" t="s">
        <v>27</v>
      </c>
      <c r="N3367" s="2" t="s">
        <v>18303</v>
      </c>
      <c r="O3367" s="8" t="s">
        <v>29</v>
      </c>
      <c r="P3367" s="8" t="s">
        <v>401</v>
      </c>
      <c r="Q3367" s="12" t="str">
        <f>HYPERLINK("http://www.chron.com/news/houston-texas/houston/article/HPD-kills-person-at-westside-complex-4276703.php","http://www.chron.com/news/houston-texas/houston/article/HPD-kills-person-at-westside-complex-4276703.php")</f>
        <v>http://www.chron.com/news/houston-texas/houston/article/HPD-kills-person-at-westside-complex-4276703.php</v>
      </c>
      <c r="R3367" s="8" t="s">
        <v>100</v>
      </c>
      <c r="S3367" s="7" t="s">
        <v>28</v>
      </c>
      <c r="T3367" s="6"/>
      <c r="U3367" s="8"/>
    </row>
    <row r="3368" spans="1:21" ht="13" customHeight="1">
      <c r="A3368" s="8" t="s">
        <v>18304</v>
      </c>
      <c r="B3368" s="16">
        <v>18</v>
      </c>
      <c r="C3368" s="8" t="s">
        <v>20</v>
      </c>
      <c r="D3368" s="8" t="s">
        <v>85</v>
      </c>
      <c r="E3368" s="8" t="s">
        <v>18305</v>
      </c>
      <c r="F3368" s="17">
        <v>41317</v>
      </c>
      <c r="G3368" s="8" t="s">
        <v>18306</v>
      </c>
      <c r="H3368" s="8" t="s">
        <v>18307</v>
      </c>
      <c r="I3368" s="8" t="s">
        <v>57</v>
      </c>
      <c r="J3368" s="16" t="s">
        <v>18308</v>
      </c>
      <c r="K3368" s="2" t="s">
        <v>1132</v>
      </c>
      <c r="L3368" s="8" t="s">
        <v>18309</v>
      </c>
      <c r="M3368" s="8" t="s">
        <v>27</v>
      </c>
      <c r="N3368" s="2" t="s">
        <v>18310</v>
      </c>
      <c r="O3368" s="8" t="s">
        <v>1013</v>
      </c>
      <c r="P3368" s="8" t="s">
        <v>401</v>
      </c>
      <c r="Q3368" s="12" t="s">
        <v>18311</v>
      </c>
      <c r="R3368" s="8" t="s">
        <v>100</v>
      </c>
      <c r="S3368" s="7" t="s">
        <v>28</v>
      </c>
      <c r="T3368" s="6"/>
      <c r="U3368" s="8"/>
    </row>
    <row r="3369" spans="1:21" ht="13" customHeight="1">
      <c r="A3369" s="8" t="s">
        <v>18312</v>
      </c>
      <c r="B3369" s="16">
        <v>32</v>
      </c>
      <c r="C3369" s="8" t="s">
        <v>20</v>
      </c>
      <c r="D3369" s="8" t="s">
        <v>85</v>
      </c>
      <c r="F3369" s="17">
        <v>41317</v>
      </c>
      <c r="G3369" s="8" t="s">
        <v>18313</v>
      </c>
      <c r="H3369" s="8" t="s">
        <v>3613</v>
      </c>
      <c r="I3369" s="8" t="s">
        <v>133</v>
      </c>
      <c r="J3369" s="16" t="s">
        <v>18314</v>
      </c>
      <c r="K3369" s="2" t="s">
        <v>3615</v>
      </c>
      <c r="L3369" s="8" t="s">
        <v>4947</v>
      </c>
      <c r="M3369" s="8" t="s">
        <v>27</v>
      </c>
      <c r="N3369" s="2" t="s">
        <v>18315</v>
      </c>
      <c r="O3369" s="8" t="s">
        <v>550</v>
      </c>
      <c r="P3369" s="8" t="s">
        <v>401</v>
      </c>
      <c r="Q3369" s="12" t="s">
        <v>18316</v>
      </c>
      <c r="R3369" s="8" t="s">
        <v>100</v>
      </c>
      <c r="S3369" s="7" t="s">
        <v>28</v>
      </c>
      <c r="T3369" s="6"/>
      <c r="U3369" s="8"/>
    </row>
    <row r="3370" spans="1:21" ht="13" customHeight="1">
      <c r="A3370" s="8" t="s">
        <v>18322</v>
      </c>
      <c r="B3370" s="16">
        <v>29</v>
      </c>
      <c r="C3370" s="8" t="s">
        <v>20</v>
      </c>
      <c r="D3370" s="8" t="s">
        <v>37</v>
      </c>
      <c r="E3370" s="8" t="s">
        <v>18323</v>
      </c>
      <c r="F3370" s="17">
        <v>41316</v>
      </c>
      <c r="G3370" s="8" t="s">
        <v>18324</v>
      </c>
      <c r="H3370" s="8" t="s">
        <v>18325</v>
      </c>
      <c r="I3370" s="8" t="s">
        <v>45</v>
      </c>
      <c r="J3370" s="16" t="s">
        <v>18326</v>
      </c>
      <c r="K3370" s="2" t="s">
        <v>786</v>
      </c>
      <c r="L3370" s="8" t="s">
        <v>18327</v>
      </c>
      <c r="M3370" s="8" t="s">
        <v>27</v>
      </c>
      <c r="N3370" s="2" t="s">
        <v>18328</v>
      </c>
      <c r="O3370" s="8" t="s">
        <v>550</v>
      </c>
      <c r="P3370" s="8" t="s">
        <v>401</v>
      </c>
      <c r="Q3370" s="12" t="s">
        <v>18329</v>
      </c>
      <c r="R3370" s="8" t="s">
        <v>100</v>
      </c>
      <c r="S3370" s="7" t="s">
        <v>28</v>
      </c>
      <c r="T3370" s="6"/>
      <c r="U3370" s="8"/>
    </row>
    <row r="3371" spans="1:21" ht="13" customHeight="1">
      <c r="A3371" s="8" t="s">
        <v>18317</v>
      </c>
      <c r="B3371" s="16">
        <v>32</v>
      </c>
      <c r="C3371" s="8" t="s">
        <v>20</v>
      </c>
      <c r="D3371" s="8" t="s">
        <v>37</v>
      </c>
      <c r="E3371" s="8" t="s">
        <v>18318</v>
      </c>
      <c r="F3371" s="17">
        <v>41316</v>
      </c>
      <c r="G3371" s="8" t="s">
        <v>18319</v>
      </c>
      <c r="H3371" s="8" t="s">
        <v>4602</v>
      </c>
      <c r="I3371" s="8" t="s">
        <v>857</v>
      </c>
      <c r="J3371" s="16" t="s">
        <v>4603</v>
      </c>
      <c r="K3371" s="2" t="s">
        <v>4604</v>
      </c>
      <c r="L3371" s="8" t="s">
        <v>10500</v>
      </c>
      <c r="M3371" s="8" t="s">
        <v>27</v>
      </c>
      <c r="N3371" s="2" t="s">
        <v>18320</v>
      </c>
      <c r="O3371" s="8" t="s">
        <v>550</v>
      </c>
      <c r="P3371" s="8" t="s">
        <v>401</v>
      </c>
      <c r="Q3371" s="12" t="s">
        <v>18321</v>
      </c>
      <c r="R3371" s="8" t="s">
        <v>100</v>
      </c>
      <c r="S3371" s="7" t="s">
        <v>18</v>
      </c>
      <c r="T3371" s="6"/>
      <c r="U3371" s="8"/>
    </row>
    <row r="3372" spans="1:21" ht="13" customHeight="1">
      <c r="A3372" s="8" t="s">
        <v>18330</v>
      </c>
      <c r="B3372" s="16">
        <v>34</v>
      </c>
      <c r="C3372" s="8" t="s">
        <v>20</v>
      </c>
      <c r="D3372" s="8" t="s">
        <v>37</v>
      </c>
      <c r="E3372" s="8" t="s">
        <v>18331</v>
      </c>
      <c r="F3372" s="17">
        <v>41315</v>
      </c>
      <c r="G3372" s="8" t="s">
        <v>18332</v>
      </c>
      <c r="H3372" s="8" t="s">
        <v>1058</v>
      </c>
      <c r="I3372" s="8" t="s">
        <v>69</v>
      </c>
      <c r="J3372" s="16" t="s">
        <v>18333</v>
      </c>
      <c r="K3372" s="2" t="s">
        <v>1059</v>
      </c>
      <c r="L3372" s="8" t="s">
        <v>6049</v>
      </c>
      <c r="M3372" s="8" t="s">
        <v>27</v>
      </c>
      <c r="N3372" s="2" t="s">
        <v>18334</v>
      </c>
      <c r="O3372" s="8" t="s">
        <v>550</v>
      </c>
      <c r="P3372" s="8" t="s">
        <v>401</v>
      </c>
      <c r="Q3372" s="12" t="s">
        <v>18335</v>
      </c>
      <c r="R3372" s="8" t="s">
        <v>555</v>
      </c>
      <c r="S3372" s="7" t="s">
        <v>28</v>
      </c>
      <c r="T3372" s="6"/>
      <c r="U3372" s="8"/>
    </row>
    <row r="3373" spans="1:21" ht="13" customHeight="1">
      <c r="A3373" s="8" t="s">
        <v>18336</v>
      </c>
      <c r="B3373" s="16">
        <v>32</v>
      </c>
      <c r="C3373" s="8" t="s">
        <v>20</v>
      </c>
      <c r="D3373" s="8" t="s">
        <v>85</v>
      </c>
      <c r="E3373" s="8" t="s">
        <v>18337</v>
      </c>
      <c r="F3373" s="17">
        <v>41314</v>
      </c>
      <c r="G3373" s="8" t="s">
        <v>18338</v>
      </c>
      <c r="H3373" s="8" t="s">
        <v>712</v>
      </c>
      <c r="I3373" s="8" t="s">
        <v>431</v>
      </c>
      <c r="J3373" s="16" t="s">
        <v>18339</v>
      </c>
      <c r="K3373" s="2" t="s">
        <v>712</v>
      </c>
      <c r="L3373" s="8" t="s">
        <v>4545</v>
      </c>
      <c r="M3373" s="8" t="s">
        <v>27</v>
      </c>
      <c r="N3373" s="2" t="s">
        <v>18340</v>
      </c>
      <c r="O3373" s="8" t="s">
        <v>1013</v>
      </c>
      <c r="P3373" s="8" t="s">
        <v>401</v>
      </c>
      <c r="Q3373" s="12" t="s">
        <v>18341</v>
      </c>
      <c r="R3373" s="8" t="s">
        <v>100</v>
      </c>
      <c r="S3373" s="7" t="s">
        <v>28</v>
      </c>
      <c r="T3373" s="6"/>
      <c r="U3373" s="8"/>
    </row>
    <row r="3374" spans="1:21" ht="13" customHeight="1">
      <c r="A3374" s="8" t="s">
        <v>18350</v>
      </c>
      <c r="B3374" s="16">
        <v>40</v>
      </c>
      <c r="C3374" s="8" t="s">
        <v>20</v>
      </c>
      <c r="D3374" s="8" t="s">
        <v>37</v>
      </c>
      <c r="E3374" s="8" t="s">
        <v>18351</v>
      </c>
      <c r="F3374" s="17">
        <v>41314</v>
      </c>
      <c r="G3374" s="8" t="s">
        <v>18352</v>
      </c>
      <c r="H3374" s="8" t="s">
        <v>285</v>
      </c>
      <c r="I3374" s="8" t="s">
        <v>73</v>
      </c>
      <c r="J3374" s="16" t="s">
        <v>18353</v>
      </c>
      <c r="K3374" s="2" t="s">
        <v>285</v>
      </c>
      <c r="L3374" s="8" t="s">
        <v>286</v>
      </c>
      <c r="M3374" s="8" t="s">
        <v>27</v>
      </c>
      <c r="N3374" s="2" t="s">
        <v>18354</v>
      </c>
      <c r="O3374" s="8" t="s">
        <v>550</v>
      </c>
      <c r="P3374" s="8" t="s">
        <v>401</v>
      </c>
      <c r="Q3374" s="12" t="s">
        <v>18355</v>
      </c>
      <c r="R3374" s="8" t="s">
        <v>29</v>
      </c>
      <c r="S3374" s="7" t="s">
        <v>28</v>
      </c>
      <c r="T3374" s="6"/>
      <c r="U3374" s="8"/>
    </row>
    <row r="3375" spans="1:21" ht="13" customHeight="1">
      <c r="A3375" s="8" t="s">
        <v>18342</v>
      </c>
      <c r="B3375" s="16">
        <v>41</v>
      </c>
      <c r="C3375" s="8" t="s">
        <v>20</v>
      </c>
      <c r="D3375" s="8" t="s">
        <v>37</v>
      </c>
      <c r="E3375" s="8" t="s">
        <v>18343</v>
      </c>
      <c r="F3375" s="17">
        <v>41314</v>
      </c>
      <c r="G3375" s="8" t="s">
        <v>18344</v>
      </c>
      <c r="H3375" s="8" t="s">
        <v>18345</v>
      </c>
      <c r="I3375" s="8" t="s">
        <v>57</v>
      </c>
      <c r="J3375" s="16" t="s">
        <v>18346</v>
      </c>
      <c r="K3375" s="2" t="s">
        <v>9314</v>
      </c>
      <c r="L3375" s="8" t="s">
        <v>18347</v>
      </c>
      <c r="M3375" s="8" t="s">
        <v>27</v>
      </c>
      <c r="N3375" s="2" t="s">
        <v>18348</v>
      </c>
      <c r="O3375" s="8" t="s">
        <v>550</v>
      </c>
      <c r="P3375" s="8" t="s">
        <v>401</v>
      </c>
      <c r="Q3375" s="12" t="s">
        <v>18349</v>
      </c>
      <c r="R3375" s="8" t="s">
        <v>29</v>
      </c>
      <c r="S3375" s="7" t="s">
        <v>28</v>
      </c>
      <c r="T3375" s="6"/>
      <c r="U3375" s="8"/>
    </row>
    <row r="3376" spans="1:21" ht="13" customHeight="1">
      <c r="A3376" s="8" t="s">
        <v>18360</v>
      </c>
      <c r="B3376" s="16">
        <v>22</v>
      </c>
      <c r="C3376" s="8" t="s">
        <v>20</v>
      </c>
      <c r="D3376" s="8" t="s">
        <v>48</v>
      </c>
      <c r="E3376" s="8" t="s">
        <v>18361</v>
      </c>
      <c r="F3376" s="17">
        <v>41313</v>
      </c>
      <c r="G3376" s="8" t="s">
        <v>18362</v>
      </c>
      <c r="H3376" s="8" t="s">
        <v>1750</v>
      </c>
      <c r="I3376" s="8" t="s">
        <v>45</v>
      </c>
      <c r="J3376" s="16" t="s">
        <v>18363</v>
      </c>
      <c r="K3376" s="2" t="s">
        <v>1166</v>
      </c>
      <c r="L3376" s="8" t="s">
        <v>1752</v>
      </c>
      <c r="M3376" s="8" t="s">
        <v>27</v>
      </c>
      <c r="N3376" s="2" t="s">
        <v>18364</v>
      </c>
      <c r="O3376" s="8" t="s">
        <v>550</v>
      </c>
      <c r="P3376" s="8" t="s">
        <v>401</v>
      </c>
      <c r="Q3376" s="12" t="s">
        <v>18365</v>
      </c>
      <c r="R3376" s="8" t="s">
        <v>100</v>
      </c>
      <c r="S3376" s="7" t="s">
        <v>28</v>
      </c>
      <c r="T3376" s="6"/>
      <c r="U3376" s="8"/>
    </row>
    <row r="3377" spans="1:21" ht="13" customHeight="1">
      <c r="A3377" s="8" t="s">
        <v>18356</v>
      </c>
      <c r="B3377" s="16">
        <v>33</v>
      </c>
      <c r="C3377" s="8" t="s">
        <v>20</v>
      </c>
      <c r="D3377" s="8" t="s">
        <v>48</v>
      </c>
      <c r="F3377" s="17">
        <v>41313</v>
      </c>
      <c r="G3377" s="8" t="s">
        <v>18357</v>
      </c>
      <c r="H3377" s="8" t="s">
        <v>657</v>
      </c>
      <c r="I3377" s="8" t="s">
        <v>269</v>
      </c>
      <c r="J3377" s="16" t="s">
        <v>6356</v>
      </c>
      <c r="K3377" s="2" t="s">
        <v>570</v>
      </c>
      <c r="L3377" s="8" t="s">
        <v>571</v>
      </c>
      <c r="M3377" s="8" t="s">
        <v>27</v>
      </c>
      <c r="N3377" s="2" t="s">
        <v>18358</v>
      </c>
      <c r="O3377" s="8" t="s">
        <v>550</v>
      </c>
      <c r="P3377" s="8" t="s">
        <v>401</v>
      </c>
      <c r="Q3377" s="12" t="s">
        <v>18359</v>
      </c>
      <c r="R3377" s="8" t="s">
        <v>100</v>
      </c>
      <c r="S3377" s="7" t="s">
        <v>28</v>
      </c>
      <c r="T3377" s="6"/>
      <c r="U3377" s="8"/>
    </row>
    <row r="3378" spans="1:21" ht="13" customHeight="1">
      <c r="A3378" s="8" t="s">
        <v>18366</v>
      </c>
      <c r="B3378" s="16">
        <v>27</v>
      </c>
      <c r="C3378" s="8" t="s">
        <v>20</v>
      </c>
      <c r="D3378" s="8" t="s">
        <v>37</v>
      </c>
      <c r="E3378" s="8" t="s">
        <v>18367</v>
      </c>
      <c r="F3378" s="17">
        <v>41312</v>
      </c>
      <c r="H3378" s="8" t="s">
        <v>18368</v>
      </c>
      <c r="I3378" s="8" t="s">
        <v>981</v>
      </c>
      <c r="J3378" s="16" t="s">
        <v>18369</v>
      </c>
      <c r="K3378" s="2" t="s">
        <v>16205</v>
      </c>
      <c r="L3378" s="8" t="s">
        <v>18370</v>
      </c>
      <c r="M3378" s="8" t="s">
        <v>27</v>
      </c>
      <c r="N3378" s="2" t="s">
        <v>18371</v>
      </c>
      <c r="O3378" s="8" t="s">
        <v>550</v>
      </c>
      <c r="P3378" s="8" t="s">
        <v>401</v>
      </c>
      <c r="Q3378" s="12" t="s">
        <v>18372</v>
      </c>
      <c r="R3378" s="8" t="s">
        <v>29</v>
      </c>
      <c r="S3378" s="7" t="s">
        <v>28</v>
      </c>
      <c r="T3378" s="6"/>
      <c r="U3378" s="8"/>
    </row>
    <row r="3379" spans="1:21" ht="13" customHeight="1">
      <c r="A3379" s="8" t="s">
        <v>18373</v>
      </c>
      <c r="B3379" s="16">
        <v>32</v>
      </c>
      <c r="C3379" s="8" t="s">
        <v>20</v>
      </c>
      <c r="D3379" s="8" t="s">
        <v>37</v>
      </c>
      <c r="E3379" s="8" t="s">
        <v>18374</v>
      </c>
      <c r="F3379" s="17">
        <v>41312</v>
      </c>
      <c r="G3379" s="8" t="s">
        <v>18375</v>
      </c>
      <c r="H3379" s="8" t="s">
        <v>712</v>
      </c>
      <c r="I3379" s="8" t="s">
        <v>431</v>
      </c>
      <c r="J3379" s="16" t="s">
        <v>18376</v>
      </c>
      <c r="K3379" s="2" t="s">
        <v>712</v>
      </c>
      <c r="L3379" s="8" t="s">
        <v>4545</v>
      </c>
      <c r="M3379" s="8" t="s">
        <v>27</v>
      </c>
      <c r="N3379" s="2" t="s">
        <v>18377</v>
      </c>
      <c r="O3379" s="8" t="s">
        <v>550</v>
      </c>
      <c r="P3379" s="8" t="s">
        <v>401</v>
      </c>
      <c r="Q3379" s="12" t="s">
        <v>18378</v>
      </c>
      <c r="R3379" s="8" t="s">
        <v>100</v>
      </c>
      <c r="S3379" s="7" t="s">
        <v>28</v>
      </c>
      <c r="T3379" s="6"/>
      <c r="U3379" s="8"/>
    </row>
    <row r="3380" spans="1:21" ht="13" customHeight="1">
      <c r="A3380" s="8" t="s">
        <v>18379</v>
      </c>
      <c r="B3380" s="16" t="s">
        <v>17554</v>
      </c>
      <c r="C3380" s="8" t="s">
        <v>20</v>
      </c>
      <c r="D3380" s="8" t="s">
        <v>37</v>
      </c>
      <c r="E3380" s="8" t="s">
        <v>18380</v>
      </c>
      <c r="F3380" s="17">
        <v>41310</v>
      </c>
      <c r="G3380" s="8" t="s">
        <v>18381</v>
      </c>
      <c r="H3380" s="8" t="s">
        <v>841</v>
      </c>
      <c r="I3380" s="8" t="s">
        <v>303</v>
      </c>
      <c r="J3380" s="16" t="s">
        <v>18382</v>
      </c>
      <c r="K3380" s="2" t="s">
        <v>841</v>
      </c>
      <c r="L3380" s="8" t="s">
        <v>842</v>
      </c>
      <c r="M3380" s="8" t="s">
        <v>27</v>
      </c>
      <c r="N3380" s="2" t="s">
        <v>18383</v>
      </c>
      <c r="O3380" s="8" t="s">
        <v>550</v>
      </c>
      <c r="P3380" s="8" t="s">
        <v>401</v>
      </c>
      <c r="Q3380" s="12" t="s">
        <v>18384</v>
      </c>
      <c r="R3380" s="8" t="s">
        <v>100</v>
      </c>
      <c r="S3380" s="7" t="s">
        <v>28</v>
      </c>
      <c r="T3380" s="6"/>
      <c r="U3380" s="8"/>
    </row>
    <row r="3381" spans="1:21" ht="13" customHeight="1">
      <c r="A3381" s="8" t="s">
        <v>18385</v>
      </c>
      <c r="B3381" s="16">
        <v>65</v>
      </c>
      <c r="C3381" s="8" t="s">
        <v>20</v>
      </c>
      <c r="D3381" s="8" t="s">
        <v>37</v>
      </c>
      <c r="E3381" s="8" t="s">
        <v>18386</v>
      </c>
      <c r="F3381" s="17">
        <v>41309</v>
      </c>
      <c r="H3381" s="8" t="s">
        <v>18387</v>
      </c>
      <c r="I3381" s="8" t="s">
        <v>94</v>
      </c>
      <c r="J3381" s="16" t="s">
        <v>18388</v>
      </c>
      <c r="K3381" s="2" t="s">
        <v>13777</v>
      </c>
      <c r="L3381" s="8" t="s">
        <v>405</v>
      </c>
      <c r="M3381" s="8" t="s">
        <v>27</v>
      </c>
      <c r="N3381" s="2" t="s">
        <v>18389</v>
      </c>
      <c r="O3381" s="8" t="s">
        <v>29</v>
      </c>
      <c r="P3381" s="8" t="s">
        <v>401</v>
      </c>
      <c r="Q3381" s="12" t="s">
        <v>18390</v>
      </c>
      <c r="R3381" s="8" t="s">
        <v>555</v>
      </c>
      <c r="S3381" s="7" t="s">
        <v>28</v>
      </c>
      <c r="T3381" s="6"/>
      <c r="U3381" s="8"/>
    </row>
    <row r="3382" spans="1:21" ht="13" customHeight="1">
      <c r="A3382" s="8" t="s">
        <v>18391</v>
      </c>
      <c r="B3382" s="16">
        <v>87</v>
      </c>
      <c r="C3382" s="8" t="s">
        <v>20</v>
      </c>
      <c r="D3382" s="8" t="s">
        <v>30</v>
      </c>
      <c r="F3382" s="17">
        <v>41308</v>
      </c>
      <c r="G3382" s="8" t="s">
        <v>18392</v>
      </c>
      <c r="H3382" s="8" t="s">
        <v>18393</v>
      </c>
      <c r="I3382" s="8" t="s">
        <v>73</v>
      </c>
      <c r="J3382" s="16" t="s">
        <v>18394</v>
      </c>
      <c r="K3382" s="2" t="s">
        <v>1202</v>
      </c>
      <c r="L3382" s="8" t="s">
        <v>18395</v>
      </c>
      <c r="M3382" s="8" t="s">
        <v>27</v>
      </c>
      <c r="N3382" s="2" t="s">
        <v>18396</v>
      </c>
      <c r="O3382" s="8" t="s">
        <v>1013</v>
      </c>
      <c r="P3382" s="8" t="s">
        <v>401</v>
      </c>
      <c r="Q3382" s="12" t="s">
        <v>18397</v>
      </c>
      <c r="R3382" s="8" t="s">
        <v>100</v>
      </c>
      <c r="S3382" s="7" t="s">
        <v>28</v>
      </c>
      <c r="T3382" s="6"/>
      <c r="U3382" s="8"/>
    </row>
    <row r="3383" spans="1:21" ht="13" customHeight="1">
      <c r="A3383" s="8" t="s">
        <v>18398</v>
      </c>
      <c r="B3383" s="16">
        <v>24</v>
      </c>
      <c r="C3383" s="8" t="s">
        <v>20</v>
      </c>
      <c r="D3383" s="8" t="s">
        <v>37</v>
      </c>
      <c r="E3383" s="8" t="s">
        <v>18399</v>
      </c>
      <c r="F3383" s="17">
        <v>41307</v>
      </c>
      <c r="G3383" s="8" t="s">
        <v>18400</v>
      </c>
      <c r="H3383" s="8" t="s">
        <v>18401</v>
      </c>
      <c r="I3383" s="8" t="s">
        <v>73</v>
      </c>
      <c r="J3383" s="16" t="s">
        <v>18402</v>
      </c>
      <c r="K3383" s="2" t="s">
        <v>18403</v>
      </c>
      <c r="L3383" s="8" t="s">
        <v>18404</v>
      </c>
      <c r="M3383" s="8" t="s">
        <v>27</v>
      </c>
      <c r="N3383" s="2" t="s">
        <v>18405</v>
      </c>
      <c r="O3383" s="8" t="s">
        <v>3400</v>
      </c>
      <c r="P3383" s="8" t="s">
        <v>401</v>
      </c>
      <c r="Q3383" s="12" t="s">
        <v>18406</v>
      </c>
      <c r="R3383" s="8" t="s">
        <v>555</v>
      </c>
      <c r="S3383" s="7" t="s">
        <v>28</v>
      </c>
      <c r="T3383" s="6"/>
      <c r="U3383" s="8"/>
    </row>
    <row r="3384" spans="1:21" ht="13" customHeight="1">
      <c r="A3384" s="8" t="s">
        <v>18407</v>
      </c>
      <c r="B3384" s="16">
        <v>21</v>
      </c>
      <c r="C3384" s="8" t="s">
        <v>20</v>
      </c>
      <c r="D3384" s="8" t="s">
        <v>85</v>
      </c>
      <c r="E3384" s="8" t="s">
        <v>18408</v>
      </c>
      <c r="F3384" s="17">
        <v>41306</v>
      </c>
      <c r="G3384" s="8" t="s">
        <v>18409</v>
      </c>
      <c r="H3384" s="8" t="s">
        <v>1651</v>
      </c>
      <c r="I3384" s="8" t="s">
        <v>173</v>
      </c>
      <c r="J3384" s="16" t="s">
        <v>18410</v>
      </c>
      <c r="K3384" s="2" t="s">
        <v>877</v>
      </c>
      <c r="L3384" s="8" t="s">
        <v>1653</v>
      </c>
      <c r="M3384" s="8" t="s">
        <v>27</v>
      </c>
      <c r="N3384" s="2" t="s">
        <v>18411</v>
      </c>
      <c r="O3384" s="8" t="s">
        <v>550</v>
      </c>
      <c r="P3384" s="8" t="s">
        <v>401</v>
      </c>
      <c r="Q3384" s="12" t="str">
        <f>HYPERLINK("http://www.wrdw.com/home/headlines/Deputies-respond-to-reports-of-a-shooting-at-Fox-Trace-189340421.html","http://www.wrdw.com/home/headlines/Deputies-respond-to-reports-of-a-shooting-at-Fox-Trace-189340421.html")</f>
        <v>http://www.wrdw.com/home/headlines/Deputies-respond-to-reports-of-a-shooting-at-Fox-Trace-189340421.html</v>
      </c>
      <c r="R3384" s="8" t="s">
        <v>29</v>
      </c>
      <c r="S3384" s="7" t="s">
        <v>28</v>
      </c>
      <c r="T3384" s="6"/>
      <c r="U3384" s="8"/>
    </row>
    <row r="3385" spans="1:21" ht="13" customHeight="1">
      <c r="A3385" s="8" t="s">
        <v>18412</v>
      </c>
      <c r="B3385" s="16">
        <v>30</v>
      </c>
      <c r="C3385" s="8" t="s">
        <v>114</v>
      </c>
      <c r="D3385" s="8" t="s">
        <v>48</v>
      </c>
      <c r="E3385" s="8" t="s">
        <v>18413</v>
      </c>
      <c r="F3385" s="17">
        <v>41304</v>
      </c>
      <c r="G3385" s="8" t="s">
        <v>18414</v>
      </c>
      <c r="H3385" s="8" t="s">
        <v>1301</v>
      </c>
      <c r="I3385" s="8" t="s">
        <v>209</v>
      </c>
      <c r="J3385" s="16" t="s">
        <v>14959</v>
      </c>
      <c r="K3385" s="2" t="s">
        <v>1301</v>
      </c>
      <c r="L3385" s="8" t="s">
        <v>19434</v>
      </c>
      <c r="M3385" s="8" t="s">
        <v>27</v>
      </c>
      <c r="N3385" s="2" t="s">
        <v>18415</v>
      </c>
      <c r="O3385" s="8" t="s">
        <v>550</v>
      </c>
      <c r="P3385" s="8" t="s">
        <v>401</v>
      </c>
      <c r="Q3385" s="12" t="s">
        <v>18416</v>
      </c>
      <c r="R3385" s="8" t="s">
        <v>100</v>
      </c>
      <c r="S3385" s="7" t="s">
        <v>28</v>
      </c>
      <c r="T3385" s="6"/>
      <c r="U3385" s="8"/>
    </row>
    <row r="3386" spans="1:21" ht="13" customHeight="1">
      <c r="A3386" s="8" t="s">
        <v>18417</v>
      </c>
      <c r="B3386" s="16">
        <v>33</v>
      </c>
      <c r="C3386" s="8" t="s">
        <v>20</v>
      </c>
      <c r="D3386" s="8" t="s">
        <v>48</v>
      </c>
      <c r="E3386" s="8" t="s">
        <v>18418</v>
      </c>
      <c r="F3386" s="17">
        <v>41304</v>
      </c>
      <c r="G3386" s="8" t="s">
        <v>18419</v>
      </c>
      <c r="H3386" s="8" t="s">
        <v>18420</v>
      </c>
      <c r="I3386" s="8" t="s">
        <v>45</v>
      </c>
      <c r="J3386" s="16" t="s">
        <v>18421</v>
      </c>
      <c r="K3386" s="2" t="s">
        <v>3250</v>
      </c>
      <c r="L3386" s="8" t="s">
        <v>14385</v>
      </c>
      <c r="M3386" s="8" t="s">
        <v>27</v>
      </c>
      <c r="N3386" s="2" t="s">
        <v>18422</v>
      </c>
      <c r="O3386" s="8" t="s">
        <v>550</v>
      </c>
      <c r="P3386" s="8" t="s">
        <v>401</v>
      </c>
      <c r="Q3386" s="12" t="s">
        <v>18423</v>
      </c>
      <c r="R3386" s="8" t="s">
        <v>100</v>
      </c>
      <c r="S3386" s="7" t="s">
        <v>28</v>
      </c>
      <c r="T3386" s="6"/>
      <c r="U3386" s="8"/>
    </row>
    <row r="3387" spans="1:21" ht="13" customHeight="1">
      <c r="A3387" s="8" t="s">
        <v>18424</v>
      </c>
      <c r="B3387" s="16">
        <v>31</v>
      </c>
      <c r="C3387" s="8" t="s">
        <v>20</v>
      </c>
      <c r="D3387" s="8" t="s">
        <v>30</v>
      </c>
      <c r="F3387" s="17">
        <v>41303</v>
      </c>
      <c r="G3387" s="8" t="s">
        <v>18425</v>
      </c>
      <c r="H3387" s="8" t="s">
        <v>18426</v>
      </c>
      <c r="I3387" s="8" t="s">
        <v>94</v>
      </c>
      <c r="J3387" s="16" t="s">
        <v>18427</v>
      </c>
      <c r="K3387" s="2" t="s">
        <v>433</v>
      </c>
      <c r="L3387" s="8" t="s">
        <v>18428</v>
      </c>
      <c r="M3387" s="8" t="s">
        <v>27</v>
      </c>
      <c r="N3387" s="2" t="s">
        <v>18429</v>
      </c>
      <c r="O3387" s="8" t="s">
        <v>550</v>
      </c>
      <c r="P3387" s="8" t="s">
        <v>401</v>
      </c>
      <c r="Q3387" s="12" t="s">
        <v>18430</v>
      </c>
      <c r="R3387" s="8" t="s">
        <v>29</v>
      </c>
      <c r="S3387" s="7" t="s">
        <v>28</v>
      </c>
      <c r="T3387" s="6"/>
      <c r="U3387" s="8"/>
    </row>
    <row r="3388" spans="1:21" ht="13" customHeight="1">
      <c r="A3388" s="8" t="s">
        <v>18445</v>
      </c>
      <c r="B3388" s="16" t="s">
        <v>13493</v>
      </c>
      <c r="C3388" s="8" t="s">
        <v>20</v>
      </c>
      <c r="D3388" s="8" t="s">
        <v>37</v>
      </c>
      <c r="E3388" s="8" t="s">
        <v>18446</v>
      </c>
      <c r="F3388" s="17">
        <v>41303</v>
      </c>
      <c r="G3388" s="8" t="s">
        <v>18447</v>
      </c>
      <c r="H3388" s="8" t="s">
        <v>18448</v>
      </c>
      <c r="I3388" s="8" t="s">
        <v>395</v>
      </c>
      <c r="J3388" s="16" t="s">
        <v>18449</v>
      </c>
      <c r="K3388" s="2" t="s">
        <v>12335</v>
      </c>
      <c r="L3388" s="8" t="s">
        <v>18450</v>
      </c>
      <c r="M3388" s="8" t="s">
        <v>27</v>
      </c>
      <c r="N3388" s="2" t="s">
        <v>18451</v>
      </c>
      <c r="O3388" s="8" t="s">
        <v>550</v>
      </c>
      <c r="P3388" s="8" t="s">
        <v>401</v>
      </c>
      <c r="Q3388" s="12" t="s">
        <v>18452</v>
      </c>
      <c r="R3388" s="8" t="s">
        <v>29</v>
      </c>
      <c r="S3388" s="7" t="s">
        <v>28</v>
      </c>
      <c r="T3388" s="6"/>
      <c r="U3388" s="8"/>
    </row>
    <row r="3389" spans="1:21" ht="13" customHeight="1">
      <c r="A3389" s="8" t="s">
        <v>18438</v>
      </c>
      <c r="B3389" s="16">
        <v>31</v>
      </c>
      <c r="C3389" s="8" t="s">
        <v>20</v>
      </c>
      <c r="D3389" s="8" t="s">
        <v>37</v>
      </c>
      <c r="E3389" s="8" t="s">
        <v>18439</v>
      </c>
      <c r="F3389" s="17">
        <v>41303</v>
      </c>
      <c r="G3389" s="8" t="s">
        <v>18440</v>
      </c>
      <c r="H3389" s="8" t="s">
        <v>18441</v>
      </c>
      <c r="I3389" s="8" t="s">
        <v>73</v>
      </c>
      <c r="J3389" s="16">
        <v>76117</v>
      </c>
      <c r="K3389" s="2" t="s">
        <v>74</v>
      </c>
      <c r="L3389" s="8" t="s">
        <v>18442</v>
      </c>
      <c r="M3389" s="8" t="s">
        <v>27</v>
      </c>
      <c r="N3389" s="2" t="s">
        <v>18443</v>
      </c>
      <c r="O3389" s="8" t="s">
        <v>29</v>
      </c>
      <c r="P3389" s="8" t="s">
        <v>401</v>
      </c>
      <c r="Q3389" s="12" t="s">
        <v>18444</v>
      </c>
      <c r="R3389" s="8" t="s">
        <v>100</v>
      </c>
      <c r="S3389" s="7" t="s">
        <v>28</v>
      </c>
      <c r="T3389" s="6"/>
      <c r="U3389" s="8"/>
    </row>
    <row r="3390" spans="1:21" ht="13" customHeight="1">
      <c r="A3390" s="8" t="s">
        <v>18431</v>
      </c>
      <c r="B3390" s="16">
        <v>32</v>
      </c>
      <c r="C3390" s="8" t="s">
        <v>114</v>
      </c>
      <c r="D3390" s="8" t="s">
        <v>37</v>
      </c>
      <c r="E3390" s="8" t="s">
        <v>18432</v>
      </c>
      <c r="F3390" s="17">
        <v>41303</v>
      </c>
      <c r="G3390" s="8" t="s">
        <v>18433</v>
      </c>
      <c r="H3390" s="8" t="s">
        <v>9489</v>
      </c>
      <c r="I3390" s="8" t="s">
        <v>366</v>
      </c>
      <c r="J3390" s="16" t="s">
        <v>18434</v>
      </c>
      <c r="K3390" s="2" t="s">
        <v>9491</v>
      </c>
      <c r="L3390" s="8" t="s">
        <v>18435</v>
      </c>
      <c r="M3390" s="8" t="s">
        <v>27</v>
      </c>
      <c r="N3390" s="2" t="s">
        <v>18436</v>
      </c>
      <c r="O3390" s="8" t="s">
        <v>550</v>
      </c>
      <c r="P3390" s="8" t="s">
        <v>401</v>
      </c>
      <c r="Q3390" s="12" t="s">
        <v>18437</v>
      </c>
      <c r="R3390" s="8" t="s">
        <v>555</v>
      </c>
      <c r="S3390" s="7" t="s">
        <v>28</v>
      </c>
      <c r="T3390" s="6"/>
      <c r="U3390" s="8"/>
    </row>
    <row r="3391" spans="1:21" ht="13" customHeight="1">
      <c r="A3391" s="8" t="s">
        <v>18453</v>
      </c>
      <c r="B3391" s="16">
        <v>29</v>
      </c>
      <c r="C3391" s="8" t="s">
        <v>20</v>
      </c>
      <c r="D3391" s="8" t="s">
        <v>85</v>
      </c>
      <c r="E3391" s="8" t="s">
        <v>18454</v>
      </c>
      <c r="F3391" s="17">
        <v>41302</v>
      </c>
      <c r="G3391" s="8" t="s">
        <v>18455</v>
      </c>
      <c r="H3391" s="8" t="s">
        <v>12362</v>
      </c>
      <c r="I3391" s="8" t="s">
        <v>404</v>
      </c>
      <c r="J3391" s="16" t="s">
        <v>18456</v>
      </c>
      <c r="K3391" s="2" t="s">
        <v>4566</v>
      </c>
      <c r="L3391" s="8" t="s">
        <v>18457</v>
      </c>
      <c r="M3391" s="8" t="s">
        <v>27</v>
      </c>
      <c r="N3391" s="2" t="s">
        <v>18458</v>
      </c>
      <c r="O3391" s="8" t="s">
        <v>550</v>
      </c>
      <c r="P3391" s="8" t="s">
        <v>401</v>
      </c>
      <c r="Q3391" s="12" t="s">
        <v>18459</v>
      </c>
      <c r="R3391" s="8" t="s">
        <v>2209</v>
      </c>
      <c r="S3391" s="7" t="s">
        <v>28</v>
      </c>
      <c r="T3391" s="6"/>
      <c r="U3391" s="8"/>
    </row>
    <row r="3392" spans="1:21" ht="13" customHeight="1">
      <c r="A3392" s="8" t="s">
        <v>18466</v>
      </c>
      <c r="B3392" s="16">
        <v>38</v>
      </c>
      <c r="C3392" s="8" t="s">
        <v>20</v>
      </c>
      <c r="D3392" s="8" t="s">
        <v>85</v>
      </c>
      <c r="E3392" s="8" t="s">
        <v>18467</v>
      </c>
      <c r="F3392" s="17">
        <v>41302</v>
      </c>
      <c r="G3392" s="8" t="s">
        <v>18468</v>
      </c>
      <c r="H3392" s="8" t="s">
        <v>653</v>
      </c>
      <c r="I3392" s="8" t="s">
        <v>62</v>
      </c>
      <c r="J3392" s="16" t="s">
        <v>18469</v>
      </c>
      <c r="K3392" s="2" t="s">
        <v>654</v>
      </c>
      <c r="L3392" s="8" t="s">
        <v>655</v>
      </c>
      <c r="M3392" s="8" t="s">
        <v>27</v>
      </c>
      <c r="N3392" s="2" t="s">
        <v>18470</v>
      </c>
      <c r="O3392" s="8" t="s">
        <v>1013</v>
      </c>
      <c r="P3392" s="8" t="s">
        <v>401</v>
      </c>
      <c r="Q3392" s="59" t="str">
        <f>HYPERLINK("http://jacksonville.com/news/crime/2014-09-06/story/lawsuit-pits-family-against-jacksonville-police-over-fatal-police","http://jacksonville.com/news/crime/2014-09-06/story/lawsuit-pits-family-against-jacksonville-police-over-fatal-police")</f>
        <v>http://jacksonville.com/news/crime/2014-09-06/story/lawsuit-pits-family-against-jacksonville-police-over-fatal-police</v>
      </c>
      <c r="R3392" s="8" t="s">
        <v>100</v>
      </c>
      <c r="S3392" s="7" t="s">
        <v>18</v>
      </c>
      <c r="T3392" s="6"/>
      <c r="U3392" s="8"/>
    </row>
    <row r="3393" spans="1:34" ht="13" customHeight="1">
      <c r="A3393" s="8" t="s">
        <v>18460</v>
      </c>
      <c r="B3393" s="16">
        <v>24</v>
      </c>
      <c r="C3393" s="8" t="s">
        <v>20</v>
      </c>
      <c r="D3393" s="8" t="s">
        <v>85</v>
      </c>
      <c r="E3393" s="8" t="s">
        <v>18461</v>
      </c>
      <c r="F3393" s="17">
        <v>41302</v>
      </c>
      <c r="G3393" s="8" t="s">
        <v>18462</v>
      </c>
      <c r="H3393" s="8" t="s">
        <v>6468</v>
      </c>
      <c r="I3393" s="8" t="s">
        <v>62</v>
      </c>
      <c r="J3393" s="16" t="s">
        <v>18463</v>
      </c>
      <c r="K3393" s="2" t="s">
        <v>1127</v>
      </c>
      <c r="L3393" s="8" t="s">
        <v>6470</v>
      </c>
      <c r="M3393" s="8" t="s">
        <v>379</v>
      </c>
      <c r="N3393" s="2" t="s">
        <v>18464</v>
      </c>
      <c r="O3393" s="8" t="s">
        <v>1013</v>
      </c>
      <c r="P3393" s="8" t="s">
        <v>401</v>
      </c>
      <c r="Q3393" s="12" t="s">
        <v>18465</v>
      </c>
      <c r="R3393" s="8" t="s">
        <v>100</v>
      </c>
      <c r="S3393" s="7" t="s">
        <v>379</v>
      </c>
      <c r="T3393" s="6"/>
      <c r="U3393" s="8"/>
    </row>
    <row r="3394" spans="1:34" ht="13" customHeight="1">
      <c r="A3394" s="8" t="s">
        <v>18476</v>
      </c>
      <c r="B3394" s="16">
        <v>50</v>
      </c>
      <c r="C3394" s="8" t="s">
        <v>20</v>
      </c>
      <c r="D3394" s="8" t="s">
        <v>37</v>
      </c>
      <c r="E3394" s="8" t="s">
        <v>18477</v>
      </c>
      <c r="F3394" s="17">
        <v>41302</v>
      </c>
      <c r="G3394" s="8" t="s">
        <v>18478</v>
      </c>
      <c r="H3394" s="8" t="s">
        <v>3802</v>
      </c>
      <c r="I3394" s="8" t="s">
        <v>431</v>
      </c>
      <c r="J3394" s="16" t="s">
        <v>18479</v>
      </c>
      <c r="K3394" s="2" t="s">
        <v>18480</v>
      </c>
      <c r="L3394" s="8" t="s">
        <v>9965</v>
      </c>
      <c r="M3394" s="8" t="s">
        <v>27</v>
      </c>
      <c r="N3394" s="2" t="s">
        <v>18481</v>
      </c>
      <c r="O3394" s="8" t="s">
        <v>550</v>
      </c>
      <c r="P3394" s="8" t="s">
        <v>401</v>
      </c>
      <c r="Q3394" s="12" t="s">
        <v>18482</v>
      </c>
      <c r="R3394" s="8" t="s">
        <v>967</v>
      </c>
      <c r="S3394" s="7" t="s">
        <v>28</v>
      </c>
      <c r="T3394" s="6"/>
      <c r="U3394" s="8"/>
    </row>
    <row r="3395" spans="1:34" ht="13" customHeight="1">
      <c r="A3395" s="8" t="s">
        <v>18471</v>
      </c>
      <c r="B3395" s="16">
        <v>51</v>
      </c>
      <c r="C3395" s="8" t="s">
        <v>20</v>
      </c>
      <c r="D3395" s="8" t="s">
        <v>37</v>
      </c>
      <c r="E3395" s="8" t="s">
        <v>18472</v>
      </c>
      <c r="F3395" s="17">
        <v>41302</v>
      </c>
      <c r="G3395" s="8" t="s">
        <v>18473</v>
      </c>
      <c r="H3395" s="8" t="s">
        <v>200</v>
      </c>
      <c r="I3395" s="8" t="s">
        <v>45</v>
      </c>
      <c r="J3395" s="16" t="s">
        <v>13250</v>
      </c>
      <c r="K3395" s="2" t="s">
        <v>200</v>
      </c>
      <c r="L3395" s="8" t="s">
        <v>1602</v>
      </c>
      <c r="M3395" s="8" t="s">
        <v>27</v>
      </c>
      <c r="N3395" s="2" t="s">
        <v>18474</v>
      </c>
      <c r="O3395" s="8" t="s">
        <v>1013</v>
      </c>
      <c r="P3395" s="8" t="s">
        <v>401</v>
      </c>
      <c r="Q3395" s="12" t="s">
        <v>18475</v>
      </c>
      <c r="R3395" s="8" t="s">
        <v>555</v>
      </c>
      <c r="S3395" s="7" t="s">
        <v>28</v>
      </c>
      <c r="T3395" s="6"/>
      <c r="U3395" s="8"/>
    </row>
    <row r="3396" spans="1:34" ht="13" customHeight="1">
      <c r="A3396" s="8" t="s">
        <v>18484</v>
      </c>
      <c r="B3396" s="16">
        <v>30</v>
      </c>
      <c r="C3396" s="8" t="s">
        <v>20</v>
      </c>
      <c r="D3396" s="8" t="s">
        <v>30</v>
      </c>
      <c r="F3396" s="17">
        <v>41301</v>
      </c>
      <c r="G3396" s="8" t="s">
        <v>18485</v>
      </c>
      <c r="H3396" s="8" t="s">
        <v>18486</v>
      </c>
      <c r="I3396" s="8" t="s">
        <v>44</v>
      </c>
      <c r="J3396" s="16" t="s">
        <v>18487</v>
      </c>
      <c r="K3396" s="2" t="s">
        <v>88</v>
      </c>
      <c r="L3396" s="8" t="s">
        <v>4173</v>
      </c>
      <c r="M3396" s="8" t="s">
        <v>27</v>
      </c>
      <c r="N3396" s="2" t="s">
        <v>18488</v>
      </c>
      <c r="O3396" s="8" t="s">
        <v>1013</v>
      </c>
      <c r="P3396" s="8" t="s">
        <v>401</v>
      </c>
      <c r="Q3396" s="12" t="s">
        <v>18489</v>
      </c>
      <c r="R3396" s="8" t="s">
        <v>100</v>
      </c>
      <c r="S3396" s="7" t="s">
        <v>28</v>
      </c>
      <c r="T3396" s="6"/>
      <c r="U3396" s="8"/>
    </row>
    <row r="3397" spans="1:34" ht="13" customHeight="1">
      <c r="A3397" s="8" t="s">
        <v>18490</v>
      </c>
      <c r="B3397" s="16">
        <v>32</v>
      </c>
      <c r="C3397" s="8" t="s">
        <v>20</v>
      </c>
      <c r="D3397" s="8" t="s">
        <v>30</v>
      </c>
      <c r="F3397" s="17">
        <v>41301</v>
      </c>
      <c r="G3397" s="8" t="s">
        <v>18491</v>
      </c>
      <c r="H3397" s="8" t="s">
        <v>1211</v>
      </c>
      <c r="I3397" s="8" t="s">
        <v>303</v>
      </c>
      <c r="J3397" s="16" t="s">
        <v>18492</v>
      </c>
      <c r="K3397" s="2" t="s">
        <v>1212</v>
      </c>
      <c r="L3397" s="8" t="s">
        <v>1213</v>
      </c>
      <c r="M3397" s="8" t="s">
        <v>27</v>
      </c>
      <c r="N3397" s="2" t="s">
        <v>18493</v>
      </c>
      <c r="O3397" s="8" t="s">
        <v>1013</v>
      </c>
      <c r="P3397" s="8" t="s">
        <v>401</v>
      </c>
      <c r="Q3397" s="12" t="s">
        <v>18494</v>
      </c>
      <c r="R3397" s="8" t="s">
        <v>100</v>
      </c>
      <c r="S3397" s="7" t="s">
        <v>28</v>
      </c>
      <c r="T3397" s="6"/>
      <c r="U3397" s="8"/>
    </row>
    <row r="3398" spans="1:34" ht="13" customHeight="1">
      <c r="A3398" s="8" t="s">
        <v>18500</v>
      </c>
      <c r="B3398" s="16" t="s">
        <v>16144</v>
      </c>
      <c r="C3398" s="8" t="s">
        <v>20</v>
      </c>
      <c r="D3398" s="8" t="s">
        <v>85</v>
      </c>
      <c r="E3398" s="8" t="s">
        <v>18501</v>
      </c>
      <c r="F3398" s="17">
        <v>41299</v>
      </c>
      <c r="G3398" s="8" t="s">
        <v>18502</v>
      </c>
      <c r="H3398" s="8" t="s">
        <v>561</v>
      </c>
      <c r="I3398" s="8" t="s">
        <v>123</v>
      </c>
      <c r="J3398" s="16">
        <v>85716</v>
      </c>
      <c r="K3398" s="2" t="s">
        <v>562</v>
      </c>
      <c r="L3398" s="8" t="s">
        <v>563</v>
      </c>
      <c r="M3398" s="8" t="s">
        <v>27</v>
      </c>
      <c r="N3398" s="2" t="s">
        <v>18503</v>
      </c>
      <c r="O3398" s="8" t="s">
        <v>29</v>
      </c>
      <c r="P3398" s="8" t="s">
        <v>401</v>
      </c>
      <c r="Q3398" s="12" t="s">
        <v>18504</v>
      </c>
      <c r="R3398" s="8" t="s">
        <v>100</v>
      </c>
      <c r="S3398" s="7" t="s">
        <v>28</v>
      </c>
      <c r="T3398" s="6"/>
      <c r="U3398" s="8"/>
    </row>
    <row r="3399" spans="1:34" ht="13" customHeight="1">
      <c r="A3399" s="8" t="s">
        <v>18495</v>
      </c>
      <c r="B3399" s="16">
        <v>41</v>
      </c>
      <c r="C3399" s="8" t="s">
        <v>20</v>
      </c>
      <c r="D3399" s="8" t="s">
        <v>85</v>
      </c>
      <c r="F3399" s="17">
        <v>41299</v>
      </c>
      <c r="G3399" s="8" t="s">
        <v>18496</v>
      </c>
      <c r="H3399" s="8" t="s">
        <v>1596</v>
      </c>
      <c r="I3399" s="8" t="s">
        <v>52</v>
      </c>
      <c r="J3399" s="16" t="s">
        <v>18497</v>
      </c>
      <c r="K3399" s="2" t="s">
        <v>4727</v>
      </c>
      <c r="L3399" s="8" t="s">
        <v>2782</v>
      </c>
      <c r="M3399" s="8" t="s">
        <v>27</v>
      </c>
      <c r="N3399" s="2" t="s">
        <v>18498</v>
      </c>
      <c r="O3399" s="8" t="s">
        <v>1013</v>
      </c>
      <c r="P3399" s="8" t="s">
        <v>401</v>
      </c>
      <c r="Q3399" s="12" t="s">
        <v>18499</v>
      </c>
      <c r="R3399" s="8" t="s">
        <v>100</v>
      </c>
      <c r="S3399" s="7" t="s">
        <v>28</v>
      </c>
      <c r="T3399" s="6"/>
      <c r="U3399" s="8"/>
    </row>
    <row r="3400" spans="1:34" ht="13" customHeight="1">
      <c r="A3400" s="8" t="s">
        <v>18505</v>
      </c>
      <c r="B3400" s="16">
        <v>16</v>
      </c>
      <c r="C3400" s="8" t="s">
        <v>20</v>
      </c>
      <c r="D3400" s="8" t="s">
        <v>37</v>
      </c>
      <c r="E3400" s="8" t="s">
        <v>18506</v>
      </c>
      <c r="F3400" s="17">
        <v>41299</v>
      </c>
      <c r="G3400" s="8" t="s">
        <v>18507</v>
      </c>
      <c r="H3400" s="8" t="s">
        <v>3362</v>
      </c>
      <c r="I3400" s="8" t="s">
        <v>303</v>
      </c>
      <c r="J3400" s="16" t="s">
        <v>18508</v>
      </c>
      <c r="K3400" s="2" t="s">
        <v>570</v>
      </c>
      <c r="L3400" s="8" t="s">
        <v>5671</v>
      </c>
      <c r="M3400" s="8" t="s">
        <v>27</v>
      </c>
      <c r="N3400" s="2" t="s">
        <v>18509</v>
      </c>
      <c r="O3400" s="8" t="s">
        <v>550</v>
      </c>
      <c r="P3400" s="8" t="s">
        <v>401</v>
      </c>
      <c r="Q3400" s="12" t="s">
        <v>18510</v>
      </c>
      <c r="R3400" s="8" t="s">
        <v>100</v>
      </c>
      <c r="S3400" s="7" t="s">
        <v>28</v>
      </c>
      <c r="T3400" s="6"/>
      <c r="U3400" s="8"/>
    </row>
    <row r="3401" spans="1:34" ht="13" customHeight="1">
      <c r="A3401" s="8" t="s">
        <v>18511</v>
      </c>
      <c r="B3401" s="16">
        <v>22</v>
      </c>
      <c r="C3401" s="8" t="s">
        <v>20</v>
      </c>
      <c r="D3401" s="8" t="s">
        <v>85</v>
      </c>
      <c r="E3401" s="8" t="s">
        <v>18512</v>
      </c>
      <c r="F3401" s="17">
        <v>41298</v>
      </c>
      <c r="G3401" s="8" t="s">
        <v>18513</v>
      </c>
      <c r="H3401" s="8" t="s">
        <v>5986</v>
      </c>
      <c r="I3401" s="8" t="s">
        <v>366</v>
      </c>
      <c r="J3401" s="16" t="s">
        <v>18514</v>
      </c>
      <c r="K3401" s="2" t="s">
        <v>3167</v>
      </c>
      <c r="L3401" s="8" t="s">
        <v>5988</v>
      </c>
      <c r="M3401" s="8" t="s">
        <v>27</v>
      </c>
      <c r="N3401" s="2" t="s">
        <v>18515</v>
      </c>
      <c r="O3401" s="8" t="s">
        <v>550</v>
      </c>
      <c r="P3401" s="8" t="s">
        <v>401</v>
      </c>
      <c r="Q3401" s="12" t="s">
        <v>18516</v>
      </c>
      <c r="R3401" s="8" t="s">
        <v>100</v>
      </c>
      <c r="S3401" s="7" t="s">
        <v>28</v>
      </c>
      <c r="T3401" s="6"/>
      <c r="U3401" s="8"/>
    </row>
    <row r="3402" spans="1:34" ht="13" customHeight="1">
      <c r="A3402" s="8" t="s">
        <v>18517</v>
      </c>
      <c r="B3402" s="16">
        <v>60</v>
      </c>
      <c r="C3402" s="8" t="s">
        <v>114</v>
      </c>
      <c r="D3402" s="8" t="s">
        <v>85</v>
      </c>
      <c r="E3402" s="8" t="s">
        <v>18518</v>
      </c>
      <c r="F3402" s="17">
        <v>41298</v>
      </c>
      <c r="G3402" s="8" t="s">
        <v>18519</v>
      </c>
      <c r="H3402" s="8" t="s">
        <v>7072</v>
      </c>
      <c r="I3402" s="8" t="s">
        <v>25</v>
      </c>
      <c r="J3402" s="16" t="s">
        <v>7073</v>
      </c>
      <c r="K3402" s="2" t="s">
        <v>7074</v>
      </c>
      <c r="L3402" s="8" t="s">
        <v>18520</v>
      </c>
      <c r="M3402" s="8" t="s">
        <v>27</v>
      </c>
      <c r="N3402" s="2" t="s">
        <v>18521</v>
      </c>
      <c r="O3402" s="8" t="s">
        <v>18522</v>
      </c>
      <c r="P3402" s="8" t="s">
        <v>401</v>
      </c>
      <c r="Q3402" s="12" t="s">
        <v>18523</v>
      </c>
      <c r="R3402" s="8" t="s">
        <v>100</v>
      </c>
      <c r="S3402" s="7" t="s">
        <v>28</v>
      </c>
      <c r="T3402" s="6"/>
      <c r="U3402" s="8"/>
    </row>
    <row r="3403" spans="1:34" ht="13" customHeight="1">
      <c r="A3403" s="8" t="s">
        <v>18524</v>
      </c>
      <c r="B3403" s="16">
        <v>22</v>
      </c>
      <c r="C3403" s="8" t="s">
        <v>20</v>
      </c>
      <c r="D3403" s="8" t="s">
        <v>30</v>
      </c>
      <c r="F3403" s="17">
        <v>41298</v>
      </c>
      <c r="G3403" s="8" t="s">
        <v>18525</v>
      </c>
      <c r="H3403" s="8" t="s">
        <v>12464</v>
      </c>
      <c r="I3403" s="8" t="s">
        <v>73</v>
      </c>
      <c r="J3403" s="16" t="s">
        <v>18526</v>
      </c>
      <c r="K3403" s="2" t="s">
        <v>74</v>
      </c>
      <c r="L3403" s="8" t="s">
        <v>12466</v>
      </c>
      <c r="M3403" s="8" t="s">
        <v>27</v>
      </c>
      <c r="N3403" s="2" t="s">
        <v>18527</v>
      </c>
      <c r="O3403" s="8" t="s">
        <v>1013</v>
      </c>
      <c r="P3403" s="8" t="s">
        <v>401</v>
      </c>
      <c r="Q3403" s="12" t="s">
        <v>18528</v>
      </c>
      <c r="R3403" s="8" t="s">
        <v>100</v>
      </c>
      <c r="S3403" s="7" t="s">
        <v>28</v>
      </c>
      <c r="T3403" s="6"/>
      <c r="U3403" s="8"/>
    </row>
    <row r="3404" spans="1:34" ht="13" customHeight="1">
      <c r="A3404" s="8" t="s">
        <v>18529</v>
      </c>
      <c r="B3404" s="16">
        <v>34</v>
      </c>
      <c r="C3404" s="8" t="s">
        <v>20</v>
      </c>
      <c r="D3404" s="8" t="s">
        <v>37</v>
      </c>
      <c r="E3404" s="8" t="s">
        <v>18530</v>
      </c>
      <c r="F3404" s="17">
        <v>41298</v>
      </c>
      <c r="G3404" s="8" t="s">
        <v>18531</v>
      </c>
      <c r="H3404" s="8" t="s">
        <v>2350</v>
      </c>
      <c r="I3404" s="8" t="s">
        <v>57</v>
      </c>
      <c r="J3404" s="16" t="s">
        <v>18532</v>
      </c>
      <c r="K3404" s="2" t="s">
        <v>2350</v>
      </c>
      <c r="L3404" s="8" t="s">
        <v>18533</v>
      </c>
      <c r="M3404" s="8" t="s">
        <v>27</v>
      </c>
      <c r="N3404" s="2" t="s">
        <v>18534</v>
      </c>
      <c r="O3404" s="8" t="s">
        <v>550</v>
      </c>
      <c r="P3404" s="8" t="s">
        <v>401</v>
      </c>
      <c r="Q3404" s="12" t="s">
        <v>18535</v>
      </c>
      <c r="R3404" s="8" t="s">
        <v>100</v>
      </c>
      <c r="S3404" s="7" t="s">
        <v>28</v>
      </c>
      <c r="T3404" s="6"/>
      <c r="U3404" s="8"/>
    </row>
    <row r="3405" spans="1:34" ht="13" customHeight="1">
      <c r="A3405" s="8" t="s">
        <v>18536</v>
      </c>
      <c r="B3405" s="16" t="s">
        <v>16123</v>
      </c>
      <c r="C3405" s="8" t="s">
        <v>20</v>
      </c>
      <c r="D3405" s="8" t="s">
        <v>85</v>
      </c>
      <c r="E3405" s="8" t="s">
        <v>18537</v>
      </c>
      <c r="F3405" s="17">
        <v>41297</v>
      </c>
      <c r="G3405" s="8" t="s">
        <v>18538</v>
      </c>
      <c r="H3405" s="8" t="s">
        <v>18539</v>
      </c>
      <c r="I3405" s="8" t="s">
        <v>73</v>
      </c>
      <c r="J3405" s="16" t="s">
        <v>18540</v>
      </c>
      <c r="K3405" s="2" t="s">
        <v>1579</v>
      </c>
      <c r="L3405" s="8" t="s">
        <v>18541</v>
      </c>
      <c r="M3405" s="8" t="s">
        <v>27</v>
      </c>
      <c r="N3405" s="2" t="s">
        <v>18542</v>
      </c>
      <c r="O3405" s="8" t="s">
        <v>550</v>
      </c>
      <c r="P3405" s="8" t="s">
        <v>401</v>
      </c>
      <c r="Q3405" s="12" t="s">
        <v>18543</v>
      </c>
      <c r="R3405" s="8" t="s">
        <v>555</v>
      </c>
      <c r="S3405" s="7" t="s">
        <v>28</v>
      </c>
      <c r="T3405" s="6"/>
      <c r="U3405" s="8"/>
      <c r="Y3405" s="8"/>
      <c r="Z3405" s="8"/>
      <c r="AA3405" s="8"/>
      <c r="AB3405" s="8"/>
      <c r="AC3405" s="8"/>
      <c r="AD3405" s="8"/>
      <c r="AE3405" s="8"/>
      <c r="AF3405" s="8"/>
      <c r="AG3405" s="8"/>
      <c r="AH3405" s="8"/>
    </row>
    <row r="3406" spans="1:34" ht="13" customHeight="1">
      <c r="A3406" s="8" t="s">
        <v>18549</v>
      </c>
      <c r="B3406" s="16">
        <v>20</v>
      </c>
      <c r="C3406" s="8" t="s">
        <v>20</v>
      </c>
      <c r="D3406" s="8" t="s">
        <v>30</v>
      </c>
      <c r="F3406" s="17">
        <v>41296</v>
      </c>
      <c r="G3406" s="8" t="s">
        <v>18550</v>
      </c>
      <c r="H3406" s="8" t="s">
        <v>18551</v>
      </c>
      <c r="I3406" s="8" t="s">
        <v>209</v>
      </c>
      <c r="J3406" s="16" t="s">
        <v>18552</v>
      </c>
      <c r="K3406" s="2" t="s">
        <v>18553</v>
      </c>
      <c r="L3406" s="8" t="s">
        <v>18554</v>
      </c>
      <c r="M3406" s="8" t="s">
        <v>27</v>
      </c>
      <c r="N3406" s="2" t="s">
        <v>18555</v>
      </c>
      <c r="O3406" s="8" t="s">
        <v>550</v>
      </c>
      <c r="P3406" s="8" t="s">
        <v>401</v>
      </c>
      <c r="Q3406" s="12" t="s">
        <v>18556</v>
      </c>
      <c r="R3406" s="8" t="s">
        <v>100</v>
      </c>
      <c r="S3406" s="7" t="s">
        <v>28</v>
      </c>
      <c r="T3406" s="6"/>
      <c r="U3406" s="8"/>
      <c r="V3406" s="8"/>
      <c r="W3406" s="8"/>
      <c r="X3406" s="8"/>
    </row>
    <row r="3407" spans="1:34" ht="13" customHeight="1">
      <c r="A3407" s="8" t="s">
        <v>18544</v>
      </c>
      <c r="B3407" s="16">
        <v>33</v>
      </c>
      <c r="C3407" s="8" t="s">
        <v>20</v>
      </c>
      <c r="D3407" s="8" t="s">
        <v>30</v>
      </c>
      <c r="F3407" s="17">
        <v>41296</v>
      </c>
      <c r="G3407" s="8" t="s">
        <v>18545</v>
      </c>
      <c r="H3407" s="8" t="s">
        <v>12612</v>
      </c>
      <c r="I3407" s="8" t="s">
        <v>195</v>
      </c>
      <c r="J3407" s="16" t="s">
        <v>18546</v>
      </c>
      <c r="K3407" s="2" t="s">
        <v>5773</v>
      </c>
      <c r="L3407" s="8" t="s">
        <v>12614</v>
      </c>
      <c r="M3407" s="8" t="s">
        <v>27</v>
      </c>
      <c r="N3407" s="2" t="s">
        <v>18547</v>
      </c>
      <c r="O3407" s="8" t="s">
        <v>1013</v>
      </c>
      <c r="P3407" s="8" t="s">
        <v>401</v>
      </c>
      <c r="Q3407" s="12" t="s">
        <v>18548</v>
      </c>
      <c r="R3407" s="8" t="s">
        <v>29</v>
      </c>
      <c r="S3407" s="7" t="s">
        <v>28</v>
      </c>
      <c r="T3407" s="6"/>
      <c r="U3407" s="8"/>
    </row>
    <row r="3408" spans="1:34" ht="13" customHeight="1">
      <c r="A3408" s="8" t="s">
        <v>18561</v>
      </c>
      <c r="B3408" s="16">
        <v>46</v>
      </c>
      <c r="C3408" s="8" t="s">
        <v>114</v>
      </c>
      <c r="D3408" s="8" t="s">
        <v>37</v>
      </c>
      <c r="E3408" s="8" t="s">
        <v>18562</v>
      </c>
      <c r="F3408" s="17">
        <v>41296</v>
      </c>
      <c r="G3408" s="8" t="s">
        <v>18558</v>
      </c>
      <c r="H3408" s="8" t="s">
        <v>3225</v>
      </c>
      <c r="I3408" s="8" t="s">
        <v>269</v>
      </c>
      <c r="J3408" s="16" t="s">
        <v>3226</v>
      </c>
      <c r="K3408" s="2" t="s">
        <v>570</v>
      </c>
      <c r="L3408" s="8" t="s">
        <v>571</v>
      </c>
      <c r="M3408" s="8" t="s">
        <v>27</v>
      </c>
      <c r="N3408" s="2" t="s">
        <v>18563</v>
      </c>
      <c r="O3408" s="8" t="s">
        <v>1161</v>
      </c>
      <c r="P3408" s="8" t="s">
        <v>1162</v>
      </c>
      <c r="Q3408" s="12" t="s">
        <v>18560</v>
      </c>
      <c r="R3408" s="8" t="s">
        <v>100</v>
      </c>
      <c r="S3408" s="7" t="s">
        <v>28</v>
      </c>
      <c r="T3408" s="6"/>
      <c r="U3408" s="8"/>
    </row>
    <row r="3409" spans="1:34" ht="13" customHeight="1">
      <c r="A3409" s="8" t="s">
        <v>18557</v>
      </c>
      <c r="B3409" s="16">
        <v>5</v>
      </c>
      <c r="C3409" s="8" t="s">
        <v>20</v>
      </c>
      <c r="D3409" s="8" t="s">
        <v>37</v>
      </c>
      <c r="F3409" s="17">
        <v>41296</v>
      </c>
      <c r="G3409" s="8" t="s">
        <v>18558</v>
      </c>
      <c r="H3409" s="8" t="s">
        <v>3225</v>
      </c>
      <c r="I3409" s="8" t="s">
        <v>269</v>
      </c>
      <c r="J3409" s="16" t="s">
        <v>3226</v>
      </c>
      <c r="K3409" s="2" t="s">
        <v>570</v>
      </c>
      <c r="L3409" s="8" t="s">
        <v>571</v>
      </c>
      <c r="M3409" s="8" t="s">
        <v>27</v>
      </c>
      <c r="N3409" s="2" t="s">
        <v>18559</v>
      </c>
      <c r="O3409" s="8" t="s">
        <v>1161</v>
      </c>
      <c r="P3409" s="8" t="s">
        <v>1162</v>
      </c>
      <c r="Q3409" s="12" t="s">
        <v>18560</v>
      </c>
      <c r="R3409" s="8" t="s">
        <v>100</v>
      </c>
      <c r="S3409" s="7" t="s">
        <v>18</v>
      </c>
      <c r="T3409" s="6"/>
      <c r="U3409" s="8"/>
    </row>
    <row r="3410" spans="1:34" ht="13" customHeight="1">
      <c r="A3410" s="8" t="s">
        <v>18564</v>
      </c>
      <c r="B3410" s="16">
        <v>50</v>
      </c>
      <c r="C3410" s="8" t="s">
        <v>20</v>
      </c>
      <c r="D3410" s="8" t="s">
        <v>85</v>
      </c>
      <c r="E3410" s="8" t="s">
        <v>18565</v>
      </c>
      <c r="F3410" s="17">
        <v>41295</v>
      </c>
      <c r="G3410" s="8" t="s">
        <v>18566</v>
      </c>
      <c r="H3410" s="8" t="s">
        <v>18567</v>
      </c>
      <c r="I3410" s="8" t="s">
        <v>25</v>
      </c>
      <c r="J3410" s="16" t="s">
        <v>18568</v>
      </c>
      <c r="K3410" s="2" t="s">
        <v>18569</v>
      </c>
      <c r="L3410" s="8" t="s">
        <v>18570</v>
      </c>
      <c r="M3410" s="8" t="s">
        <v>27</v>
      </c>
      <c r="N3410" s="2" t="s">
        <v>18571</v>
      </c>
      <c r="O3410" s="8" t="s">
        <v>29</v>
      </c>
      <c r="P3410" s="8" t="s">
        <v>401</v>
      </c>
      <c r="Q3410" s="12" t="s">
        <v>18572</v>
      </c>
      <c r="R3410" s="8" t="s">
        <v>100</v>
      </c>
      <c r="S3410" s="7" t="s">
        <v>28</v>
      </c>
      <c r="T3410" s="6"/>
      <c r="U3410" s="8"/>
    </row>
    <row r="3411" spans="1:34" ht="13" customHeight="1">
      <c r="A3411" s="8" t="s">
        <v>18573</v>
      </c>
      <c r="B3411" s="16">
        <v>18</v>
      </c>
      <c r="C3411" s="8" t="s">
        <v>20</v>
      </c>
      <c r="D3411" s="8" t="s">
        <v>48</v>
      </c>
      <c r="E3411" s="8" t="s">
        <v>18574</v>
      </c>
      <c r="F3411" s="17">
        <v>41295</v>
      </c>
      <c r="G3411" s="8" t="s">
        <v>18575</v>
      </c>
      <c r="H3411" s="8" t="s">
        <v>16222</v>
      </c>
      <c r="I3411" s="8" t="s">
        <v>438</v>
      </c>
      <c r="J3411" s="16" t="s">
        <v>16223</v>
      </c>
      <c r="K3411" s="2" t="s">
        <v>16224</v>
      </c>
      <c r="L3411" s="8" t="s">
        <v>16225</v>
      </c>
      <c r="M3411" s="8" t="s">
        <v>27</v>
      </c>
      <c r="N3411" s="2" t="s">
        <v>18576</v>
      </c>
      <c r="O3411" s="8" t="s">
        <v>550</v>
      </c>
      <c r="P3411" s="8" t="s">
        <v>401</v>
      </c>
      <c r="Q3411" s="12" t="s">
        <v>18577</v>
      </c>
      <c r="R3411" s="8" t="s">
        <v>100</v>
      </c>
      <c r="S3411" s="7" t="s">
        <v>28</v>
      </c>
      <c r="T3411" s="6"/>
      <c r="U3411" s="8"/>
    </row>
    <row r="3412" spans="1:34" ht="13" customHeight="1">
      <c r="A3412" s="8" t="s">
        <v>18578</v>
      </c>
      <c r="B3412" s="16">
        <v>22</v>
      </c>
      <c r="C3412" s="8" t="s">
        <v>20</v>
      </c>
      <c r="D3412" s="8" t="s">
        <v>85</v>
      </c>
      <c r="F3412" s="17">
        <v>41293</v>
      </c>
      <c r="G3412" s="8" t="s">
        <v>18579</v>
      </c>
      <c r="H3412" s="8" t="s">
        <v>712</v>
      </c>
      <c r="I3412" s="8" t="s">
        <v>431</v>
      </c>
      <c r="J3412" s="16" t="s">
        <v>11677</v>
      </c>
      <c r="K3412" s="2" t="s">
        <v>18580</v>
      </c>
      <c r="L3412" s="8" t="s">
        <v>4545</v>
      </c>
      <c r="M3412" s="8" t="s">
        <v>27</v>
      </c>
      <c r="N3412" s="2" t="s">
        <v>18581</v>
      </c>
      <c r="O3412" s="8" t="s">
        <v>550</v>
      </c>
      <c r="P3412" s="8" t="s">
        <v>401</v>
      </c>
      <c r="Q3412" s="12" t="s">
        <v>18582</v>
      </c>
      <c r="R3412" s="8" t="s">
        <v>100</v>
      </c>
      <c r="S3412" s="7" t="s">
        <v>18</v>
      </c>
      <c r="T3412" s="6"/>
      <c r="U3412" s="8"/>
    </row>
    <row r="3413" spans="1:34" ht="13" customHeight="1">
      <c r="A3413" s="8" t="s">
        <v>18583</v>
      </c>
      <c r="B3413" s="16">
        <v>20</v>
      </c>
      <c r="C3413" s="8" t="s">
        <v>20</v>
      </c>
      <c r="D3413" s="8" t="s">
        <v>85</v>
      </c>
      <c r="F3413" s="17">
        <v>41292</v>
      </c>
      <c r="G3413" s="8" t="s">
        <v>18584</v>
      </c>
      <c r="H3413" s="8" t="s">
        <v>18585</v>
      </c>
      <c r="I3413" s="8" t="s">
        <v>173</v>
      </c>
      <c r="J3413" s="16" t="s">
        <v>18586</v>
      </c>
      <c r="K3413" s="2" t="s">
        <v>1307</v>
      </c>
      <c r="L3413" s="8" t="s">
        <v>18587</v>
      </c>
      <c r="M3413" s="8" t="s">
        <v>27</v>
      </c>
      <c r="N3413" s="2" t="s">
        <v>18588</v>
      </c>
      <c r="O3413" s="8" t="s">
        <v>400</v>
      </c>
      <c r="P3413" s="8" t="s">
        <v>401</v>
      </c>
      <c r="Q3413" s="12" t="s">
        <v>18589</v>
      </c>
      <c r="R3413" s="8" t="s">
        <v>100</v>
      </c>
      <c r="S3413" s="7" t="s">
        <v>28</v>
      </c>
      <c r="T3413" s="6"/>
      <c r="U3413" s="8"/>
      <c r="Y3413" s="8"/>
      <c r="Z3413" s="8"/>
      <c r="AA3413" s="8"/>
      <c r="AB3413" s="8"/>
      <c r="AC3413" s="8"/>
      <c r="AD3413" s="8"/>
      <c r="AE3413" s="8"/>
      <c r="AF3413" s="8"/>
      <c r="AG3413" s="8"/>
      <c r="AH3413" s="8"/>
    </row>
    <row r="3414" spans="1:34" ht="13" customHeight="1">
      <c r="A3414" s="8" t="s">
        <v>18590</v>
      </c>
      <c r="B3414" s="16">
        <v>38</v>
      </c>
      <c r="C3414" s="8" t="s">
        <v>20</v>
      </c>
      <c r="D3414" s="8" t="s">
        <v>85</v>
      </c>
      <c r="E3414" s="8" t="s">
        <v>18591</v>
      </c>
      <c r="F3414" s="17">
        <v>41292</v>
      </c>
      <c r="G3414" s="8" t="s">
        <v>18592</v>
      </c>
      <c r="H3414" s="8" t="s">
        <v>18593</v>
      </c>
      <c r="I3414" s="8" t="s">
        <v>366</v>
      </c>
      <c r="J3414" s="16" t="s">
        <v>18594</v>
      </c>
      <c r="K3414" s="2" t="s">
        <v>2414</v>
      </c>
      <c r="L3414" s="8" t="s">
        <v>18595</v>
      </c>
      <c r="M3414" s="8" t="s">
        <v>27</v>
      </c>
      <c r="N3414" s="2" t="s">
        <v>18596</v>
      </c>
      <c r="O3414" s="8" t="s">
        <v>1013</v>
      </c>
      <c r="P3414" s="8" t="s">
        <v>401</v>
      </c>
      <c r="Q3414" s="12" t="s">
        <v>18597</v>
      </c>
      <c r="R3414" s="8" t="s">
        <v>100</v>
      </c>
      <c r="S3414" s="7" t="s">
        <v>28</v>
      </c>
      <c r="T3414" s="6"/>
      <c r="U3414" s="8"/>
    </row>
    <row r="3415" spans="1:34" ht="13" customHeight="1">
      <c r="A3415" s="8" t="s">
        <v>18614</v>
      </c>
      <c r="B3415" s="16">
        <v>21</v>
      </c>
      <c r="C3415" s="8" t="s">
        <v>20</v>
      </c>
      <c r="D3415" s="8" t="s">
        <v>37</v>
      </c>
      <c r="E3415" s="8" t="s">
        <v>18615</v>
      </c>
      <c r="F3415" s="17">
        <v>41292</v>
      </c>
      <c r="G3415" s="8" t="s">
        <v>18616</v>
      </c>
      <c r="H3415" s="8" t="s">
        <v>18617</v>
      </c>
      <c r="I3415" s="8" t="s">
        <v>363</v>
      </c>
      <c r="J3415" s="16" t="s">
        <v>18618</v>
      </c>
      <c r="K3415" s="2" t="s">
        <v>3303</v>
      </c>
      <c r="L3415" s="8" t="s">
        <v>18619</v>
      </c>
      <c r="M3415" s="8" t="s">
        <v>27</v>
      </c>
      <c r="N3415" s="2" t="s">
        <v>18620</v>
      </c>
      <c r="O3415" s="8" t="s">
        <v>550</v>
      </c>
      <c r="P3415" s="8" t="s">
        <v>401</v>
      </c>
      <c r="Q3415" s="12" t="s">
        <v>18621</v>
      </c>
      <c r="R3415" s="8" t="s">
        <v>29</v>
      </c>
      <c r="S3415" s="7" t="s">
        <v>28</v>
      </c>
      <c r="T3415" s="6"/>
      <c r="U3415" s="8"/>
    </row>
    <row r="3416" spans="1:34" ht="13" customHeight="1">
      <c r="A3416" s="8" t="s">
        <v>18622</v>
      </c>
      <c r="B3416" s="16">
        <v>29</v>
      </c>
      <c r="C3416" s="8" t="s">
        <v>20</v>
      </c>
      <c r="D3416" s="8" t="s">
        <v>37</v>
      </c>
      <c r="E3416" s="8" t="s">
        <v>18623</v>
      </c>
      <c r="F3416" s="17">
        <v>41292</v>
      </c>
      <c r="G3416" s="8" t="s">
        <v>18624</v>
      </c>
      <c r="H3416" s="8" t="s">
        <v>3362</v>
      </c>
      <c r="I3416" s="8" t="s">
        <v>303</v>
      </c>
      <c r="J3416" s="16" t="s">
        <v>18625</v>
      </c>
      <c r="K3416" s="2" t="s">
        <v>570</v>
      </c>
      <c r="L3416" s="8" t="s">
        <v>5671</v>
      </c>
      <c r="M3416" s="8" t="s">
        <v>27</v>
      </c>
      <c r="N3416" s="2" t="s">
        <v>18626</v>
      </c>
      <c r="O3416" s="8" t="s">
        <v>1013</v>
      </c>
      <c r="P3416" s="8" t="s">
        <v>401</v>
      </c>
      <c r="Q3416" s="12" t="s">
        <v>18627</v>
      </c>
      <c r="R3416" s="8" t="s">
        <v>100</v>
      </c>
      <c r="S3416" s="7" t="s">
        <v>28</v>
      </c>
      <c r="T3416" s="6"/>
      <c r="U3416" s="8"/>
    </row>
    <row r="3417" spans="1:34" ht="13" customHeight="1">
      <c r="A3417" s="8" t="s">
        <v>18605</v>
      </c>
      <c r="B3417" s="16">
        <v>41</v>
      </c>
      <c r="C3417" s="8" t="s">
        <v>20</v>
      </c>
      <c r="D3417" s="8" t="s">
        <v>37</v>
      </c>
      <c r="E3417" s="8" t="s">
        <v>18606</v>
      </c>
      <c r="F3417" s="17">
        <v>41292</v>
      </c>
      <c r="G3417" s="8" t="s">
        <v>18607</v>
      </c>
      <c r="H3417" s="8" t="s">
        <v>18608</v>
      </c>
      <c r="I3417" s="8" t="s">
        <v>45</v>
      </c>
      <c r="J3417" s="16" t="s">
        <v>18609</v>
      </c>
      <c r="K3417" s="2" t="s">
        <v>18610</v>
      </c>
      <c r="L3417" s="8" t="s">
        <v>18611</v>
      </c>
      <c r="M3417" s="8" t="s">
        <v>27</v>
      </c>
      <c r="N3417" s="2" t="s">
        <v>18612</v>
      </c>
      <c r="O3417" s="8" t="s">
        <v>550</v>
      </c>
      <c r="P3417" s="8" t="s">
        <v>401</v>
      </c>
      <c r="Q3417" s="12" t="s">
        <v>18613</v>
      </c>
      <c r="R3417" s="8" t="s">
        <v>100</v>
      </c>
      <c r="S3417" s="7" t="s">
        <v>28</v>
      </c>
      <c r="T3417" s="6"/>
      <c r="U3417" s="8"/>
    </row>
    <row r="3418" spans="1:34" ht="13" customHeight="1">
      <c r="A3418" s="8" t="s">
        <v>18598</v>
      </c>
      <c r="B3418" s="16">
        <v>50</v>
      </c>
      <c r="C3418" s="8" t="s">
        <v>20</v>
      </c>
      <c r="D3418" s="8" t="s">
        <v>37</v>
      </c>
      <c r="E3418" s="8" t="s">
        <v>18599</v>
      </c>
      <c r="F3418" s="17">
        <v>41292</v>
      </c>
      <c r="G3418" s="8" t="s">
        <v>18600</v>
      </c>
      <c r="H3418" s="8" t="s">
        <v>7865</v>
      </c>
      <c r="I3418" s="8" t="s">
        <v>94</v>
      </c>
      <c r="J3418" s="16" t="s">
        <v>18601</v>
      </c>
      <c r="K3418" s="2" t="s">
        <v>6142</v>
      </c>
      <c r="L3418" s="8" t="s">
        <v>18602</v>
      </c>
      <c r="M3418" s="8" t="s">
        <v>27</v>
      </c>
      <c r="N3418" s="2" t="s">
        <v>18603</v>
      </c>
      <c r="O3418" s="8" t="s">
        <v>29</v>
      </c>
      <c r="P3418" s="8" t="s">
        <v>401</v>
      </c>
      <c r="Q3418" s="12" t="s">
        <v>18604</v>
      </c>
      <c r="R3418" s="8" t="s">
        <v>100</v>
      </c>
      <c r="S3418" s="7" t="s">
        <v>28</v>
      </c>
      <c r="T3418" s="6"/>
      <c r="U3418" s="8"/>
    </row>
    <row r="3419" spans="1:34" ht="13" customHeight="1">
      <c r="A3419" s="8" t="s">
        <v>18628</v>
      </c>
      <c r="B3419" s="16" t="s">
        <v>10061</v>
      </c>
      <c r="C3419" s="8" t="s">
        <v>20</v>
      </c>
      <c r="D3419" s="8" t="s">
        <v>85</v>
      </c>
      <c r="E3419" s="8" t="s">
        <v>18629</v>
      </c>
      <c r="F3419" s="17">
        <v>41291</v>
      </c>
      <c r="G3419" s="8" t="s">
        <v>18630</v>
      </c>
      <c r="H3419" s="8" t="s">
        <v>1195</v>
      </c>
      <c r="I3419" s="8" t="s">
        <v>319</v>
      </c>
      <c r="J3419" s="16">
        <v>38118</v>
      </c>
      <c r="K3419" s="2" t="s">
        <v>1196</v>
      </c>
      <c r="L3419" s="8" t="s">
        <v>1197</v>
      </c>
      <c r="M3419" s="8" t="s">
        <v>27</v>
      </c>
      <c r="N3419" s="2" t="s">
        <v>18631</v>
      </c>
      <c r="O3419" s="8" t="s">
        <v>550</v>
      </c>
      <c r="P3419" s="8" t="s">
        <v>401</v>
      </c>
      <c r="Q3419" s="12" t="str">
        <f>HYPERLINK("http://wreg.com/2013/01/18/man-shot-killed-by-memphis-police/","http://wreg.com/2013/01/18/man-shot-killed-by-memphis-police/")</f>
        <v>http://wreg.com/2013/01/18/man-shot-killed-by-memphis-police/</v>
      </c>
      <c r="R3419" s="8" t="s">
        <v>100</v>
      </c>
      <c r="S3419" s="7" t="s">
        <v>35</v>
      </c>
      <c r="T3419" s="6"/>
      <c r="U3419" s="8"/>
    </row>
    <row r="3420" spans="1:34" ht="13" customHeight="1">
      <c r="A3420" s="8" t="s">
        <v>18632</v>
      </c>
      <c r="B3420" s="16">
        <v>27</v>
      </c>
      <c r="C3420" s="8" t="s">
        <v>20</v>
      </c>
      <c r="D3420" s="8" t="s">
        <v>48</v>
      </c>
      <c r="E3420" s="8" t="s">
        <v>18633</v>
      </c>
      <c r="F3420" s="17">
        <v>41291</v>
      </c>
      <c r="G3420" s="8" t="s">
        <v>18634</v>
      </c>
      <c r="H3420" s="8" t="s">
        <v>156</v>
      </c>
      <c r="I3420" s="8" t="s">
        <v>45</v>
      </c>
      <c r="J3420" s="16" t="s">
        <v>18635</v>
      </c>
      <c r="K3420" s="2" t="s">
        <v>156</v>
      </c>
      <c r="L3420" s="8" t="s">
        <v>157</v>
      </c>
      <c r="M3420" s="8" t="s">
        <v>27</v>
      </c>
      <c r="N3420" s="2" t="s">
        <v>18636</v>
      </c>
      <c r="O3420" s="8" t="s">
        <v>400</v>
      </c>
      <c r="P3420" s="8" t="s">
        <v>401</v>
      </c>
      <c r="Q3420" s="12" t="s">
        <v>18637</v>
      </c>
      <c r="R3420" s="8" t="s">
        <v>100</v>
      </c>
      <c r="S3420" s="7" t="s">
        <v>28</v>
      </c>
      <c r="T3420" s="6"/>
      <c r="U3420" s="8"/>
    </row>
    <row r="3421" spans="1:34" ht="13" customHeight="1">
      <c r="A3421" s="8" t="s">
        <v>18638</v>
      </c>
      <c r="B3421" s="16">
        <v>44</v>
      </c>
      <c r="C3421" s="8" t="s">
        <v>20</v>
      </c>
      <c r="D3421" s="8" t="s">
        <v>48</v>
      </c>
      <c r="E3421" s="8" t="s">
        <v>18639</v>
      </c>
      <c r="F3421" s="17">
        <v>41291</v>
      </c>
      <c r="G3421" s="8" t="s">
        <v>18640</v>
      </c>
      <c r="H3421" s="8" t="s">
        <v>1166</v>
      </c>
      <c r="I3421" s="8" t="s">
        <v>45</v>
      </c>
      <c r="J3421" s="16" t="s">
        <v>18641</v>
      </c>
      <c r="K3421" s="2" t="s">
        <v>1166</v>
      </c>
      <c r="L3421" s="8" t="s">
        <v>18642</v>
      </c>
      <c r="M3421" s="8" t="s">
        <v>27</v>
      </c>
      <c r="N3421" s="2" t="s">
        <v>18643</v>
      </c>
      <c r="O3421" s="8" t="s">
        <v>550</v>
      </c>
      <c r="P3421" s="8" t="s">
        <v>401</v>
      </c>
      <c r="Q3421" s="12" t="s">
        <v>18644</v>
      </c>
      <c r="R3421" s="8" t="s">
        <v>29</v>
      </c>
      <c r="S3421" s="7" t="s">
        <v>28</v>
      </c>
      <c r="T3421" s="6"/>
      <c r="U3421" s="8"/>
    </row>
    <row r="3422" spans="1:34" ht="13" customHeight="1">
      <c r="A3422" s="8" t="s">
        <v>18646</v>
      </c>
      <c r="B3422" s="16">
        <v>30</v>
      </c>
      <c r="C3422" s="8" t="s">
        <v>20</v>
      </c>
      <c r="D3422" s="8" t="s">
        <v>30</v>
      </c>
      <c r="F3422" s="17">
        <v>41291</v>
      </c>
      <c r="G3422" s="8" t="s">
        <v>18647</v>
      </c>
      <c r="H3422" s="8" t="s">
        <v>18648</v>
      </c>
      <c r="I3422" s="8" t="s">
        <v>57</v>
      </c>
      <c r="J3422" s="16" t="s">
        <v>18649</v>
      </c>
      <c r="K3422" s="2" t="s">
        <v>11349</v>
      </c>
      <c r="L3422" s="8" t="s">
        <v>18650</v>
      </c>
      <c r="M3422" s="8" t="s">
        <v>27</v>
      </c>
      <c r="N3422" s="2" t="s">
        <v>18651</v>
      </c>
      <c r="O3422" s="8" t="s">
        <v>550</v>
      </c>
      <c r="P3422" s="8" t="s">
        <v>401</v>
      </c>
      <c r="Q3422" s="12" t="s">
        <v>18652</v>
      </c>
      <c r="R3422" s="8" t="s">
        <v>100</v>
      </c>
      <c r="S3422" s="7" t="s">
        <v>28</v>
      </c>
      <c r="T3422" s="6"/>
      <c r="U3422" s="8"/>
    </row>
    <row r="3423" spans="1:34" ht="13" customHeight="1">
      <c r="A3423" s="8" t="s">
        <v>18653</v>
      </c>
      <c r="B3423" s="16">
        <v>83</v>
      </c>
      <c r="C3423" s="8" t="s">
        <v>20</v>
      </c>
      <c r="D3423" s="8" t="s">
        <v>37</v>
      </c>
      <c r="E3423" s="8" t="s">
        <v>18654</v>
      </c>
      <c r="F3423" s="17">
        <v>41291</v>
      </c>
      <c r="G3423" s="8" t="s">
        <v>18655</v>
      </c>
      <c r="H3423" s="8" t="s">
        <v>18656</v>
      </c>
      <c r="I3423" s="8" t="s">
        <v>133</v>
      </c>
      <c r="J3423" s="16" t="s">
        <v>18657</v>
      </c>
      <c r="K3423" s="2" t="s">
        <v>18658</v>
      </c>
      <c r="L3423" s="8" t="s">
        <v>18659</v>
      </c>
      <c r="M3423" s="8" t="s">
        <v>27</v>
      </c>
      <c r="N3423" s="2" t="s">
        <v>18660</v>
      </c>
      <c r="O3423" s="8" t="s">
        <v>550</v>
      </c>
      <c r="P3423" s="8" t="s">
        <v>401</v>
      </c>
      <c r="Q3423" s="12" t="s">
        <v>18661</v>
      </c>
      <c r="R3423" s="8" t="s">
        <v>555</v>
      </c>
      <c r="S3423" s="7" t="s">
        <v>28</v>
      </c>
      <c r="T3423" s="6"/>
      <c r="U3423" s="8"/>
    </row>
    <row r="3424" spans="1:34" ht="13" customHeight="1">
      <c r="A3424" s="8" t="s">
        <v>18662</v>
      </c>
      <c r="B3424" s="16">
        <v>19</v>
      </c>
      <c r="C3424" s="8" t="s">
        <v>20</v>
      </c>
      <c r="D3424" s="8" t="s">
        <v>85</v>
      </c>
      <c r="E3424" s="8" t="s">
        <v>18663</v>
      </c>
      <c r="F3424" s="17">
        <v>41290</v>
      </c>
      <c r="G3424" s="8" t="s">
        <v>18664</v>
      </c>
      <c r="H3424" s="8" t="s">
        <v>1063</v>
      </c>
      <c r="I3424" s="8" t="s">
        <v>62</v>
      </c>
      <c r="J3424" s="16" t="s">
        <v>7546</v>
      </c>
      <c r="K3424" s="2" t="s">
        <v>1064</v>
      </c>
      <c r="L3424" s="8" t="s">
        <v>1065</v>
      </c>
      <c r="M3424" s="8" t="s">
        <v>27</v>
      </c>
      <c r="N3424" s="2" t="s">
        <v>18665</v>
      </c>
      <c r="O3424" s="8" t="s">
        <v>1013</v>
      </c>
      <c r="P3424" s="8" t="s">
        <v>401</v>
      </c>
      <c r="Q3424" s="12" t="s">
        <v>18666</v>
      </c>
      <c r="R3424" s="8" t="s">
        <v>100</v>
      </c>
      <c r="S3424" s="7" t="s">
        <v>28</v>
      </c>
      <c r="T3424" s="6"/>
      <c r="U3424" s="8"/>
    </row>
    <row r="3425" spans="1:34" ht="13" customHeight="1">
      <c r="A3425" s="8" t="s">
        <v>18667</v>
      </c>
      <c r="B3425" s="16" t="s">
        <v>11124</v>
      </c>
      <c r="C3425" s="8" t="s">
        <v>20</v>
      </c>
      <c r="D3425" s="8" t="s">
        <v>30</v>
      </c>
      <c r="F3425" s="17">
        <v>41290</v>
      </c>
      <c r="G3425" s="8" t="s">
        <v>18668</v>
      </c>
      <c r="H3425" s="8" t="s">
        <v>1301</v>
      </c>
      <c r="I3425" s="8" t="s">
        <v>209</v>
      </c>
      <c r="J3425" s="16" t="s">
        <v>8857</v>
      </c>
      <c r="K3425" s="2" t="s">
        <v>1301</v>
      </c>
      <c r="L3425" s="8" t="s">
        <v>1302</v>
      </c>
      <c r="M3425" s="8" t="s">
        <v>27</v>
      </c>
      <c r="N3425" s="2" t="s">
        <v>18669</v>
      </c>
      <c r="O3425" s="8" t="s">
        <v>550</v>
      </c>
      <c r="P3425" s="8" t="s">
        <v>401</v>
      </c>
      <c r="Q3425" s="12" t="s">
        <v>18670</v>
      </c>
      <c r="R3425" s="8" t="s">
        <v>100</v>
      </c>
      <c r="S3425" s="7" t="s">
        <v>28</v>
      </c>
      <c r="T3425" s="6"/>
      <c r="U3425" s="8"/>
    </row>
    <row r="3426" spans="1:34" ht="13" customHeight="1">
      <c r="A3426" s="8" t="s">
        <v>18671</v>
      </c>
      <c r="B3426" s="16">
        <v>48</v>
      </c>
      <c r="C3426" s="8" t="s">
        <v>20</v>
      </c>
      <c r="D3426" s="8" t="s">
        <v>30</v>
      </c>
      <c r="F3426" s="17">
        <v>41290</v>
      </c>
      <c r="G3426" s="8" t="s">
        <v>18672</v>
      </c>
      <c r="H3426" s="8" t="s">
        <v>6142</v>
      </c>
      <c r="I3426" s="8" t="s">
        <v>173</v>
      </c>
      <c r="J3426" s="16" t="s">
        <v>18673</v>
      </c>
      <c r="K3426" s="2" t="s">
        <v>18674</v>
      </c>
      <c r="L3426" s="8" t="s">
        <v>18675</v>
      </c>
      <c r="M3426" s="8" t="s">
        <v>27</v>
      </c>
      <c r="N3426" s="2" t="s">
        <v>18676</v>
      </c>
      <c r="O3426" s="8" t="s">
        <v>550</v>
      </c>
      <c r="P3426" s="8" t="s">
        <v>401</v>
      </c>
      <c r="Q3426" s="12" t="s">
        <v>18677</v>
      </c>
      <c r="R3426" s="8" t="s">
        <v>555</v>
      </c>
      <c r="S3426" s="7" t="s">
        <v>28</v>
      </c>
      <c r="T3426" s="6"/>
      <c r="U3426" s="8"/>
    </row>
    <row r="3427" spans="1:34" ht="13" customHeight="1">
      <c r="A3427" s="8" t="s">
        <v>18678</v>
      </c>
      <c r="B3427" s="16">
        <v>21</v>
      </c>
      <c r="C3427" s="8" t="s">
        <v>20</v>
      </c>
      <c r="D3427" s="8" t="s">
        <v>37</v>
      </c>
      <c r="E3427" s="8" t="s">
        <v>18679</v>
      </c>
      <c r="F3427" s="17">
        <v>41290</v>
      </c>
      <c r="G3427" s="8" t="s">
        <v>18680</v>
      </c>
      <c r="H3427" s="8" t="s">
        <v>18681</v>
      </c>
      <c r="I3427" s="8" t="s">
        <v>123</v>
      </c>
      <c r="J3427" s="16">
        <v>85326</v>
      </c>
      <c r="K3427" s="2" t="s">
        <v>635</v>
      </c>
      <c r="L3427" s="8" t="s">
        <v>18682</v>
      </c>
      <c r="M3427" s="8" t="s">
        <v>27</v>
      </c>
      <c r="N3427" s="2" t="s">
        <v>18683</v>
      </c>
      <c r="O3427" s="8" t="s">
        <v>29</v>
      </c>
      <c r="P3427" s="8" t="s">
        <v>401</v>
      </c>
      <c r="Q3427" s="12" t="s">
        <v>18684</v>
      </c>
      <c r="R3427" s="8" t="s">
        <v>100</v>
      </c>
      <c r="S3427" s="7" t="s">
        <v>28</v>
      </c>
      <c r="T3427" s="6"/>
      <c r="U3427" s="8"/>
    </row>
    <row r="3428" spans="1:34" ht="13" customHeight="1">
      <c r="A3428" s="8" t="s">
        <v>18685</v>
      </c>
      <c r="B3428" s="16">
        <v>27</v>
      </c>
      <c r="C3428" s="8" t="s">
        <v>20</v>
      </c>
      <c r="D3428" s="8" t="s">
        <v>37</v>
      </c>
      <c r="E3428" s="8" t="s">
        <v>18686</v>
      </c>
      <c r="F3428" s="17">
        <v>41290</v>
      </c>
      <c r="G3428" s="8" t="s">
        <v>18687</v>
      </c>
      <c r="H3428" s="8" t="s">
        <v>634</v>
      </c>
      <c r="I3428" s="8" t="s">
        <v>123</v>
      </c>
      <c r="J3428" s="16" t="s">
        <v>18688</v>
      </c>
      <c r="K3428" s="2" t="s">
        <v>635</v>
      </c>
      <c r="L3428" s="8" t="s">
        <v>636</v>
      </c>
      <c r="M3428" s="8" t="s">
        <v>27</v>
      </c>
      <c r="N3428" s="2" t="s">
        <v>18689</v>
      </c>
      <c r="O3428" s="8" t="s">
        <v>550</v>
      </c>
      <c r="P3428" s="8" t="s">
        <v>401</v>
      </c>
      <c r="Q3428" s="12" t="s">
        <v>18690</v>
      </c>
      <c r="R3428" s="8" t="s">
        <v>100</v>
      </c>
      <c r="S3428" s="7" t="s">
        <v>28</v>
      </c>
      <c r="T3428" s="6"/>
      <c r="U3428" s="8"/>
    </row>
    <row r="3429" spans="1:34" ht="13" customHeight="1">
      <c r="A3429" s="8" t="s">
        <v>18691</v>
      </c>
      <c r="B3429" s="16" t="s">
        <v>13480</v>
      </c>
      <c r="C3429" s="8" t="s">
        <v>20</v>
      </c>
      <c r="D3429" s="8" t="s">
        <v>30</v>
      </c>
      <c r="F3429" s="17">
        <v>41289</v>
      </c>
      <c r="G3429" s="8" t="s">
        <v>18692</v>
      </c>
      <c r="H3429" s="8" t="s">
        <v>200</v>
      </c>
      <c r="I3429" s="8" t="s">
        <v>45</v>
      </c>
      <c r="J3429" s="16">
        <v>93728</v>
      </c>
      <c r="K3429" s="2" t="s">
        <v>200</v>
      </c>
      <c r="L3429" s="8" t="s">
        <v>201</v>
      </c>
      <c r="M3429" s="8" t="s">
        <v>27</v>
      </c>
      <c r="N3429" s="2" t="s">
        <v>18693</v>
      </c>
      <c r="O3429" s="8" t="s">
        <v>29</v>
      </c>
      <c r="P3429" s="8" t="s">
        <v>401</v>
      </c>
      <c r="Q3429" s="12" t="s">
        <v>18694</v>
      </c>
      <c r="R3429" s="8" t="s">
        <v>967</v>
      </c>
      <c r="S3429" s="7" t="s">
        <v>28</v>
      </c>
      <c r="T3429" s="6"/>
      <c r="U3429" s="8"/>
    </row>
    <row r="3430" spans="1:34" ht="13" customHeight="1">
      <c r="A3430" s="8" t="s">
        <v>18695</v>
      </c>
      <c r="B3430" s="16">
        <v>22</v>
      </c>
      <c r="C3430" s="8" t="s">
        <v>20</v>
      </c>
      <c r="D3430" s="8" t="s">
        <v>37</v>
      </c>
      <c r="E3430" s="8" t="s">
        <v>18696</v>
      </c>
      <c r="F3430" s="17">
        <v>41289</v>
      </c>
      <c r="G3430" s="8" t="s">
        <v>18697</v>
      </c>
      <c r="H3430" s="8" t="s">
        <v>2372</v>
      </c>
      <c r="I3430" s="8" t="s">
        <v>873</v>
      </c>
      <c r="J3430" s="16" t="s">
        <v>8307</v>
      </c>
      <c r="K3430" s="2" t="s">
        <v>2372</v>
      </c>
      <c r="L3430" s="8" t="s">
        <v>3603</v>
      </c>
      <c r="M3430" s="8" t="s">
        <v>27</v>
      </c>
      <c r="N3430" s="2" t="s">
        <v>18698</v>
      </c>
      <c r="O3430" s="8" t="s">
        <v>1013</v>
      </c>
      <c r="P3430" s="8" t="s">
        <v>401</v>
      </c>
      <c r="Q3430" s="12" t="s">
        <v>18699</v>
      </c>
      <c r="R3430" s="8" t="s">
        <v>100</v>
      </c>
      <c r="S3430" s="7" t="s">
        <v>28</v>
      </c>
      <c r="T3430" s="6"/>
      <c r="U3430" s="8"/>
    </row>
    <row r="3431" spans="1:34" ht="13" customHeight="1">
      <c r="A3431" s="8" t="s">
        <v>18706</v>
      </c>
      <c r="B3431" s="16">
        <v>30</v>
      </c>
      <c r="C3431" s="8" t="s">
        <v>20</v>
      </c>
      <c r="D3431" s="8" t="s">
        <v>37</v>
      </c>
      <c r="E3431" s="8" t="s">
        <v>18707</v>
      </c>
      <c r="F3431" s="17">
        <v>41289</v>
      </c>
      <c r="G3431" s="8" t="s">
        <v>18708</v>
      </c>
      <c r="H3431" s="8" t="s">
        <v>561</v>
      </c>
      <c r="I3431" s="8" t="s">
        <v>123</v>
      </c>
      <c r="J3431" s="16" t="s">
        <v>18709</v>
      </c>
      <c r="K3431" s="2" t="s">
        <v>562</v>
      </c>
      <c r="L3431" s="8" t="s">
        <v>563</v>
      </c>
      <c r="M3431" s="8" t="s">
        <v>27</v>
      </c>
      <c r="N3431" s="2" t="s">
        <v>18710</v>
      </c>
      <c r="O3431" s="8" t="s">
        <v>1013</v>
      </c>
      <c r="P3431" s="8" t="s">
        <v>401</v>
      </c>
      <c r="Q3431" s="12" t="s">
        <v>18711</v>
      </c>
      <c r="R3431" s="8" t="s">
        <v>555</v>
      </c>
      <c r="S3431" s="7" t="s">
        <v>28</v>
      </c>
      <c r="T3431" s="6"/>
      <c r="U3431" s="8"/>
    </row>
    <row r="3432" spans="1:34" ht="13" customHeight="1">
      <c r="A3432" s="8" t="s">
        <v>18700</v>
      </c>
      <c r="B3432" s="16">
        <v>38</v>
      </c>
      <c r="C3432" s="8" t="s">
        <v>20</v>
      </c>
      <c r="D3432" s="8" t="s">
        <v>37</v>
      </c>
      <c r="E3432" s="8" t="s">
        <v>18701</v>
      </c>
      <c r="F3432" s="17">
        <v>41289</v>
      </c>
      <c r="G3432" s="8" t="s">
        <v>18702</v>
      </c>
      <c r="H3432" s="8" t="s">
        <v>430</v>
      </c>
      <c r="I3432" s="8" t="s">
        <v>431</v>
      </c>
      <c r="J3432" s="16" t="s">
        <v>18703</v>
      </c>
      <c r="K3432" s="2" t="s">
        <v>433</v>
      </c>
      <c r="L3432" s="8" t="s">
        <v>434</v>
      </c>
      <c r="M3432" s="8" t="s">
        <v>27</v>
      </c>
      <c r="N3432" s="2" t="s">
        <v>18704</v>
      </c>
      <c r="O3432" s="8" t="s">
        <v>1013</v>
      </c>
      <c r="P3432" s="8" t="s">
        <v>401</v>
      </c>
      <c r="Q3432" s="12" t="s">
        <v>18705</v>
      </c>
      <c r="R3432" s="8" t="s">
        <v>100</v>
      </c>
      <c r="S3432" s="7" t="s">
        <v>28</v>
      </c>
      <c r="T3432" s="6"/>
      <c r="U3432" s="8"/>
    </row>
    <row r="3433" spans="1:34" ht="13" customHeight="1">
      <c r="A3433" s="8" t="s">
        <v>18724</v>
      </c>
      <c r="B3433" s="16">
        <v>31</v>
      </c>
      <c r="C3433" s="8" t="s">
        <v>20</v>
      </c>
      <c r="D3433" s="8" t="s">
        <v>30</v>
      </c>
      <c r="F3433" s="17">
        <v>41288</v>
      </c>
      <c r="G3433" s="8" t="s">
        <v>18725</v>
      </c>
      <c r="H3433" s="8" t="s">
        <v>33</v>
      </c>
      <c r="I3433" s="8" t="s">
        <v>32</v>
      </c>
      <c r="J3433" s="16" t="s">
        <v>18726</v>
      </c>
      <c r="K3433" s="2" t="s">
        <v>33</v>
      </c>
      <c r="L3433" s="8" t="s">
        <v>34</v>
      </c>
      <c r="M3433" s="8" t="s">
        <v>27</v>
      </c>
      <c r="N3433" s="2" t="s">
        <v>18727</v>
      </c>
      <c r="O3433" s="8" t="s">
        <v>550</v>
      </c>
      <c r="P3433" s="8" t="s">
        <v>401</v>
      </c>
      <c r="Q3433" s="12" t="s">
        <v>18728</v>
      </c>
      <c r="R3433" s="8" t="s">
        <v>100</v>
      </c>
      <c r="S3433" s="7" t="s">
        <v>28</v>
      </c>
      <c r="T3433" s="6"/>
      <c r="U3433" s="8"/>
      <c r="Y3433" s="8"/>
      <c r="Z3433" s="8"/>
      <c r="AA3433" s="8"/>
      <c r="AB3433" s="8"/>
      <c r="AC3433" s="8"/>
      <c r="AD3433" s="8"/>
      <c r="AE3433" s="8"/>
      <c r="AF3433" s="8"/>
      <c r="AG3433" s="8"/>
      <c r="AH3433" s="8"/>
    </row>
    <row r="3434" spans="1:34" ht="13" customHeight="1">
      <c r="A3434" s="8" t="s">
        <v>18718</v>
      </c>
      <c r="B3434" s="16">
        <v>32</v>
      </c>
      <c r="C3434" s="8" t="s">
        <v>20</v>
      </c>
      <c r="D3434" s="8" t="s">
        <v>30</v>
      </c>
      <c r="F3434" s="17">
        <v>41288</v>
      </c>
      <c r="G3434" s="8" t="s">
        <v>18719</v>
      </c>
      <c r="H3434" s="8" t="s">
        <v>18720</v>
      </c>
      <c r="I3434" s="8" t="s">
        <v>81</v>
      </c>
      <c r="J3434" s="16" t="s">
        <v>13188</v>
      </c>
      <c r="K3434" s="2" t="s">
        <v>528</v>
      </c>
      <c r="L3434" s="8" t="s">
        <v>18721</v>
      </c>
      <c r="M3434" s="8" t="s">
        <v>27</v>
      </c>
      <c r="N3434" s="2" t="s">
        <v>18722</v>
      </c>
      <c r="O3434" s="8" t="s">
        <v>1013</v>
      </c>
      <c r="P3434" s="8" t="s">
        <v>401</v>
      </c>
      <c r="Q3434" s="12" t="s">
        <v>18723</v>
      </c>
      <c r="R3434" s="8" t="s">
        <v>100</v>
      </c>
      <c r="S3434" s="7" t="s">
        <v>28</v>
      </c>
      <c r="T3434" s="6"/>
      <c r="U3434" s="8"/>
    </row>
    <row r="3435" spans="1:34" ht="13" customHeight="1">
      <c r="A3435" s="8" t="s">
        <v>18712</v>
      </c>
      <c r="B3435" s="16">
        <v>45</v>
      </c>
      <c r="C3435" s="8" t="s">
        <v>20</v>
      </c>
      <c r="D3435" s="8" t="s">
        <v>30</v>
      </c>
      <c r="F3435" s="17">
        <v>41288</v>
      </c>
      <c r="G3435" s="8" t="s">
        <v>18713</v>
      </c>
      <c r="H3435" s="8" t="s">
        <v>12272</v>
      </c>
      <c r="I3435" s="8" t="s">
        <v>209</v>
      </c>
      <c r="J3435" s="16" t="s">
        <v>18714</v>
      </c>
      <c r="K3435" s="2" t="s">
        <v>1927</v>
      </c>
      <c r="L3435" s="8" t="s">
        <v>18715</v>
      </c>
      <c r="M3435" s="8" t="s">
        <v>27</v>
      </c>
      <c r="N3435" s="2" t="s">
        <v>18716</v>
      </c>
      <c r="O3435" s="8" t="s">
        <v>550</v>
      </c>
      <c r="P3435" s="8" t="s">
        <v>401</v>
      </c>
      <c r="Q3435" s="12" t="s">
        <v>18717</v>
      </c>
      <c r="R3435" s="8" t="s">
        <v>967</v>
      </c>
      <c r="S3435" s="7" t="s">
        <v>28</v>
      </c>
      <c r="T3435" s="6"/>
      <c r="U3435" s="8"/>
      <c r="Y3435" s="8"/>
      <c r="Z3435" s="8"/>
      <c r="AA3435" s="8"/>
      <c r="AB3435" s="8"/>
      <c r="AC3435" s="8"/>
      <c r="AD3435" s="8"/>
      <c r="AE3435" s="8"/>
      <c r="AF3435" s="8"/>
      <c r="AG3435" s="8"/>
      <c r="AH3435" s="8"/>
    </row>
    <row r="3436" spans="1:34" ht="13" customHeight="1">
      <c r="A3436" s="8" t="s">
        <v>18735</v>
      </c>
      <c r="B3436" s="16" t="s">
        <v>13841</v>
      </c>
      <c r="C3436" s="8" t="s">
        <v>20</v>
      </c>
      <c r="D3436" s="8" t="s">
        <v>85</v>
      </c>
      <c r="E3436" s="8" t="s">
        <v>18736</v>
      </c>
      <c r="F3436" s="17">
        <v>41287</v>
      </c>
      <c r="G3436" s="8" t="s">
        <v>18737</v>
      </c>
      <c r="H3436" s="8" t="s">
        <v>18738</v>
      </c>
      <c r="I3436" s="8" t="s">
        <v>244</v>
      </c>
      <c r="J3436" s="16" t="s">
        <v>18739</v>
      </c>
      <c r="K3436" s="2" t="s">
        <v>11940</v>
      </c>
      <c r="L3436" s="8" t="s">
        <v>18740</v>
      </c>
      <c r="M3436" s="8" t="s">
        <v>27</v>
      </c>
      <c r="N3436" s="2" t="s">
        <v>18741</v>
      </c>
      <c r="O3436" s="8" t="s">
        <v>550</v>
      </c>
      <c r="P3436" s="8" t="s">
        <v>401</v>
      </c>
      <c r="Q3436" s="12" t="s">
        <v>18742</v>
      </c>
      <c r="R3436" s="8" t="s">
        <v>100</v>
      </c>
      <c r="S3436" s="7" t="s">
        <v>28</v>
      </c>
      <c r="T3436" s="6"/>
      <c r="U3436" s="8"/>
    </row>
    <row r="3437" spans="1:34" ht="13" customHeight="1">
      <c r="A3437" s="8" t="s">
        <v>18729</v>
      </c>
      <c r="B3437" s="16">
        <v>43</v>
      </c>
      <c r="C3437" s="8" t="s">
        <v>20</v>
      </c>
      <c r="D3437" s="8" t="s">
        <v>85</v>
      </c>
      <c r="F3437" s="17">
        <v>41287</v>
      </c>
      <c r="G3437" s="8" t="s">
        <v>18730</v>
      </c>
      <c r="H3437" s="8" t="s">
        <v>634</v>
      </c>
      <c r="I3437" s="8" t="s">
        <v>123</v>
      </c>
      <c r="J3437" s="16" t="s">
        <v>18731</v>
      </c>
      <c r="K3437" s="2" t="s">
        <v>635</v>
      </c>
      <c r="L3437" s="8" t="s">
        <v>18732</v>
      </c>
      <c r="M3437" s="8" t="s">
        <v>27</v>
      </c>
      <c r="N3437" s="2" t="s">
        <v>18733</v>
      </c>
      <c r="O3437" s="8" t="s">
        <v>550</v>
      </c>
      <c r="P3437" s="8" t="s">
        <v>401</v>
      </c>
      <c r="Q3437" s="12" t="s">
        <v>18734</v>
      </c>
      <c r="R3437" s="8" t="s">
        <v>100</v>
      </c>
      <c r="S3437" s="7" t="s">
        <v>18</v>
      </c>
      <c r="T3437" s="6"/>
      <c r="U3437" s="8"/>
      <c r="Y3437" s="8"/>
      <c r="Z3437" s="8"/>
      <c r="AA3437" s="8"/>
      <c r="AB3437" s="8"/>
      <c r="AC3437" s="8"/>
      <c r="AD3437" s="8"/>
      <c r="AE3437" s="8"/>
      <c r="AF3437" s="8"/>
      <c r="AG3437" s="8"/>
      <c r="AH3437" s="8"/>
    </row>
    <row r="3438" spans="1:34" ht="13" customHeight="1">
      <c r="A3438" s="8" t="s">
        <v>18743</v>
      </c>
      <c r="B3438" s="16">
        <v>50</v>
      </c>
      <c r="C3438" s="8" t="s">
        <v>20</v>
      </c>
      <c r="D3438" s="8" t="s">
        <v>48</v>
      </c>
      <c r="E3438" s="8" t="s">
        <v>18744</v>
      </c>
      <c r="F3438" s="17">
        <v>41287</v>
      </c>
      <c r="G3438" s="8" t="s">
        <v>18745</v>
      </c>
      <c r="H3438" s="8" t="s">
        <v>1954</v>
      </c>
      <c r="I3438" s="8" t="s">
        <v>45</v>
      </c>
      <c r="J3438" s="16" t="s">
        <v>18746</v>
      </c>
      <c r="K3438" s="2" t="s">
        <v>1956</v>
      </c>
      <c r="L3438" s="8" t="s">
        <v>1957</v>
      </c>
      <c r="M3438" s="8" t="s">
        <v>27</v>
      </c>
      <c r="N3438" s="2" t="s">
        <v>18747</v>
      </c>
      <c r="O3438" s="8" t="s">
        <v>550</v>
      </c>
      <c r="P3438" s="8" t="s">
        <v>401</v>
      </c>
      <c r="Q3438" s="12" t="s">
        <v>18748</v>
      </c>
      <c r="R3438" s="8" t="s">
        <v>29</v>
      </c>
      <c r="S3438" s="7" t="s">
        <v>28</v>
      </c>
      <c r="T3438" s="6"/>
      <c r="U3438" s="8"/>
    </row>
    <row r="3439" spans="1:34" ht="13" customHeight="1">
      <c r="A3439" s="8" t="s">
        <v>18749</v>
      </c>
      <c r="B3439" s="16">
        <v>40</v>
      </c>
      <c r="C3439" s="8" t="s">
        <v>20</v>
      </c>
      <c r="D3439" s="8" t="s">
        <v>30</v>
      </c>
      <c r="F3439" s="17">
        <v>41287</v>
      </c>
      <c r="G3439" s="8" t="s">
        <v>18750</v>
      </c>
      <c r="H3439" s="8" t="s">
        <v>18751</v>
      </c>
      <c r="I3439" s="8" t="s">
        <v>62</v>
      </c>
      <c r="J3439" s="16" t="s">
        <v>18752</v>
      </c>
      <c r="K3439" s="2" t="s">
        <v>1772</v>
      </c>
      <c r="L3439" s="8" t="s">
        <v>3789</v>
      </c>
      <c r="M3439" s="8" t="s">
        <v>27</v>
      </c>
      <c r="N3439" s="2" t="s">
        <v>18753</v>
      </c>
      <c r="O3439" s="8" t="s">
        <v>550</v>
      </c>
      <c r="P3439" s="8" t="s">
        <v>401</v>
      </c>
      <c r="Q3439" s="12" t="s">
        <v>18754</v>
      </c>
      <c r="R3439" s="8" t="s">
        <v>29</v>
      </c>
      <c r="S3439" s="7" t="s">
        <v>28</v>
      </c>
      <c r="T3439" s="6"/>
      <c r="U3439" s="8"/>
    </row>
    <row r="3440" spans="1:34" ht="13" customHeight="1">
      <c r="A3440" s="8" t="s">
        <v>18755</v>
      </c>
      <c r="C3440" s="8" t="s">
        <v>20</v>
      </c>
      <c r="D3440" s="8" t="s">
        <v>30</v>
      </c>
      <c r="F3440" s="17">
        <v>41287</v>
      </c>
      <c r="G3440" s="8" t="s">
        <v>18756</v>
      </c>
      <c r="H3440" s="8" t="s">
        <v>18757</v>
      </c>
      <c r="I3440" s="8" t="s">
        <v>431</v>
      </c>
      <c r="J3440" s="16" t="s">
        <v>18758</v>
      </c>
      <c r="K3440" s="2" t="s">
        <v>5965</v>
      </c>
      <c r="L3440" s="8" t="s">
        <v>18759</v>
      </c>
      <c r="M3440" s="8" t="s">
        <v>27</v>
      </c>
      <c r="N3440" s="2" t="s">
        <v>18760</v>
      </c>
      <c r="O3440" s="8" t="s">
        <v>1013</v>
      </c>
      <c r="P3440" s="8" t="s">
        <v>401</v>
      </c>
      <c r="Q3440" s="12" t="s">
        <v>18761</v>
      </c>
      <c r="R3440" s="8" t="s">
        <v>29</v>
      </c>
      <c r="S3440" s="7" t="s">
        <v>28</v>
      </c>
      <c r="T3440" s="6"/>
      <c r="U3440" s="8"/>
    </row>
    <row r="3441" spans="1:39" ht="13" customHeight="1">
      <c r="A3441" s="8" t="s">
        <v>18762</v>
      </c>
      <c r="B3441" s="16">
        <v>21</v>
      </c>
      <c r="C3441" s="8" t="s">
        <v>20</v>
      </c>
      <c r="D3441" s="8" t="s">
        <v>48</v>
      </c>
      <c r="F3441" s="17">
        <v>41286</v>
      </c>
      <c r="G3441" s="8" t="s">
        <v>18763</v>
      </c>
      <c r="H3441" s="8" t="s">
        <v>156</v>
      </c>
      <c r="I3441" s="8" t="s">
        <v>45</v>
      </c>
      <c r="J3441" s="16" t="s">
        <v>16723</v>
      </c>
      <c r="K3441" s="2" t="s">
        <v>156</v>
      </c>
      <c r="L3441" s="8" t="s">
        <v>157</v>
      </c>
      <c r="M3441" s="8" t="s">
        <v>27</v>
      </c>
      <c r="N3441" s="2" t="s">
        <v>18764</v>
      </c>
      <c r="O3441" s="8" t="s">
        <v>550</v>
      </c>
      <c r="P3441" s="8" t="s">
        <v>401</v>
      </c>
      <c r="Q3441" s="12" t="s">
        <v>18765</v>
      </c>
      <c r="R3441" s="8" t="s">
        <v>100</v>
      </c>
      <c r="S3441" s="7" t="s">
        <v>379</v>
      </c>
      <c r="T3441" s="6"/>
      <c r="U3441" s="8"/>
    </row>
    <row r="3442" spans="1:39" ht="13" customHeight="1">
      <c r="A3442" s="8" t="s">
        <v>18766</v>
      </c>
      <c r="B3442" s="16">
        <v>49</v>
      </c>
      <c r="C3442" s="8" t="s">
        <v>20</v>
      </c>
      <c r="D3442" s="8" t="s">
        <v>30</v>
      </c>
      <c r="F3442" s="17">
        <v>41286</v>
      </c>
      <c r="G3442" s="8" t="s">
        <v>18767</v>
      </c>
      <c r="H3442" s="8" t="s">
        <v>18768</v>
      </c>
      <c r="I3442" s="8" t="s">
        <v>150</v>
      </c>
      <c r="J3442" s="16" t="s">
        <v>18769</v>
      </c>
      <c r="K3442" s="2" t="s">
        <v>918</v>
      </c>
      <c r="L3442" s="8" t="s">
        <v>18770</v>
      </c>
      <c r="M3442" s="8" t="s">
        <v>27</v>
      </c>
      <c r="N3442" s="2" t="s">
        <v>18771</v>
      </c>
      <c r="O3442" s="8" t="s">
        <v>550</v>
      </c>
      <c r="P3442" s="8" t="s">
        <v>401</v>
      </c>
      <c r="Q3442" s="12" t="s">
        <v>18772</v>
      </c>
      <c r="R3442" s="8" t="s">
        <v>29</v>
      </c>
      <c r="S3442" s="7" t="s">
        <v>28</v>
      </c>
      <c r="T3442" s="6"/>
      <c r="U3442" s="8"/>
    </row>
    <row r="3443" spans="1:39" ht="13" customHeight="1">
      <c r="A3443" s="8" t="s">
        <v>18773</v>
      </c>
      <c r="B3443" s="16">
        <v>33</v>
      </c>
      <c r="C3443" s="8" t="s">
        <v>20</v>
      </c>
      <c r="D3443" s="8" t="s">
        <v>30</v>
      </c>
      <c r="F3443" s="17">
        <v>41286</v>
      </c>
      <c r="G3443" s="8" t="s">
        <v>18774</v>
      </c>
      <c r="H3443" s="8" t="s">
        <v>18775</v>
      </c>
      <c r="I3443" s="8" t="s">
        <v>94</v>
      </c>
      <c r="J3443" s="16" t="s">
        <v>18776</v>
      </c>
      <c r="K3443" s="2" t="s">
        <v>5575</v>
      </c>
      <c r="L3443" s="8" t="s">
        <v>7769</v>
      </c>
      <c r="M3443" s="8" t="s">
        <v>27</v>
      </c>
      <c r="N3443" s="2" t="s">
        <v>18777</v>
      </c>
      <c r="O3443" s="8" t="s">
        <v>1013</v>
      </c>
      <c r="P3443" s="8" t="s">
        <v>401</v>
      </c>
      <c r="Q3443" s="12" t="s">
        <v>18778</v>
      </c>
      <c r="R3443" s="8" t="s">
        <v>29</v>
      </c>
      <c r="S3443" s="7" t="s">
        <v>379</v>
      </c>
      <c r="T3443" s="6"/>
      <c r="U3443" s="8"/>
    </row>
    <row r="3444" spans="1:39" ht="13" customHeight="1">
      <c r="A3444" s="8" t="s">
        <v>18779</v>
      </c>
      <c r="B3444" s="16" t="s">
        <v>8817</v>
      </c>
      <c r="C3444" s="8" t="s">
        <v>20</v>
      </c>
      <c r="D3444" s="8" t="s">
        <v>37</v>
      </c>
      <c r="E3444" s="8" t="s">
        <v>18780</v>
      </c>
      <c r="F3444" s="17">
        <v>41286</v>
      </c>
      <c r="G3444" s="8" t="s">
        <v>18781</v>
      </c>
      <c r="H3444" s="8" t="s">
        <v>3116</v>
      </c>
      <c r="I3444" s="8" t="s">
        <v>52</v>
      </c>
      <c r="J3444" s="16" t="s">
        <v>18782</v>
      </c>
      <c r="K3444" s="2" t="s">
        <v>3116</v>
      </c>
      <c r="L3444" s="8" t="s">
        <v>3117</v>
      </c>
      <c r="M3444" s="8" t="s">
        <v>8536</v>
      </c>
      <c r="N3444" s="2" t="s">
        <v>18783</v>
      </c>
      <c r="O3444" s="8" t="s">
        <v>550</v>
      </c>
      <c r="P3444" s="8" t="s">
        <v>401</v>
      </c>
      <c r="Q3444" s="12" t="s">
        <v>18784</v>
      </c>
      <c r="R3444" s="8" t="s">
        <v>100</v>
      </c>
      <c r="S3444" s="7" t="s">
        <v>28</v>
      </c>
      <c r="T3444" s="6"/>
      <c r="U3444" s="8"/>
    </row>
    <row r="3445" spans="1:39" ht="13" customHeight="1">
      <c r="A3445" s="8" t="s">
        <v>18785</v>
      </c>
      <c r="B3445" s="16">
        <v>31</v>
      </c>
      <c r="C3445" s="8" t="s">
        <v>20</v>
      </c>
      <c r="D3445" s="8" t="s">
        <v>37</v>
      </c>
      <c r="E3445" s="8" t="s">
        <v>18786</v>
      </c>
      <c r="F3445" s="17">
        <v>41286</v>
      </c>
      <c r="G3445" s="8" t="s">
        <v>18787</v>
      </c>
      <c r="H3445" s="8" t="s">
        <v>543</v>
      </c>
      <c r="I3445" s="8" t="s">
        <v>150</v>
      </c>
      <c r="J3445" s="16" t="s">
        <v>544</v>
      </c>
      <c r="K3445" s="2" t="s">
        <v>2914</v>
      </c>
      <c r="L3445" s="8" t="s">
        <v>18788</v>
      </c>
      <c r="M3445" s="8" t="s">
        <v>27</v>
      </c>
      <c r="N3445" s="2" t="s">
        <v>18789</v>
      </c>
      <c r="O3445" s="8" t="s">
        <v>1013</v>
      </c>
      <c r="P3445" s="8" t="s">
        <v>401</v>
      </c>
      <c r="Q3445" s="12" t="s">
        <v>18790</v>
      </c>
      <c r="R3445" s="8" t="s">
        <v>29</v>
      </c>
      <c r="S3445" s="7" t="s">
        <v>28</v>
      </c>
      <c r="T3445" s="6"/>
      <c r="U3445" s="8"/>
    </row>
    <row r="3446" spans="1:39" ht="13" customHeight="1">
      <c r="A3446" s="8" t="s">
        <v>18791</v>
      </c>
      <c r="B3446" s="16">
        <v>39</v>
      </c>
      <c r="C3446" s="8" t="s">
        <v>20</v>
      </c>
      <c r="D3446" s="8" t="s">
        <v>21</v>
      </c>
      <c r="E3446" s="8" t="s">
        <v>18792</v>
      </c>
      <c r="F3446" s="17">
        <v>41285</v>
      </c>
      <c r="G3446" s="8" t="s">
        <v>18793</v>
      </c>
      <c r="H3446" s="8" t="s">
        <v>3712</v>
      </c>
      <c r="I3446" s="8" t="s">
        <v>45</v>
      </c>
      <c r="J3446" s="16" t="s">
        <v>4029</v>
      </c>
      <c r="K3446" s="2" t="s">
        <v>1064</v>
      </c>
      <c r="L3446" s="8" t="s">
        <v>3714</v>
      </c>
      <c r="M3446" s="8" t="s">
        <v>27</v>
      </c>
      <c r="N3446" s="2" t="s">
        <v>18794</v>
      </c>
      <c r="O3446" s="8" t="s">
        <v>550</v>
      </c>
      <c r="P3446" s="8" t="s">
        <v>401</v>
      </c>
      <c r="Q3446" s="12" t="s">
        <v>18795</v>
      </c>
      <c r="R3446" s="8" t="s">
        <v>100</v>
      </c>
      <c r="S3446" s="7" t="s">
        <v>28</v>
      </c>
      <c r="T3446" s="6"/>
      <c r="U3446" s="8"/>
      <c r="AI3446" s="8"/>
      <c r="AJ3446" s="8"/>
      <c r="AK3446" s="8"/>
      <c r="AL3446" s="8"/>
      <c r="AM3446" s="8"/>
    </row>
    <row r="3447" spans="1:39" ht="13" customHeight="1">
      <c r="A3447" s="8" t="s">
        <v>18796</v>
      </c>
      <c r="B3447" s="16">
        <v>25</v>
      </c>
      <c r="C3447" s="8" t="s">
        <v>20</v>
      </c>
      <c r="D3447" s="8" t="s">
        <v>85</v>
      </c>
      <c r="E3447" s="8" t="s">
        <v>18797</v>
      </c>
      <c r="F3447" s="17">
        <v>41285</v>
      </c>
      <c r="G3447" s="8" t="s">
        <v>18798</v>
      </c>
      <c r="H3447" s="8" t="s">
        <v>9802</v>
      </c>
      <c r="I3447" s="8" t="s">
        <v>330</v>
      </c>
      <c r="J3447" s="16" t="s">
        <v>15496</v>
      </c>
      <c r="K3447" s="2" t="s">
        <v>2505</v>
      </c>
      <c r="L3447" s="8" t="s">
        <v>9804</v>
      </c>
      <c r="M3447" s="8" t="s">
        <v>27</v>
      </c>
      <c r="N3447" s="2" t="s">
        <v>18799</v>
      </c>
      <c r="O3447" s="8" t="s">
        <v>1013</v>
      </c>
      <c r="P3447" s="8" t="s">
        <v>401</v>
      </c>
      <c r="Q3447" s="12" t="s">
        <v>18800</v>
      </c>
      <c r="R3447" s="8" t="s">
        <v>100</v>
      </c>
      <c r="S3447" s="7" t="s">
        <v>28</v>
      </c>
      <c r="T3447" s="6"/>
      <c r="U3447" s="8"/>
    </row>
    <row r="3448" spans="1:39" ht="13" customHeight="1">
      <c r="A3448" s="8" t="s">
        <v>18801</v>
      </c>
      <c r="B3448" s="16">
        <v>34</v>
      </c>
      <c r="C3448" s="8" t="s">
        <v>20</v>
      </c>
      <c r="D3448" s="8" t="s">
        <v>37</v>
      </c>
      <c r="E3448" s="8" t="s">
        <v>18802</v>
      </c>
      <c r="F3448" s="17">
        <v>41285</v>
      </c>
      <c r="G3448" s="8" t="s">
        <v>18803</v>
      </c>
      <c r="H3448" s="8" t="s">
        <v>5194</v>
      </c>
      <c r="I3448" s="8" t="s">
        <v>173</v>
      </c>
      <c r="J3448" s="16">
        <v>31326</v>
      </c>
      <c r="K3448" s="2" t="s">
        <v>18804</v>
      </c>
      <c r="L3448" s="8" t="s">
        <v>18805</v>
      </c>
      <c r="M3448" s="8" t="s">
        <v>27</v>
      </c>
      <c r="N3448" s="2" t="s">
        <v>18806</v>
      </c>
      <c r="O3448" s="8" t="s">
        <v>550</v>
      </c>
      <c r="P3448" s="8" t="s">
        <v>401</v>
      </c>
      <c r="Q3448" s="12" t="s">
        <v>18807</v>
      </c>
      <c r="R3448" s="8" t="s">
        <v>100</v>
      </c>
      <c r="S3448" s="7" t="s">
        <v>28</v>
      </c>
      <c r="T3448" s="6"/>
      <c r="U3448" s="8"/>
    </row>
    <row r="3449" spans="1:39" ht="13" customHeight="1">
      <c r="A3449" s="8" t="s">
        <v>18808</v>
      </c>
      <c r="B3449" s="16" t="s">
        <v>18645</v>
      </c>
      <c r="C3449" s="8" t="s">
        <v>20</v>
      </c>
      <c r="D3449" s="8" t="s">
        <v>37</v>
      </c>
      <c r="E3449" s="8" t="s">
        <v>18809</v>
      </c>
      <c r="F3449" s="17">
        <v>41285</v>
      </c>
      <c r="G3449" s="8" t="s">
        <v>18810</v>
      </c>
      <c r="H3449" s="8" t="s">
        <v>1195</v>
      </c>
      <c r="I3449" s="8" t="s">
        <v>319</v>
      </c>
      <c r="J3449" s="16">
        <v>38126</v>
      </c>
      <c r="K3449" s="2" t="s">
        <v>1196</v>
      </c>
      <c r="L3449" s="8" t="s">
        <v>1197</v>
      </c>
      <c r="M3449" s="8" t="s">
        <v>27</v>
      </c>
      <c r="N3449" s="2" t="s">
        <v>18811</v>
      </c>
      <c r="O3449" s="8" t="s">
        <v>29</v>
      </c>
      <c r="P3449" s="8" t="s">
        <v>401</v>
      </c>
      <c r="Q3449" s="12" t="s">
        <v>18812</v>
      </c>
      <c r="R3449" s="8" t="s">
        <v>555</v>
      </c>
      <c r="S3449" s="7" t="s">
        <v>28</v>
      </c>
      <c r="T3449" s="6"/>
      <c r="U3449" s="8"/>
    </row>
    <row r="3450" spans="1:39" ht="13" customHeight="1">
      <c r="A3450" s="8" t="s">
        <v>18813</v>
      </c>
      <c r="B3450" s="16">
        <v>18</v>
      </c>
      <c r="C3450" s="8" t="s">
        <v>20</v>
      </c>
      <c r="D3450" s="8" t="s">
        <v>37</v>
      </c>
      <c r="E3450" s="8" t="s">
        <v>18814</v>
      </c>
      <c r="F3450" s="17">
        <v>41284</v>
      </c>
      <c r="G3450" s="8" t="s">
        <v>18815</v>
      </c>
      <c r="H3450" s="8" t="s">
        <v>565</v>
      </c>
      <c r="I3450" s="8" t="s">
        <v>395</v>
      </c>
      <c r="J3450" s="16" t="s">
        <v>18816</v>
      </c>
      <c r="K3450" s="2" t="s">
        <v>566</v>
      </c>
      <c r="L3450" s="8" t="s">
        <v>567</v>
      </c>
      <c r="M3450" s="8" t="s">
        <v>27</v>
      </c>
      <c r="N3450" s="2" t="s">
        <v>18817</v>
      </c>
      <c r="O3450" s="8" t="s">
        <v>550</v>
      </c>
      <c r="P3450" s="8" t="s">
        <v>401</v>
      </c>
      <c r="Q3450" s="12" t="s">
        <v>18818</v>
      </c>
      <c r="R3450" s="8" t="s">
        <v>29</v>
      </c>
      <c r="S3450" s="7" t="s">
        <v>28</v>
      </c>
      <c r="T3450" s="6"/>
      <c r="U3450" s="8"/>
    </row>
    <row r="3451" spans="1:39" ht="13" customHeight="1">
      <c r="A3451" s="8" t="s">
        <v>18819</v>
      </c>
      <c r="B3451" s="16">
        <v>19</v>
      </c>
      <c r="C3451" s="8" t="s">
        <v>20</v>
      </c>
      <c r="D3451" s="8" t="s">
        <v>37</v>
      </c>
      <c r="E3451" s="8" t="s">
        <v>18820</v>
      </c>
      <c r="F3451" s="17">
        <v>41284</v>
      </c>
      <c r="G3451" s="8" t="s">
        <v>18821</v>
      </c>
      <c r="H3451" s="8" t="s">
        <v>18822</v>
      </c>
      <c r="I3451" s="8" t="s">
        <v>52</v>
      </c>
      <c r="J3451" s="16" t="s">
        <v>18823</v>
      </c>
      <c r="K3451" s="2" t="s">
        <v>3116</v>
      </c>
      <c r="L3451" s="8" t="s">
        <v>3117</v>
      </c>
      <c r="M3451" s="8" t="s">
        <v>27</v>
      </c>
      <c r="N3451" s="2" t="s">
        <v>18824</v>
      </c>
      <c r="O3451" s="8" t="s">
        <v>550</v>
      </c>
      <c r="P3451" s="8" t="s">
        <v>401</v>
      </c>
      <c r="Q3451" s="12" t="s">
        <v>18825</v>
      </c>
      <c r="R3451" s="8" t="s">
        <v>100</v>
      </c>
      <c r="S3451" s="7" t="s">
        <v>28</v>
      </c>
      <c r="T3451" s="6"/>
      <c r="U3451" s="8"/>
    </row>
    <row r="3452" spans="1:39" ht="13" customHeight="1">
      <c r="A3452" s="8" t="s">
        <v>18826</v>
      </c>
      <c r="B3452" s="16">
        <v>37</v>
      </c>
      <c r="C3452" s="8" t="s">
        <v>20</v>
      </c>
      <c r="D3452" s="8" t="s">
        <v>37</v>
      </c>
      <c r="E3452" s="8" t="s">
        <v>18827</v>
      </c>
      <c r="F3452" s="17">
        <v>41284</v>
      </c>
      <c r="G3452" s="8" t="s">
        <v>18828</v>
      </c>
      <c r="H3452" s="8" t="s">
        <v>18829</v>
      </c>
      <c r="I3452" s="8" t="s">
        <v>150</v>
      </c>
      <c r="J3452" s="16" t="s">
        <v>18830</v>
      </c>
      <c r="K3452" s="2" t="s">
        <v>993</v>
      </c>
      <c r="L3452" s="8" t="s">
        <v>17515</v>
      </c>
      <c r="M3452" s="8" t="s">
        <v>27</v>
      </c>
      <c r="N3452" s="2" t="s">
        <v>18831</v>
      </c>
      <c r="O3452" s="8" t="s">
        <v>29</v>
      </c>
      <c r="P3452" s="8" t="s">
        <v>401</v>
      </c>
      <c r="Q3452" s="12" t="s">
        <v>18832</v>
      </c>
      <c r="R3452" s="8" t="s">
        <v>555</v>
      </c>
      <c r="S3452" s="7" t="s">
        <v>28</v>
      </c>
      <c r="T3452" s="6"/>
      <c r="U3452" s="8"/>
    </row>
    <row r="3453" spans="1:39" ht="13" customHeight="1">
      <c r="A3453" s="8" t="s">
        <v>18833</v>
      </c>
      <c r="B3453" s="16">
        <v>31</v>
      </c>
      <c r="C3453" s="8" t="s">
        <v>20</v>
      </c>
      <c r="D3453" s="8" t="s">
        <v>85</v>
      </c>
      <c r="E3453" s="8" t="str">
        <f>HYPERLINK("http://www.baynews9.com/content/dam/news/images/2012/12/Suspect-killed-110.jpg","http://www.baynews9.com/content/dam/news/images/2012/12/Suspect-killed-110.jpg")</f>
        <v>http://www.baynews9.com/content/dam/news/images/2012/12/Suspect-killed-110.jpg</v>
      </c>
      <c r="F3453" s="17">
        <v>41283</v>
      </c>
      <c r="G3453" s="8" t="s">
        <v>18834</v>
      </c>
      <c r="H3453" s="8" t="s">
        <v>1571</v>
      </c>
      <c r="I3453" s="8" t="s">
        <v>62</v>
      </c>
      <c r="J3453" s="16" t="s">
        <v>18835</v>
      </c>
      <c r="K3453" s="2" t="s">
        <v>640</v>
      </c>
      <c r="L3453" s="8" t="s">
        <v>641</v>
      </c>
      <c r="M3453" s="8" t="s">
        <v>27</v>
      </c>
      <c r="N3453" s="2" t="s">
        <v>18836</v>
      </c>
      <c r="O3453" s="8" t="s">
        <v>1013</v>
      </c>
      <c r="P3453" s="8" t="s">
        <v>401</v>
      </c>
      <c r="Q3453" s="12" t="str">
        <f>HYPERLINK("http://www.baynews9.com/content/news/baynews9/news/article.html/content/news/articles/bn9/2013/1/10/with_deputy_in_fight.html","http://www.baynews9.com/content/news/baynews9/news/article.html/content/news/articles/bn9/2013/1/10/with_deputy_in_fight.html")</f>
        <v>http://www.baynews9.com/content/news/baynews9/news/article.html/content/news/articles/bn9/2013/1/10/with_deputy_in_fight.html</v>
      </c>
      <c r="R3453" s="8" t="s">
        <v>100</v>
      </c>
      <c r="S3453" s="7" t="s">
        <v>28</v>
      </c>
      <c r="T3453" s="6"/>
      <c r="U3453" s="8"/>
    </row>
    <row r="3454" spans="1:39" ht="13" customHeight="1">
      <c r="A3454" s="8" t="s">
        <v>18837</v>
      </c>
      <c r="B3454" s="16">
        <v>60</v>
      </c>
      <c r="C3454" s="8" t="s">
        <v>114</v>
      </c>
      <c r="D3454" s="8" t="s">
        <v>30</v>
      </c>
      <c r="F3454" s="17">
        <v>41283</v>
      </c>
      <c r="G3454" s="8" t="s">
        <v>18838</v>
      </c>
      <c r="H3454" s="8" t="s">
        <v>18839</v>
      </c>
      <c r="I3454" s="8" t="s">
        <v>62</v>
      </c>
      <c r="J3454" s="16" t="s">
        <v>18840</v>
      </c>
      <c r="K3454" s="2" t="s">
        <v>1127</v>
      </c>
      <c r="L3454" s="8" t="s">
        <v>4412</v>
      </c>
      <c r="M3454" s="8" t="s">
        <v>27</v>
      </c>
      <c r="N3454" s="2" t="s">
        <v>18841</v>
      </c>
      <c r="O3454" s="8" t="s">
        <v>1013</v>
      </c>
      <c r="P3454" s="8" t="s">
        <v>401</v>
      </c>
      <c r="Q3454" s="12" t="s">
        <v>18842</v>
      </c>
      <c r="R3454" s="8" t="s">
        <v>555</v>
      </c>
      <c r="S3454" s="7" t="s">
        <v>28</v>
      </c>
      <c r="T3454" s="6"/>
      <c r="U3454" s="8"/>
    </row>
    <row r="3455" spans="1:39" ht="13" customHeight="1">
      <c r="A3455" s="8" t="s">
        <v>18843</v>
      </c>
      <c r="B3455" s="16">
        <v>38</v>
      </c>
      <c r="C3455" s="8" t="s">
        <v>114</v>
      </c>
      <c r="D3455" s="8" t="s">
        <v>37</v>
      </c>
      <c r="E3455" s="8" t="s">
        <v>18844</v>
      </c>
      <c r="F3455" s="17">
        <v>41283</v>
      </c>
      <c r="G3455" s="8" t="s">
        <v>18845</v>
      </c>
      <c r="H3455" s="8" t="s">
        <v>239</v>
      </c>
      <c r="I3455" s="8" t="s">
        <v>240</v>
      </c>
      <c r="J3455" s="16" t="s">
        <v>18846</v>
      </c>
      <c r="K3455" s="2" t="s">
        <v>613</v>
      </c>
      <c r="L3455" s="8" t="s">
        <v>17748</v>
      </c>
      <c r="M3455" s="8" t="s">
        <v>27</v>
      </c>
      <c r="N3455" s="2" t="s">
        <v>18847</v>
      </c>
      <c r="O3455" s="8" t="s">
        <v>550</v>
      </c>
      <c r="P3455" s="8" t="s">
        <v>401</v>
      </c>
      <c r="Q3455" s="12" t="s">
        <v>18848</v>
      </c>
      <c r="R3455" s="8" t="s">
        <v>100</v>
      </c>
      <c r="S3455" s="7" t="s">
        <v>28</v>
      </c>
      <c r="T3455" s="6"/>
      <c r="U3455" s="8"/>
    </row>
    <row r="3456" spans="1:39" ht="13" customHeight="1">
      <c r="A3456" s="8" t="s">
        <v>18855</v>
      </c>
      <c r="B3456" s="16">
        <v>24</v>
      </c>
      <c r="C3456" s="8" t="s">
        <v>114</v>
      </c>
      <c r="D3456" s="8" t="s">
        <v>37</v>
      </c>
      <c r="E3456" s="8" t="s">
        <v>18856</v>
      </c>
      <c r="F3456" s="17">
        <v>41282</v>
      </c>
      <c r="G3456" s="8" t="s">
        <v>18857</v>
      </c>
      <c r="H3456" s="8" t="s">
        <v>18858</v>
      </c>
      <c r="I3456" s="8" t="s">
        <v>62</v>
      </c>
      <c r="J3456" s="16" t="s">
        <v>18859</v>
      </c>
      <c r="K3456" s="2" t="s">
        <v>5354</v>
      </c>
      <c r="L3456" s="8" t="s">
        <v>63</v>
      </c>
      <c r="M3456" s="8" t="s">
        <v>27</v>
      </c>
      <c r="N3456" s="2" t="s">
        <v>18860</v>
      </c>
      <c r="O3456" s="8" t="s">
        <v>29</v>
      </c>
      <c r="P3456" s="8" t="s">
        <v>401</v>
      </c>
      <c r="Q3456" s="12" t="s">
        <v>18861</v>
      </c>
      <c r="R3456" s="8" t="s">
        <v>29</v>
      </c>
      <c r="S3456" s="7" t="s">
        <v>28</v>
      </c>
      <c r="T3456" s="6"/>
      <c r="U3456" s="8"/>
    </row>
    <row r="3457" spans="1:39" ht="13" customHeight="1">
      <c r="A3457" s="8" t="s">
        <v>18849</v>
      </c>
      <c r="B3457" s="16">
        <v>54</v>
      </c>
      <c r="C3457" s="8" t="s">
        <v>20</v>
      </c>
      <c r="D3457" s="8" t="s">
        <v>37</v>
      </c>
      <c r="E3457" s="8" t="s">
        <v>18850</v>
      </c>
      <c r="F3457" s="17">
        <v>41282</v>
      </c>
      <c r="G3457" s="8" t="s">
        <v>18851</v>
      </c>
      <c r="H3457" s="8" t="s">
        <v>3536</v>
      </c>
      <c r="I3457" s="8" t="s">
        <v>123</v>
      </c>
      <c r="J3457" s="16" t="s">
        <v>18852</v>
      </c>
      <c r="K3457" s="2" t="s">
        <v>635</v>
      </c>
      <c r="L3457" s="8" t="s">
        <v>1896</v>
      </c>
      <c r="M3457" s="8" t="s">
        <v>27</v>
      </c>
      <c r="N3457" s="2" t="s">
        <v>18853</v>
      </c>
      <c r="O3457" s="8" t="s">
        <v>550</v>
      </c>
      <c r="P3457" s="8" t="s">
        <v>401</v>
      </c>
      <c r="Q3457" s="12" t="s">
        <v>18854</v>
      </c>
      <c r="R3457" s="8" t="s">
        <v>555</v>
      </c>
      <c r="S3457" s="7" t="s">
        <v>28</v>
      </c>
      <c r="T3457" s="6"/>
      <c r="U3457" s="8"/>
    </row>
    <row r="3458" spans="1:39" ht="13" customHeight="1">
      <c r="A3458" s="8" t="s">
        <v>18862</v>
      </c>
      <c r="B3458" s="16" t="s">
        <v>13480</v>
      </c>
      <c r="C3458" s="8" t="s">
        <v>20</v>
      </c>
      <c r="D3458" s="8" t="s">
        <v>48</v>
      </c>
      <c r="E3458" s="8" t="s">
        <v>18863</v>
      </c>
      <c r="F3458" s="17">
        <v>41281</v>
      </c>
      <c r="G3458" s="8" t="s">
        <v>18864</v>
      </c>
      <c r="H3458" s="8" t="s">
        <v>634</v>
      </c>
      <c r="I3458" s="8" t="s">
        <v>123</v>
      </c>
      <c r="J3458" s="16">
        <v>85009</v>
      </c>
      <c r="K3458" s="2" t="s">
        <v>635</v>
      </c>
      <c r="L3458" s="8" t="s">
        <v>636</v>
      </c>
      <c r="M3458" s="8" t="s">
        <v>27</v>
      </c>
      <c r="N3458" s="2" t="s">
        <v>18865</v>
      </c>
      <c r="O3458" s="8" t="s">
        <v>29</v>
      </c>
      <c r="P3458" s="8" t="s">
        <v>401</v>
      </c>
      <c r="Q3458" s="12" t="s">
        <v>18866</v>
      </c>
      <c r="R3458" s="8" t="s">
        <v>100</v>
      </c>
      <c r="S3458" s="7" t="s">
        <v>379</v>
      </c>
      <c r="T3458" s="6"/>
      <c r="U3458" s="8"/>
    </row>
    <row r="3459" spans="1:39" ht="13" customHeight="1">
      <c r="A3459" s="8" t="s">
        <v>18867</v>
      </c>
      <c r="B3459" s="16">
        <v>17</v>
      </c>
      <c r="C3459" s="8" t="s">
        <v>20</v>
      </c>
      <c r="D3459" s="8" t="s">
        <v>30</v>
      </c>
      <c r="F3459" s="17">
        <v>41281</v>
      </c>
      <c r="G3459" s="8" t="s">
        <v>18868</v>
      </c>
      <c r="H3459" s="8" t="s">
        <v>87</v>
      </c>
      <c r="I3459" s="8" t="s">
        <v>44</v>
      </c>
      <c r="J3459" s="16" t="s">
        <v>1681</v>
      </c>
      <c r="K3459" s="2" t="s">
        <v>88</v>
      </c>
      <c r="L3459" s="8" t="s">
        <v>89</v>
      </c>
      <c r="M3459" s="8" t="s">
        <v>27</v>
      </c>
      <c r="N3459" s="2" t="s">
        <v>18869</v>
      </c>
      <c r="O3459" s="8" t="s">
        <v>1013</v>
      </c>
      <c r="P3459" s="8" t="s">
        <v>401</v>
      </c>
      <c r="Q3459" s="12" t="s">
        <v>18870</v>
      </c>
      <c r="R3459" s="8" t="s">
        <v>100</v>
      </c>
      <c r="S3459" s="7" t="s">
        <v>18</v>
      </c>
      <c r="T3459" s="6"/>
      <c r="U3459" s="8"/>
    </row>
    <row r="3460" spans="1:39" ht="13" customHeight="1">
      <c r="A3460" s="8" t="s">
        <v>18871</v>
      </c>
      <c r="B3460" s="16">
        <v>44</v>
      </c>
      <c r="C3460" s="8" t="s">
        <v>20</v>
      </c>
      <c r="D3460" s="8" t="s">
        <v>37</v>
      </c>
      <c r="E3460" s="8" t="s">
        <v>18872</v>
      </c>
      <c r="F3460" s="17">
        <v>41281</v>
      </c>
      <c r="G3460" s="8" t="s">
        <v>18873</v>
      </c>
      <c r="H3460" s="8" t="s">
        <v>18874</v>
      </c>
      <c r="I3460" s="8" t="s">
        <v>150</v>
      </c>
      <c r="J3460" s="16" t="s">
        <v>18875</v>
      </c>
      <c r="K3460" s="2" t="s">
        <v>18876</v>
      </c>
      <c r="L3460" s="8" t="s">
        <v>17515</v>
      </c>
      <c r="M3460" s="8" t="s">
        <v>27</v>
      </c>
      <c r="N3460" s="2" t="s">
        <v>18877</v>
      </c>
      <c r="O3460" s="8" t="s">
        <v>550</v>
      </c>
      <c r="P3460" s="8" t="s">
        <v>401</v>
      </c>
      <c r="Q3460" s="12" t="s">
        <v>18878</v>
      </c>
      <c r="R3460" s="8" t="s">
        <v>555</v>
      </c>
      <c r="S3460" s="7" t="s">
        <v>28</v>
      </c>
      <c r="T3460" s="6"/>
      <c r="U3460" s="8"/>
    </row>
    <row r="3461" spans="1:39" ht="13" customHeight="1">
      <c r="A3461" s="8" t="s">
        <v>18879</v>
      </c>
      <c r="B3461" s="16">
        <v>29</v>
      </c>
      <c r="C3461" s="8" t="s">
        <v>20</v>
      </c>
      <c r="D3461" s="8" t="s">
        <v>37</v>
      </c>
      <c r="E3461" s="8" t="s">
        <v>18880</v>
      </c>
      <c r="F3461" s="17">
        <v>41280</v>
      </c>
      <c r="G3461" s="8" t="s">
        <v>18881</v>
      </c>
      <c r="H3461" s="8" t="s">
        <v>4602</v>
      </c>
      <c r="I3461" s="8" t="s">
        <v>857</v>
      </c>
      <c r="J3461" s="16" t="s">
        <v>4603</v>
      </c>
      <c r="K3461" s="2" t="s">
        <v>4604</v>
      </c>
      <c r="L3461" s="8" t="s">
        <v>10500</v>
      </c>
      <c r="M3461" s="8" t="s">
        <v>27</v>
      </c>
      <c r="N3461" s="2" t="s">
        <v>18882</v>
      </c>
      <c r="O3461" s="8" t="s">
        <v>550</v>
      </c>
      <c r="P3461" s="8" t="s">
        <v>401</v>
      </c>
      <c r="Q3461" s="12" t="s">
        <v>18883</v>
      </c>
      <c r="R3461" s="8" t="s">
        <v>100</v>
      </c>
      <c r="S3461" s="7" t="s">
        <v>28</v>
      </c>
      <c r="T3461" s="6"/>
      <c r="U3461" s="8"/>
    </row>
    <row r="3462" spans="1:39" ht="13" customHeight="1">
      <c r="A3462" s="8" t="s">
        <v>18897</v>
      </c>
      <c r="B3462" s="16">
        <v>31</v>
      </c>
      <c r="C3462" s="8" t="s">
        <v>20</v>
      </c>
      <c r="D3462" s="8" t="s">
        <v>37</v>
      </c>
      <c r="E3462" s="8" t="s">
        <v>18898</v>
      </c>
      <c r="F3462" s="17">
        <v>41280</v>
      </c>
      <c r="G3462" s="8" t="s">
        <v>18899</v>
      </c>
      <c r="H3462" s="8" t="s">
        <v>18900</v>
      </c>
      <c r="I3462" s="8" t="s">
        <v>404</v>
      </c>
      <c r="J3462" s="16" t="s">
        <v>18901</v>
      </c>
      <c r="K3462" s="2" t="s">
        <v>1108</v>
      </c>
      <c r="L3462" s="8" t="s">
        <v>18902</v>
      </c>
      <c r="M3462" s="8" t="s">
        <v>27</v>
      </c>
      <c r="N3462" s="2" t="s">
        <v>18903</v>
      </c>
      <c r="O3462" s="8" t="s">
        <v>1013</v>
      </c>
      <c r="P3462" s="8" t="s">
        <v>401</v>
      </c>
      <c r="Q3462" s="12" t="s">
        <v>18904</v>
      </c>
      <c r="R3462" s="8" t="s">
        <v>100</v>
      </c>
      <c r="S3462" s="7" t="s">
        <v>28</v>
      </c>
      <c r="T3462" s="6"/>
      <c r="U3462" s="8"/>
    </row>
    <row r="3463" spans="1:39" ht="13" customHeight="1">
      <c r="A3463" s="8" t="s">
        <v>18890</v>
      </c>
      <c r="B3463" s="16">
        <v>38</v>
      </c>
      <c r="C3463" s="8" t="s">
        <v>20</v>
      </c>
      <c r="D3463" s="8" t="s">
        <v>37</v>
      </c>
      <c r="F3463" s="17">
        <v>41280</v>
      </c>
      <c r="G3463" s="8" t="s">
        <v>18891</v>
      </c>
      <c r="H3463" s="8" t="s">
        <v>18892</v>
      </c>
      <c r="I3463" s="8" t="s">
        <v>57</v>
      </c>
      <c r="J3463" s="16" t="s">
        <v>18893</v>
      </c>
      <c r="K3463" s="2" t="s">
        <v>603</v>
      </c>
      <c r="L3463" s="8" t="s">
        <v>18894</v>
      </c>
      <c r="M3463" s="8" t="s">
        <v>27</v>
      </c>
      <c r="N3463" s="2" t="s">
        <v>18895</v>
      </c>
      <c r="O3463" s="8" t="s">
        <v>550</v>
      </c>
      <c r="P3463" s="8" t="s">
        <v>401</v>
      </c>
      <c r="Q3463" s="12" t="s">
        <v>18896</v>
      </c>
      <c r="R3463" s="8" t="s">
        <v>555</v>
      </c>
      <c r="S3463" s="7" t="s">
        <v>28</v>
      </c>
      <c r="T3463" s="6"/>
      <c r="U3463" s="8"/>
    </row>
    <row r="3464" spans="1:39" ht="13" customHeight="1">
      <c r="A3464" s="8" t="s">
        <v>18884</v>
      </c>
      <c r="B3464" s="16">
        <v>55</v>
      </c>
      <c r="C3464" s="8" t="s">
        <v>20</v>
      </c>
      <c r="D3464" s="8" t="s">
        <v>37</v>
      </c>
      <c r="E3464" s="8" t="s">
        <v>18885</v>
      </c>
      <c r="F3464" s="17">
        <v>41280</v>
      </c>
      <c r="G3464" s="8" t="s">
        <v>18886</v>
      </c>
      <c r="H3464" s="8" t="s">
        <v>4218</v>
      </c>
      <c r="I3464" s="8" t="s">
        <v>366</v>
      </c>
      <c r="J3464" s="16" t="s">
        <v>18887</v>
      </c>
      <c r="K3464" s="2" t="s">
        <v>4220</v>
      </c>
      <c r="L3464" s="8" t="s">
        <v>4221</v>
      </c>
      <c r="M3464" s="8" t="s">
        <v>27</v>
      </c>
      <c r="N3464" s="2" t="s">
        <v>18888</v>
      </c>
      <c r="O3464" s="8" t="s">
        <v>1013</v>
      </c>
      <c r="P3464" s="8" t="s">
        <v>401</v>
      </c>
      <c r="Q3464" s="12" t="s">
        <v>18889</v>
      </c>
      <c r="R3464" s="8" t="s">
        <v>100</v>
      </c>
      <c r="S3464" s="7" t="s">
        <v>28</v>
      </c>
      <c r="T3464" s="6"/>
      <c r="U3464" s="8"/>
    </row>
    <row r="3465" spans="1:39" ht="13" customHeight="1">
      <c r="A3465" s="8" t="s">
        <v>18905</v>
      </c>
      <c r="B3465" s="16">
        <v>27</v>
      </c>
      <c r="C3465" s="8" t="s">
        <v>20</v>
      </c>
      <c r="D3465" s="8" t="s">
        <v>21</v>
      </c>
      <c r="E3465" s="8" t="s">
        <v>18906</v>
      </c>
      <c r="F3465" s="17">
        <v>41279</v>
      </c>
      <c r="G3465" s="8" t="s">
        <v>18907</v>
      </c>
      <c r="H3465" s="8" t="s">
        <v>18908</v>
      </c>
      <c r="I3465" s="8" t="s">
        <v>81</v>
      </c>
      <c r="J3465" s="16" t="s">
        <v>18909</v>
      </c>
      <c r="K3465" s="2" t="s">
        <v>18910</v>
      </c>
      <c r="L3465" s="8" t="s">
        <v>18911</v>
      </c>
      <c r="M3465" s="8" t="s">
        <v>27</v>
      </c>
      <c r="N3465" s="2" t="s">
        <v>18912</v>
      </c>
      <c r="O3465" s="8" t="s">
        <v>1161</v>
      </c>
      <c r="P3465" s="8" t="s">
        <v>1162</v>
      </c>
      <c r="Q3465" s="12" t="s">
        <v>18913</v>
      </c>
      <c r="R3465" s="8" t="s">
        <v>100</v>
      </c>
      <c r="S3465" s="7" t="s">
        <v>28</v>
      </c>
      <c r="T3465" s="6"/>
      <c r="U3465" s="8"/>
      <c r="AI3465" s="8"/>
      <c r="AJ3465" s="8"/>
      <c r="AK3465" s="8"/>
      <c r="AL3465" s="8"/>
      <c r="AM3465" s="8"/>
    </row>
    <row r="3466" spans="1:39" ht="13" customHeight="1">
      <c r="A3466" s="8" t="s">
        <v>18914</v>
      </c>
      <c r="B3466" s="16">
        <v>39</v>
      </c>
      <c r="C3466" s="8" t="s">
        <v>20</v>
      </c>
      <c r="D3466" s="8" t="s">
        <v>30</v>
      </c>
      <c r="F3466" s="17">
        <v>41279</v>
      </c>
      <c r="G3466" s="8" t="s">
        <v>18915</v>
      </c>
      <c r="H3466" s="8" t="s">
        <v>634</v>
      </c>
      <c r="I3466" s="8" t="s">
        <v>123</v>
      </c>
      <c r="J3466" s="16" t="s">
        <v>7889</v>
      </c>
      <c r="K3466" s="2" t="s">
        <v>635</v>
      </c>
      <c r="L3466" s="8" t="s">
        <v>636</v>
      </c>
      <c r="M3466" s="8" t="s">
        <v>27</v>
      </c>
      <c r="N3466" s="2" t="s">
        <v>18916</v>
      </c>
      <c r="O3466" s="8" t="s">
        <v>1013</v>
      </c>
      <c r="P3466" s="8" t="s">
        <v>401</v>
      </c>
      <c r="Q3466" s="12" t="s">
        <v>18917</v>
      </c>
      <c r="R3466" s="8" t="s">
        <v>100</v>
      </c>
      <c r="S3466" s="7" t="s">
        <v>28</v>
      </c>
      <c r="T3466" s="6"/>
      <c r="U3466" s="8"/>
    </row>
    <row r="3467" spans="1:39" ht="13" customHeight="1">
      <c r="A3467" s="8" t="s">
        <v>18918</v>
      </c>
      <c r="B3467" s="16">
        <v>33</v>
      </c>
      <c r="C3467" s="8" t="s">
        <v>20</v>
      </c>
      <c r="D3467" s="8" t="s">
        <v>37</v>
      </c>
      <c r="E3467" s="8" t="s">
        <v>18919</v>
      </c>
      <c r="F3467" s="17">
        <v>41279</v>
      </c>
      <c r="G3467" s="8" t="s">
        <v>18920</v>
      </c>
      <c r="H3467" s="8" t="s">
        <v>3847</v>
      </c>
      <c r="I3467" s="8" t="s">
        <v>209</v>
      </c>
      <c r="J3467" s="16" t="s">
        <v>9405</v>
      </c>
      <c r="K3467" s="2" t="s">
        <v>3849</v>
      </c>
      <c r="L3467" s="8" t="s">
        <v>3850</v>
      </c>
      <c r="M3467" s="8" t="s">
        <v>27</v>
      </c>
      <c r="N3467" s="2" t="s">
        <v>18921</v>
      </c>
      <c r="O3467" s="8" t="s">
        <v>1013</v>
      </c>
      <c r="P3467" s="8" t="s">
        <v>401</v>
      </c>
      <c r="Q3467" s="12" t="s">
        <v>18922</v>
      </c>
      <c r="R3467" s="8" t="s">
        <v>100</v>
      </c>
      <c r="S3467" s="7" t="s">
        <v>28</v>
      </c>
      <c r="T3467" s="6"/>
      <c r="U3467" s="8"/>
      <c r="Y3467" s="8"/>
      <c r="Z3467" s="8"/>
      <c r="AA3467" s="8"/>
      <c r="AB3467" s="8"/>
      <c r="AC3467" s="8"/>
      <c r="AD3467" s="8"/>
      <c r="AE3467" s="8"/>
      <c r="AF3467" s="8"/>
      <c r="AG3467" s="8"/>
      <c r="AH3467" s="8"/>
    </row>
    <row r="3468" spans="1:39" ht="13" customHeight="1">
      <c r="A3468" s="8" t="s">
        <v>18936</v>
      </c>
      <c r="B3468" s="16">
        <v>52</v>
      </c>
      <c r="C3468" s="8" t="s">
        <v>20</v>
      </c>
      <c r="D3468" s="8" t="s">
        <v>37</v>
      </c>
      <c r="E3468" s="8" t="s">
        <v>18937</v>
      </c>
      <c r="F3468" s="17">
        <v>41279</v>
      </c>
      <c r="G3468" s="8" t="s">
        <v>18938</v>
      </c>
      <c r="H3468" s="8" t="s">
        <v>18939</v>
      </c>
      <c r="I3468" s="8" t="s">
        <v>123</v>
      </c>
      <c r="J3468" s="16" t="s">
        <v>18940</v>
      </c>
      <c r="K3468" s="2" t="s">
        <v>635</v>
      </c>
      <c r="L3468" s="8" t="s">
        <v>18941</v>
      </c>
      <c r="M3468" s="8" t="s">
        <v>27</v>
      </c>
      <c r="N3468" s="2" t="s">
        <v>18942</v>
      </c>
      <c r="O3468" s="8" t="s">
        <v>1013</v>
      </c>
      <c r="P3468" s="8" t="s">
        <v>401</v>
      </c>
      <c r="Q3468" s="12" t="s">
        <v>18943</v>
      </c>
      <c r="R3468" s="8" t="s">
        <v>555</v>
      </c>
      <c r="S3468" s="7" t="s">
        <v>28</v>
      </c>
      <c r="T3468" s="6"/>
      <c r="U3468" s="8"/>
    </row>
    <row r="3469" spans="1:39" ht="13" customHeight="1">
      <c r="A3469" s="8" t="s">
        <v>18923</v>
      </c>
      <c r="B3469" s="16">
        <v>55</v>
      </c>
      <c r="C3469" s="8" t="s">
        <v>20</v>
      </c>
      <c r="D3469" s="8" t="s">
        <v>37</v>
      </c>
      <c r="E3469" s="8" t="s">
        <v>18924</v>
      </c>
      <c r="F3469" s="17">
        <v>41279</v>
      </c>
      <c r="G3469" s="8" t="s">
        <v>18925</v>
      </c>
      <c r="H3469" s="8" t="s">
        <v>18926</v>
      </c>
      <c r="I3469" s="8" t="s">
        <v>57</v>
      </c>
      <c r="J3469" s="16" t="s">
        <v>18927</v>
      </c>
      <c r="K3469" s="2" t="s">
        <v>10076</v>
      </c>
      <c r="L3469" s="8" t="s">
        <v>18928</v>
      </c>
      <c r="M3469" s="8" t="s">
        <v>27</v>
      </c>
      <c r="N3469" s="2" t="s">
        <v>18929</v>
      </c>
      <c r="O3469" s="8" t="s">
        <v>550</v>
      </c>
      <c r="P3469" s="8" t="s">
        <v>401</v>
      </c>
      <c r="Q3469" s="12" t="s">
        <v>18930</v>
      </c>
      <c r="R3469" s="8" t="s">
        <v>29</v>
      </c>
      <c r="S3469" s="7" t="s">
        <v>28</v>
      </c>
      <c r="T3469" s="6"/>
      <c r="U3469" s="8"/>
    </row>
    <row r="3470" spans="1:39" ht="13" customHeight="1">
      <c r="A3470" s="8" t="s">
        <v>18931</v>
      </c>
      <c r="B3470" s="16">
        <v>58</v>
      </c>
      <c r="C3470" s="8" t="s">
        <v>20</v>
      </c>
      <c r="D3470" s="8" t="s">
        <v>37</v>
      </c>
      <c r="E3470" s="8" t="s">
        <v>18932</v>
      </c>
      <c r="F3470" s="17">
        <v>41279</v>
      </c>
      <c r="G3470" s="8" t="s">
        <v>18933</v>
      </c>
      <c r="H3470" s="8" t="s">
        <v>3250</v>
      </c>
      <c r="I3470" s="8" t="s">
        <v>45</v>
      </c>
      <c r="J3470" s="16" t="s">
        <v>14384</v>
      </c>
      <c r="K3470" s="2" t="s">
        <v>3250</v>
      </c>
      <c r="L3470" s="8" t="s">
        <v>960</v>
      </c>
      <c r="M3470" s="8" t="s">
        <v>27</v>
      </c>
      <c r="N3470" s="2" t="s">
        <v>18934</v>
      </c>
      <c r="O3470" s="8" t="s">
        <v>550</v>
      </c>
      <c r="P3470" s="8" t="s">
        <v>401</v>
      </c>
      <c r="Q3470" s="12" t="s">
        <v>18935</v>
      </c>
      <c r="R3470" s="8" t="s">
        <v>29</v>
      </c>
      <c r="S3470" s="7" t="s">
        <v>28</v>
      </c>
      <c r="T3470" s="6"/>
      <c r="U3470" s="8"/>
    </row>
    <row r="3471" spans="1:39" ht="13" customHeight="1">
      <c r="A3471" s="8" t="s">
        <v>18950</v>
      </c>
      <c r="B3471" s="16" t="s">
        <v>13637</v>
      </c>
      <c r="C3471" s="8" t="s">
        <v>20</v>
      </c>
      <c r="D3471" s="8" t="s">
        <v>85</v>
      </c>
      <c r="F3471" s="17">
        <v>41278</v>
      </c>
      <c r="G3471" s="8" t="s">
        <v>18951</v>
      </c>
      <c r="H3471" s="8" t="s">
        <v>1103</v>
      </c>
      <c r="I3471" s="8" t="s">
        <v>404</v>
      </c>
      <c r="J3471" s="16">
        <v>19132</v>
      </c>
      <c r="K3471" s="2" t="s">
        <v>1103</v>
      </c>
      <c r="L3471" s="8" t="s">
        <v>1104</v>
      </c>
      <c r="M3471" s="8" t="s">
        <v>27</v>
      </c>
      <c r="N3471" s="2" t="s">
        <v>18952</v>
      </c>
      <c r="O3471" s="8" t="s">
        <v>29</v>
      </c>
      <c r="P3471" s="8" t="s">
        <v>401</v>
      </c>
      <c r="Q3471" s="12" t="s">
        <v>18953</v>
      </c>
      <c r="R3471" s="8" t="s">
        <v>100</v>
      </c>
      <c r="S3471" s="7" t="s">
        <v>28</v>
      </c>
      <c r="T3471" s="6"/>
      <c r="U3471" s="8"/>
    </row>
    <row r="3472" spans="1:39" ht="13" customHeight="1">
      <c r="A3472" s="8" t="s">
        <v>18944</v>
      </c>
      <c r="B3472" s="16">
        <v>31</v>
      </c>
      <c r="C3472" s="8" t="s">
        <v>20</v>
      </c>
      <c r="D3472" s="8" t="s">
        <v>85</v>
      </c>
      <c r="F3472" s="17">
        <v>41278</v>
      </c>
      <c r="G3472" s="8" t="s">
        <v>18945</v>
      </c>
      <c r="H3472" s="8" t="s">
        <v>18946</v>
      </c>
      <c r="I3472" s="8" t="s">
        <v>62</v>
      </c>
      <c r="J3472" s="16" t="s">
        <v>12706</v>
      </c>
      <c r="K3472" s="2" t="s">
        <v>161</v>
      </c>
      <c r="L3472" s="8" t="s">
        <v>162</v>
      </c>
      <c r="M3472" s="8" t="s">
        <v>27</v>
      </c>
      <c r="N3472" s="2" t="s">
        <v>18947</v>
      </c>
      <c r="O3472" s="8" t="s">
        <v>1013</v>
      </c>
      <c r="P3472" s="8" t="s">
        <v>401</v>
      </c>
      <c r="Q3472" s="59" t="str">
        <f>HYPERLINK("http://miami.cbslocal.com/2013/01/07/family-of-man-killed-in-police-involved-shooting-demands-answers/","http://miami.cbslocal.com/2013/01/07/family-of-man-killed-in-police-involved-shooting-demands-answers/")</f>
        <v>http://miami.cbslocal.com/2013/01/07/family-of-man-killed-in-police-involved-shooting-demands-answers/</v>
      </c>
      <c r="R3472" s="8" t="s">
        <v>100</v>
      </c>
      <c r="S3472" s="7" t="s">
        <v>18</v>
      </c>
      <c r="T3472" s="6"/>
      <c r="U3472" s="8"/>
      <c r="V3472" s="8"/>
      <c r="W3472" s="8"/>
      <c r="X3472" s="8"/>
    </row>
    <row r="3473" spans="1:34" ht="13" customHeight="1">
      <c r="A3473" s="8" t="s">
        <v>18948</v>
      </c>
      <c r="B3473" s="16">
        <v>34</v>
      </c>
      <c r="C3473" s="8" t="s">
        <v>114</v>
      </c>
      <c r="D3473" s="8" t="s">
        <v>85</v>
      </c>
      <c r="F3473" s="17">
        <v>41278</v>
      </c>
      <c r="G3473" s="8" t="s">
        <v>18945</v>
      </c>
      <c r="H3473" s="8" t="s">
        <v>18946</v>
      </c>
      <c r="I3473" s="8" t="s">
        <v>62</v>
      </c>
      <c r="J3473" s="16" t="s">
        <v>12706</v>
      </c>
      <c r="K3473" s="2" t="s">
        <v>161</v>
      </c>
      <c r="L3473" s="8" t="s">
        <v>162</v>
      </c>
      <c r="M3473" s="8" t="s">
        <v>27</v>
      </c>
      <c r="N3473" s="2" t="s">
        <v>18947</v>
      </c>
      <c r="O3473" s="8" t="s">
        <v>1013</v>
      </c>
      <c r="P3473" s="8" t="s">
        <v>401</v>
      </c>
      <c r="Q3473" s="12" t="s">
        <v>18949</v>
      </c>
      <c r="R3473" s="8" t="s">
        <v>100</v>
      </c>
      <c r="S3473" s="7" t="s">
        <v>379</v>
      </c>
      <c r="T3473" s="6"/>
      <c r="U3473" s="8"/>
      <c r="V3473" s="8"/>
      <c r="W3473" s="8"/>
      <c r="X3473" s="8"/>
    </row>
    <row r="3474" spans="1:34" ht="13" customHeight="1">
      <c r="A3474" s="8" t="s">
        <v>18954</v>
      </c>
      <c r="B3474" s="16">
        <v>21</v>
      </c>
      <c r="C3474" s="8" t="s">
        <v>20</v>
      </c>
      <c r="D3474" s="8" t="s">
        <v>37</v>
      </c>
      <c r="E3474" s="8" t="s">
        <v>18955</v>
      </c>
      <c r="F3474" s="17">
        <v>41278</v>
      </c>
      <c r="G3474" s="8" t="s">
        <v>18956</v>
      </c>
      <c r="H3474" s="8" t="s">
        <v>18957</v>
      </c>
      <c r="I3474" s="8" t="s">
        <v>62</v>
      </c>
      <c r="J3474" s="16" t="s">
        <v>18958</v>
      </c>
      <c r="K3474" s="2" t="s">
        <v>5575</v>
      </c>
      <c r="L3474" s="8" t="s">
        <v>7769</v>
      </c>
      <c r="M3474" s="8" t="s">
        <v>27</v>
      </c>
      <c r="N3474" s="2" t="s">
        <v>18959</v>
      </c>
      <c r="O3474" s="8" t="s">
        <v>550</v>
      </c>
      <c r="P3474" s="8" t="s">
        <v>401</v>
      </c>
      <c r="Q3474" s="12" t="s">
        <v>18960</v>
      </c>
      <c r="R3474" s="8" t="s">
        <v>29</v>
      </c>
      <c r="S3474" s="7" t="s">
        <v>28</v>
      </c>
      <c r="T3474" s="6"/>
      <c r="U3474" s="8"/>
    </row>
    <row r="3475" spans="1:34" ht="13" customHeight="1">
      <c r="A3475" s="8" t="s">
        <v>18968</v>
      </c>
      <c r="B3475" s="16">
        <v>26</v>
      </c>
      <c r="C3475" s="8" t="s">
        <v>20</v>
      </c>
      <c r="D3475" s="8" t="s">
        <v>37</v>
      </c>
      <c r="E3475" s="8" t="s">
        <v>18969</v>
      </c>
      <c r="F3475" s="17">
        <v>41278</v>
      </c>
      <c r="G3475" s="8" t="s">
        <v>18970</v>
      </c>
      <c r="H3475" s="8" t="s">
        <v>18971</v>
      </c>
      <c r="I3475" s="8" t="s">
        <v>404</v>
      </c>
      <c r="J3475" s="16" t="s">
        <v>18972</v>
      </c>
      <c r="K3475" s="2" t="s">
        <v>12052</v>
      </c>
      <c r="L3475" s="8" t="s">
        <v>9400</v>
      </c>
      <c r="M3475" s="8" t="s">
        <v>27</v>
      </c>
      <c r="N3475" s="2" t="s">
        <v>18973</v>
      </c>
      <c r="O3475" s="8" t="s">
        <v>550</v>
      </c>
      <c r="P3475" s="8" t="s">
        <v>401</v>
      </c>
      <c r="Q3475" s="12" t="s">
        <v>18974</v>
      </c>
      <c r="R3475" s="8" t="s">
        <v>555</v>
      </c>
      <c r="S3475" s="7" t="s">
        <v>28</v>
      </c>
      <c r="T3475" s="6"/>
      <c r="U3475" s="8"/>
    </row>
    <row r="3476" spans="1:34" ht="13" customHeight="1">
      <c r="A3476" s="8" t="s">
        <v>18961</v>
      </c>
      <c r="B3476" s="16">
        <v>51</v>
      </c>
      <c r="C3476" s="8" t="s">
        <v>20</v>
      </c>
      <c r="D3476" s="8" t="s">
        <v>37</v>
      </c>
      <c r="E3476" s="8" t="s">
        <v>18962</v>
      </c>
      <c r="F3476" s="17">
        <v>41278</v>
      </c>
      <c r="G3476" s="8" t="s">
        <v>18963</v>
      </c>
      <c r="H3476" s="8" t="s">
        <v>18964</v>
      </c>
      <c r="I3476" s="8" t="s">
        <v>44</v>
      </c>
      <c r="J3476" s="16" t="s">
        <v>18965</v>
      </c>
      <c r="K3476" s="2" t="s">
        <v>2165</v>
      </c>
      <c r="L3476" s="8" t="s">
        <v>7037</v>
      </c>
      <c r="M3476" s="8" t="s">
        <v>27</v>
      </c>
      <c r="N3476" s="2" t="s">
        <v>18966</v>
      </c>
      <c r="O3476" s="8" t="s">
        <v>550</v>
      </c>
      <c r="P3476" s="8" t="s">
        <v>401</v>
      </c>
      <c r="Q3476" s="12" t="s">
        <v>18967</v>
      </c>
      <c r="R3476" s="8" t="s">
        <v>967</v>
      </c>
      <c r="S3476" s="7" t="s">
        <v>28</v>
      </c>
      <c r="T3476" s="6"/>
      <c r="U3476" s="8"/>
    </row>
    <row r="3477" spans="1:34" ht="13" customHeight="1">
      <c r="A3477" s="8" t="s">
        <v>18975</v>
      </c>
      <c r="B3477" s="16">
        <v>37</v>
      </c>
      <c r="C3477" s="8" t="s">
        <v>20</v>
      </c>
      <c r="D3477" s="8" t="s">
        <v>85</v>
      </c>
      <c r="E3477" s="8" t="str">
        <f>HYPERLINK("http://www.trbimg.com/img-50e7a90e/turbine/peter-jourdan-of-allentown.jpg-20130104/600","http://www.trbimg.com/img-50e7a90e/turbine/peter-jourdan-of-allentown.jpg-20130104/600")</f>
        <v>http://www.trbimg.com/img-50e7a90e/turbine/peter-jourdan-of-allentown.jpg-20130104/600</v>
      </c>
      <c r="F3477" s="17">
        <v>41277</v>
      </c>
      <c r="G3477" s="8" t="s">
        <v>18976</v>
      </c>
      <c r="H3477" s="8" t="s">
        <v>1714</v>
      </c>
      <c r="I3477" s="8" t="s">
        <v>423</v>
      </c>
      <c r="J3477" s="16" t="s">
        <v>18977</v>
      </c>
      <c r="K3477" s="2" t="s">
        <v>1716</v>
      </c>
      <c r="L3477" s="8" t="s">
        <v>582</v>
      </c>
      <c r="M3477" s="8" t="s">
        <v>27</v>
      </c>
      <c r="N3477" s="2" t="s">
        <v>18978</v>
      </c>
      <c r="O3477" s="8" t="s">
        <v>550</v>
      </c>
      <c r="P3477" s="8" t="s">
        <v>401</v>
      </c>
      <c r="Q3477" s="12" t="s">
        <v>18979</v>
      </c>
      <c r="R3477" s="8" t="s">
        <v>100</v>
      </c>
      <c r="S3477" s="7" t="s">
        <v>28</v>
      </c>
      <c r="T3477" s="6"/>
      <c r="U3477" s="8"/>
    </row>
    <row r="3478" spans="1:34" ht="13" customHeight="1">
      <c r="A3478" s="8" t="s">
        <v>18980</v>
      </c>
      <c r="B3478" s="16">
        <v>21</v>
      </c>
      <c r="C3478" s="8" t="s">
        <v>114</v>
      </c>
      <c r="D3478" s="8" t="s">
        <v>85</v>
      </c>
      <c r="E3478" s="8" t="s">
        <v>18981</v>
      </c>
      <c r="F3478" s="17">
        <v>41277</v>
      </c>
      <c r="G3478" s="8" t="s">
        <v>18982</v>
      </c>
      <c r="H3478" s="8" t="s">
        <v>6506</v>
      </c>
      <c r="I3478" s="8" t="s">
        <v>366</v>
      </c>
      <c r="J3478" s="16" t="s">
        <v>10774</v>
      </c>
      <c r="K3478" s="2" t="s">
        <v>649</v>
      </c>
      <c r="L3478" s="8" t="s">
        <v>10921</v>
      </c>
      <c r="M3478" s="8" t="s">
        <v>379</v>
      </c>
      <c r="N3478" s="2" t="s">
        <v>18983</v>
      </c>
      <c r="O3478" s="8" t="s">
        <v>1013</v>
      </c>
      <c r="P3478" s="8" t="s">
        <v>401</v>
      </c>
      <c r="Q3478" s="12" t="s">
        <v>18984</v>
      </c>
      <c r="R3478" s="8" t="s">
        <v>100</v>
      </c>
      <c r="S3478" s="7" t="s">
        <v>28</v>
      </c>
      <c r="T3478" s="6"/>
      <c r="U3478" s="8"/>
      <c r="Y3478" s="8"/>
      <c r="Z3478" s="8"/>
      <c r="AA3478" s="8"/>
      <c r="AB3478" s="8"/>
      <c r="AC3478" s="8"/>
      <c r="AD3478" s="8"/>
      <c r="AE3478" s="8"/>
      <c r="AF3478" s="8"/>
      <c r="AG3478" s="8"/>
      <c r="AH3478" s="8"/>
    </row>
    <row r="3479" spans="1:34" ht="13" customHeight="1">
      <c r="A3479" s="8" t="s">
        <v>18985</v>
      </c>
      <c r="B3479" s="16">
        <v>20</v>
      </c>
      <c r="C3479" s="8" t="s">
        <v>20</v>
      </c>
      <c r="D3479" s="8" t="s">
        <v>37</v>
      </c>
      <c r="E3479" s="8" t="s">
        <v>18986</v>
      </c>
      <c r="F3479" s="17">
        <v>41277</v>
      </c>
      <c r="G3479" s="8" t="s">
        <v>18987</v>
      </c>
      <c r="H3479" s="8" t="s">
        <v>1644</v>
      </c>
      <c r="I3479" s="8" t="s">
        <v>45</v>
      </c>
      <c r="J3479" s="16" t="s">
        <v>1645</v>
      </c>
      <c r="K3479" s="2" t="s">
        <v>1646</v>
      </c>
      <c r="L3479" s="8" t="s">
        <v>1647</v>
      </c>
      <c r="M3479" s="8" t="s">
        <v>27</v>
      </c>
      <c r="N3479" s="2" t="s">
        <v>18988</v>
      </c>
      <c r="O3479" s="8" t="s">
        <v>1013</v>
      </c>
      <c r="P3479" s="8" t="s">
        <v>401</v>
      </c>
      <c r="Q3479" s="12" t="s">
        <v>18989</v>
      </c>
      <c r="R3479" s="8" t="s">
        <v>100</v>
      </c>
      <c r="S3479" s="7" t="s">
        <v>28</v>
      </c>
      <c r="T3479" s="6"/>
      <c r="U3479" s="8"/>
    </row>
    <row r="3480" spans="1:34" ht="13" customHeight="1">
      <c r="A3480" s="8" t="s">
        <v>18990</v>
      </c>
      <c r="B3480" s="16">
        <v>52</v>
      </c>
      <c r="C3480" s="8" t="s">
        <v>20</v>
      </c>
      <c r="D3480" s="8" t="s">
        <v>30</v>
      </c>
      <c r="F3480" s="17">
        <v>41276</v>
      </c>
      <c r="G3480" s="8" t="s">
        <v>18991</v>
      </c>
      <c r="H3480" s="8" t="s">
        <v>18992</v>
      </c>
      <c r="I3480" s="8" t="s">
        <v>62</v>
      </c>
      <c r="J3480" s="16" t="s">
        <v>18993</v>
      </c>
      <c r="K3480" s="2" t="s">
        <v>3916</v>
      </c>
      <c r="L3480" s="8" t="s">
        <v>261</v>
      </c>
      <c r="M3480" s="8" t="s">
        <v>27</v>
      </c>
      <c r="N3480" s="2" t="s">
        <v>18994</v>
      </c>
      <c r="O3480" s="8" t="s">
        <v>1013</v>
      </c>
      <c r="P3480" s="8" t="s">
        <v>401</v>
      </c>
      <c r="Q3480" s="12" t="s">
        <v>18995</v>
      </c>
      <c r="R3480" s="8" t="s">
        <v>592</v>
      </c>
      <c r="S3480" s="7" t="s">
        <v>28</v>
      </c>
      <c r="T3480" s="6"/>
      <c r="U3480" s="8"/>
    </row>
    <row r="3481" spans="1:34" ht="13" customHeight="1">
      <c r="A3481" s="8" t="s">
        <v>18996</v>
      </c>
      <c r="B3481" s="16">
        <v>31</v>
      </c>
      <c r="C3481" s="8" t="s">
        <v>20</v>
      </c>
      <c r="D3481" s="8" t="s">
        <v>85</v>
      </c>
      <c r="E3481" s="8" t="s">
        <v>18997</v>
      </c>
      <c r="F3481" s="17">
        <v>41275</v>
      </c>
      <c r="G3481" s="8" t="s">
        <v>18998</v>
      </c>
      <c r="H3481" s="8" t="s">
        <v>1631</v>
      </c>
      <c r="I3481" s="8" t="s">
        <v>463</v>
      </c>
      <c r="J3481" s="16" t="s">
        <v>18999</v>
      </c>
      <c r="K3481" s="2" t="s">
        <v>941</v>
      </c>
      <c r="L3481" s="8" t="s">
        <v>2258</v>
      </c>
      <c r="M3481" s="8" t="s">
        <v>27</v>
      </c>
      <c r="N3481" s="2" t="s">
        <v>19000</v>
      </c>
      <c r="O3481" s="8" t="s">
        <v>550</v>
      </c>
      <c r="P3481" s="8" t="s">
        <v>401</v>
      </c>
      <c r="Q3481" s="12" t="s">
        <v>19001</v>
      </c>
      <c r="R3481" s="8" t="s">
        <v>555</v>
      </c>
      <c r="S3481" s="7" t="s">
        <v>28</v>
      </c>
      <c r="T3481" s="6"/>
      <c r="U3481" s="8"/>
    </row>
    <row r="3482" spans="1:34" ht="13" customHeight="1">
      <c r="A3482" s="8" t="s">
        <v>19011</v>
      </c>
      <c r="B3482" s="16">
        <v>21</v>
      </c>
      <c r="C3482" s="8" t="s">
        <v>20</v>
      </c>
      <c r="D3482" s="8" t="s">
        <v>48</v>
      </c>
      <c r="E3482" s="8" t="s">
        <v>19012</v>
      </c>
      <c r="F3482" s="17">
        <v>41275</v>
      </c>
      <c r="G3482" s="8" t="s">
        <v>19013</v>
      </c>
      <c r="H3482" s="8" t="s">
        <v>4710</v>
      </c>
      <c r="I3482" s="8" t="s">
        <v>209</v>
      </c>
      <c r="J3482" s="16" t="s">
        <v>19014</v>
      </c>
      <c r="K3482" s="2" t="s">
        <v>4710</v>
      </c>
      <c r="L3482" s="8" t="s">
        <v>4712</v>
      </c>
      <c r="M3482" s="8" t="s">
        <v>27</v>
      </c>
      <c r="N3482" s="2" t="s">
        <v>19015</v>
      </c>
      <c r="O3482" s="8" t="s">
        <v>550</v>
      </c>
      <c r="P3482" s="8" t="s">
        <v>401</v>
      </c>
      <c r="Q3482" s="12" t="s">
        <v>19016</v>
      </c>
      <c r="R3482" s="8" t="s">
        <v>100</v>
      </c>
      <c r="S3482" s="7" t="s">
        <v>28</v>
      </c>
      <c r="T3482" s="6"/>
      <c r="U3482" s="8"/>
    </row>
    <row r="3483" spans="1:34" ht="13" customHeight="1">
      <c r="A3483" s="8" t="s">
        <v>19002</v>
      </c>
      <c r="B3483" s="16">
        <v>26</v>
      </c>
      <c r="C3483" s="8" t="s">
        <v>20</v>
      </c>
      <c r="D3483" s="8" t="s">
        <v>48</v>
      </c>
      <c r="E3483" s="8" t="s">
        <v>19003</v>
      </c>
      <c r="F3483" s="17">
        <v>41275</v>
      </c>
      <c r="G3483" s="8" t="s">
        <v>19004</v>
      </c>
      <c r="H3483" s="8" t="s">
        <v>681</v>
      </c>
      <c r="I3483" s="8" t="s">
        <v>45</v>
      </c>
      <c r="J3483" s="16" t="s">
        <v>16091</v>
      </c>
      <c r="K3483" s="2" t="s">
        <v>682</v>
      </c>
      <c r="L3483" s="8" t="s">
        <v>683</v>
      </c>
      <c r="M3483" s="8" t="s">
        <v>27</v>
      </c>
      <c r="N3483" s="2" t="s">
        <v>19005</v>
      </c>
      <c r="O3483" s="8" t="s">
        <v>550</v>
      </c>
      <c r="P3483" s="8" t="s">
        <v>401</v>
      </c>
      <c r="Q3483" s="12" t="s">
        <v>19006</v>
      </c>
      <c r="R3483" s="8" t="s">
        <v>100</v>
      </c>
      <c r="S3483" s="7" t="s">
        <v>28</v>
      </c>
      <c r="T3483" s="6"/>
      <c r="U3483" s="8"/>
    </row>
    <row r="3484" spans="1:34" ht="13" customHeight="1">
      <c r="A3484" s="8" t="s">
        <v>19007</v>
      </c>
      <c r="B3484" s="16">
        <v>49</v>
      </c>
      <c r="C3484" s="8" t="s">
        <v>20</v>
      </c>
      <c r="D3484" s="8" t="s">
        <v>48</v>
      </c>
      <c r="E3484" s="8" t="str">
        <f>HYPERLINK("http://www.tricitytribuneusa.com/wp-content/uploads/Chavez_Mug0642-300x300.jpg","http://www.tricitytribuneusa.com/wp-content/uploads/Chavez_Mug0642-300x300.jpg")</f>
        <v>http://www.tricitytribuneusa.com/wp-content/uploads/Chavez_Mug0642-300x300.jpg</v>
      </c>
      <c r="F3484" s="17">
        <v>41275</v>
      </c>
      <c r="G3484" s="8" t="s">
        <v>19008</v>
      </c>
      <c r="H3484" s="8" t="s">
        <v>12612</v>
      </c>
      <c r="I3484" s="8" t="s">
        <v>195</v>
      </c>
      <c r="J3484" s="16" t="s">
        <v>18546</v>
      </c>
      <c r="K3484" s="2" t="s">
        <v>5773</v>
      </c>
      <c r="L3484" s="8" t="s">
        <v>12614</v>
      </c>
      <c r="M3484" s="8" t="s">
        <v>27</v>
      </c>
      <c r="N3484" s="2" t="s">
        <v>19009</v>
      </c>
      <c r="O3484" s="8" t="s">
        <v>1013</v>
      </c>
      <c r="P3484" s="8" t="s">
        <v>401</v>
      </c>
      <c r="Q3484" s="12" t="s">
        <v>19010</v>
      </c>
      <c r="R3484" s="8" t="s">
        <v>100</v>
      </c>
      <c r="S3484" s="7" t="s">
        <v>28</v>
      </c>
      <c r="T3484" s="6"/>
      <c r="U3484" s="8"/>
    </row>
    <row r="3485" spans="1:34" ht="13" customHeight="1">
      <c r="A3485" s="8" t="s">
        <v>19017</v>
      </c>
      <c r="B3485" s="16">
        <v>21</v>
      </c>
      <c r="C3485" s="8" t="s">
        <v>20</v>
      </c>
      <c r="D3485" s="8" t="s">
        <v>37</v>
      </c>
      <c r="E3485" s="8" t="s">
        <v>19018</v>
      </c>
      <c r="F3485" s="17">
        <v>41275</v>
      </c>
      <c r="G3485" s="8" t="s">
        <v>19019</v>
      </c>
      <c r="H3485" s="8" t="s">
        <v>18674</v>
      </c>
      <c r="I3485" s="8" t="s">
        <v>438</v>
      </c>
      <c r="J3485" s="16" t="s">
        <v>19020</v>
      </c>
      <c r="K3485" s="2" t="s">
        <v>941</v>
      </c>
      <c r="L3485" s="8" t="s">
        <v>1633</v>
      </c>
      <c r="M3485" s="8" t="s">
        <v>27</v>
      </c>
      <c r="N3485" s="2" t="s">
        <v>19021</v>
      </c>
      <c r="O3485" s="8" t="s">
        <v>550</v>
      </c>
      <c r="P3485" s="8" t="s">
        <v>401</v>
      </c>
      <c r="Q3485" s="12" t="s">
        <v>19022</v>
      </c>
      <c r="R3485" s="8" t="s">
        <v>967</v>
      </c>
      <c r="S3485" s="7" t="s">
        <v>28</v>
      </c>
      <c r="T3485" s="6"/>
      <c r="U3485" s="8"/>
    </row>
    <row r="3486" spans="1:34" ht="13" customHeight="1">
      <c r="A3486" s="8" t="s">
        <v>19023</v>
      </c>
      <c r="B3486" s="16">
        <v>26</v>
      </c>
      <c r="C3486" s="8" t="s">
        <v>20</v>
      </c>
      <c r="D3486" s="8" t="s">
        <v>37</v>
      </c>
      <c r="E3486" s="8" t="s">
        <v>19024</v>
      </c>
      <c r="F3486" s="17">
        <v>41275</v>
      </c>
      <c r="G3486" s="8" t="s">
        <v>19025</v>
      </c>
      <c r="H3486" s="8" t="s">
        <v>18656</v>
      </c>
      <c r="I3486" s="8" t="s">
        <v>133</v>
      </c>
      <c r="J3486" s="16" t="s">
        <v>19026</v>
      </c>
      <c r="K3486" s="2" t="s">
        <v>19027</v>
      </c>
      <c r="L3486" s="8" t="s">
        <v>19028</v>
      </c>
      <c r="M3486" s="8" t="s">
        <v>391</v>
      </c>
      <c r="N3486" s="2" t="s">
        <v>19029</v>
      </c>
      <c r="O3486" s="8" t="s">
        <v>1013</v>
      </c>
      <c r="P3486" s="8" t="s">
        <v>401</v>
      </c>
      <c r="Q3486" s="12" t="s">
        <v>19030</v>
      </c>
      <c r="R3486" s="8" t="s">
        <v>100</v>
      </c>
      <c r="S3486" s="7" t="s">
        <v>28</v>
      </c>
      <c r="T3486" s="6"/>
      <c r="U3486" s="8"/>
    </row>
  </sheetData>
  <sortState ref="A2:AW3486">
    <sortCondition descending="1" ref="F2:F3486"/>
  </sortState>
  <hyperlinks>
    <hyperlink ref="E260" r:id="rId1"/>
    <hyperlink ref="E267" r:id="rId2"/>
    <hyperlink ref="E270" r:id="rId3"/>
    <hyperlink ref="E272" r:id="rId4"/>
    <hyperlink ref="E275" r:id="rId5"/>
    <hyperlink ref="E277" r:id="rId6"/>
    <hyperlink ref="E278" r:id="rId7"/>
    <hyperlink ref="E279" r:id="rId8"/>
    <hyperlink ref="Q282" r:id="rId9"/>
    <hyperlink ref="E281" r:id="rId10"/>
    <hyperlink ref="E285" r:id="rId11"/>
    <hyperlink ref="E288" r:id="rId12"/>
    <hyperlink ref="Q336" r:id="rId13" display="http://www.pe.com/articles/camacho-780442-anda-police.html"/>
    <hyperlink ref="Q335" r:id="rId14" display="http://www.local10.com/news/man-killed-in-policeinvolved-shooting-in-sw-miamidade/35298042"/>
    <hyperlink ref="Q340" r:id="rId15" display="http://www.vvng.com/barstow-man-killed-in-officer-involved-shooting/"/>
    <hyperlink ref="Q339" r:id="rId16" display="http://abc7.com/news/suspect-killed-in-panorama-city-officer-involved-shooting/986303/"/>
    <hyperlink ref="Q342" r:id="rId17" display="http://ksn.com/2015/09/14/inmate-death-reported-at-hutchinson-correctional-facility/"/>
    <hyperlink ref="Q341" r:id="rId18" display="http://wncn.com/2015/09/14/man-dies-while-in-custody-of-raleigh-police-investigation-underway/"/>
    <hyperlink ref="Q346" r:id="rId19" display="http://www.kwwl.com/story/30019391/2015/09/13/officer-involved-shooting-near-wellman-leaves-one-person-dead"/>
    <hyperlink ref="Q343" r:id="rId20" display="http://www.courier-journal.com/story/news/local/2015/09/14/ky-trooper-shot-western-kentucky-after-chase/72241764/"/>
    <hyperlink ref="Q345" r:id="rId21" display="http://www.tylerpaper.com/TP-Breaking+Silent/224089/jeffrey-brooks-fugitive-shot-and-killed-by-law-enforcement-officers-near-clute"/>
    <hyperlink ref="Q365" r:id="rId22" display="http://wreg.com/2015/09/24/paris-police-officer-charged-for-murdering-his-own-son/"/>
    <hyperlink ref="Q371" r:id="rId23" display="http://www.omaha.com/news/metro/man-who-had-trouble-breathing-while-being-arrested-has-died/article_6868fb7c-54f8-11e5-bf00-0f25174cd9cb.html"/>
    <hyperlink ref="Q387" r:id="rId24" display="http://www.kltv.com/story/29931923/man-shot-by-longview-officer-dies"/>
    <hyperlink ref="E495" r:id="rId25" display="http://www.killedbypolice.net/victims/150680.jpg"/>
    <hyperlink ref="E494" r:id="rId26" display="http://www.star-telegram.com/news/local/community/fort-worth/rat54p/picture29706625/ALTERNATES/FREE_640/Flip Vallejo"/>
    <hyperlink ref="E497" r:id="rId27" display="http://media.graytvinc.com/images/Mark+Perkins.jpg"/>
    <hyperlink ref="Q499" r:id="rId28" display="http://www.sfgate.com/crime/article/Dead-body-probe-on-Lombard-Street-in-S-F-6414831.php"/>
    <hyperlink ref="E498" r:id="rId29" display="http://media.masslive.com/mass_river_worcester_news/photo/screen-shot-2015-07-30-at-14303-pmpng-3c8d20217be5ac12.png"/>
    <hyperlink ref="E500" r:id="rId30" display="http://www.killedbypolice.net/victims/150676.jpg"/>
    <hyperlink ref="E505" r:id="rId31" display="http://bloximages.chicago2.vip.townnews.com/news.hjnews.com/content/tncms/assets/v3/editorial/c/a4/ca4f81e2-cf7d-5033-933f-f993eb1d4c29/55ba527445ee0.image.jpg"/>
    <hyperlink ref="E507" r:id="rId32" display="http://images1.westword.com/imager/u/745xauto/6970529/sam.forgy.portrait.800.cropped.jpg"/>
    <hyperlink ref="Q507" r:id="rId33" display="http://www.thedenverchannel.com/news/local-news/naked-man-shot-and-killed-by-boulder-police-was-reportedly-high-on-lsd"/>
    <hyperlink ref="E509" r:id="rId34" display="http://bayoutimelive.com/wp-content/uploads/2013/04/Jean-P.-Falgout.jpg"/>
    <hyperlink ref="Q509" r:id="rId35" display="http://www.houmatoday.com/article/20150728/ARTICLES/150729727/1319?p=1&amp;tc=pg"/>
    <hyperlink ref="Q508" r:id="rId36" display="http://www.wistv.com/story/29644189/sled-investigating-deputy-involved-shooting-in-lexington-county"/>
    <hyperlink ref="Q510" r:id="rId37" display="http://www.ksla.com/story/29634844/spd-officers-involved-in-shooting-while-responding-to-hostage-situation"/>
    <hyperlink ref="E511" r:id="rId38" display="http://www.independent.co.uk/incoming/article10446695.ece/alternates/w620/Zach-hammond.jpg"/>
    <hyperlink ref="Q511" r:id="rId39" display="http://www.independentmail.com/news/man-killed-by-seneca-police-officer"/>
    <hyperlink ref="Q512" r:id="rId40" display="http://www.miamiherald.com/news/local/crime/article28915918.html"/>
    <hyperlink ref="Q513" r:id="rId41" display="http://www.reviewjournal.com/news/las-vegas/metro-officer-wounded-suspect-shot-death"/>
    <hyperlink ref="Q514" r:id="rId42" display="http://www.walb.com/story/29631891/1-dead-after-officer-involved-shooting-in-decatur-co"/>
    <hyperlink ref="Q515" r:id="rId43" location="incart_river" display="http://www.nola.com/crime/index.ssf/2015/07/breaking_new_orleans_police_sh.html - incart_river"/>
    <hyperlink ref="E517" r:id="rId44" display="http://cdn.abclocal.go.com/content/kabc/images/cms/889902_1280x720.jpg"/>
    <hyperlink ref="Q517" r:id="rId45" display="http://www.latimes.com/local/lanow/la-me-ln-report-of-gunman-opening-fire-bring-lapd-swarm-in-studio-city-20150724-story.html"/>
    <hyperlink ref="E523" r:id="rId46" display="http://www.killedbypolice.net/victims/2664.jpg"/>
    <hyperlink ref="Q523" r:id="rId47" display="http://www.wesh.com/news/bicyclist-struck-by-police-cruiser-has-died/34321568"/>
    <hyperlink ref="E526" r:id="rId48" display="http://ksla.images.worldnow.com/images/8474631_G.jpg"/>
    <hyperlink ref="Q524" r:id="rId49" display="http://www.koco.com/news/okc-police-investigating-officerinvolved-shooting-on-northeast-side/34302646"/>
    <hyperlink ref="Q525" r:id="rId50" display="http://philadelphia.cbslocal.com/2014/09/16/police-id-suspect-in-shooting-death-of-pregnant-woman-unborn-child/"/>
    <hyperlink ref="E528" r:id="rId51" display="http://www.killedbypolice.net/victims/150651.jpg"/>
    <hyperlink ref="E533" r:id="rId52" display="http://www.killedbypolice.net/victims/150637.jpg"/>
    <hyperlink ref="E535" r:id="rId53" display="http://www.killedbypolice.net/victims/150642.jpg"/>
    <hyperlink ref="Q538" r:id="rId54" display="http://www.cincinnati.com/story/news/2015/07/29/publish/30830777/"/>
    <hyperlink ref="Q539" r:id="rId55" display="http://www.visaliatimesdelta.com/story/news/local/2015/07/22/single-bullet-killed-farmersville-man/30501679/"/>
    <hyperlink ref="Q541" r:id="rId56" display="http://www.azcentral.com/story/news/local/phoenix/2015/07/18/west-phoenix-fatal-officer-involved-shooting-abrk/30349421/"/>
    <hyperlink ref="Q540" r:id="rId57" display="http://www.thedenverchannel.com/news/local-news/man-dead-shot-by-fort-collins-officers-after-suspect-tried-to-attack-them-with-knife"/>
    <hyperlink ref="Q542" r:id="rId58" display="http://www.kake.com/home/headlines/KBI-investigating-officer-involved-shooting-in-northwest-Kansas-316960821.html"/>
    <hyperlink ref="Q545" r:id="rId59" display="http://www.orlandosentinel.com/news/breaking-news/os-orlando-police-suspect-shooting-20150717-story.html"/>
    <hyperlink ref="Q544" r:id="rId60" display="http://www.wmcactionnews5.com/story/29578116/man-dead-after-struggle-with-mpd-officer"/>
    <hyperlink ref="Q546" r:id="rId61" display="http://www.click2houston.com/news/hpd-investigating-after-possible-incustody-death-in-southeast-houston/34238632"/>
    <hyperlink ref="Q548" r:id="rId62" display="http://www.sbsun.com/general-news/20150718/sheriffs-deputies-shoot-kill-highland-man-in-needles"/>
    <hyperlink ref="Q549" r:id="rId63" display="http://www.cnn.com/2015/07/17/us/tennessee-shooter-mohammad-youssuf-abdulazeez/"/>
    <hyperlink ref="Q551" r:id="rId64" display="http://www.miamiherald.com/news/local/crime/article27524482.html"/>
    <hyperlink ref="E552" r:id="rId65" display="https://localtvwiti.files.wordpress.com/2015/07/antonio-gonzales2.jpeg"/>
    <hyperlink ref="Q552" r:id="rId66" display="http://www.nbc15.com/home/headlines/Reports-of-shooting-in-Monroe-318229761.html"/>
    <hyperlink ref="E553" r:id="rId67" display="http://media.graytvinc.com/images/saige+hack+2.jpg"/>
    <hyperlink ref="Q553" r:id="rId68" display="http://trib.com/news/local/crime-and-courts/authorities-identify-man-killed-in-law-enforcement-shooting/article_6d603afc-e1e5-5d5c-a156-708cc4078263.html"/>
    <hyperlink ref="Q554" r:id="rId69" display="http://www.myfoxal.com/story/29566625/man-in-opp-officer-involved-shooting-dies"/>
    <hyperlink ref="Q556" r:id="rId70" display="http://homicide.latimes.com/post/jason-charles-davis/"/>
    <hyperlink ref="E557" r:id="rId71" display="http://media.mlive.com/grpress/news_impact/photo/eugene-kailingjpg-1325419215b33c26.jpg"/>
    <hyperlink ref="Q558" r:id="rId72" display="http://www.clickorlando.com/news/1-dead-in-deputyinvolved-shooting-in-lake-county/34153664"/>
    <hyperlink ref="Q559" r:id="rId73" display="http://wkbn.com/2015/07/14/man-dies-in-shootout-with-police-in-southington/"/>
    <hyperlink ref="Q560" r:id="rId74" location=".Vao7U4FnKBE.twitter" display="http://www.brownsvilleherald.com/news/local/article_d17faf7e-2cfe-11e5-b74c-2b2b278cba62.html - .Vao7U4FnKBE.twitter"/>
    <hyperlink ref="E564" r:id="rId75" display="http://www.dispatch.com/content/graphics/2015/07/13/nyal-brown.jpg"/>
    <hyperlink ref="Q564" r:id="rId76" display="http://www.dispatch.com/content/stories/local/2015/07/13/fatal-crash-on-hilltop.html"/>
    <hyperlink ref="E566" r:id="rId77" display="http://www.trbimg.com/img-55a686d0/turbine/fl-plantation-cop-homeless-shooting-id-2015071-001/304/304x171"/>
    <hyperlink ref="Q566" r:id="rId78" display="http://www.sun-sentinel.com/local/broward/fl-plantation-cop-homeless-shooting-id-20150715-story.html"/>
    <hyperlink ref="Q567" r:id="rId79" display="http://www.rawstory.com/2015/07/denver-police-shoot-and-kill-a-mentally-ill-native-american-man-holding-a-knife-to-his-own-throat/"/>
    <hyperlink ref="Q568" r:id="rId80" display="http://www.oakpark.com/News/Articles/7-13-2015/Three-injured,-two-killed-in-River-Forest/"/>
    <hyperlink ref="E570" r:id="rId81" display="http://media.cmgdigital.com/shared/lt/lt_cache/thumbnail/600/img/photos/2015/07/13/35/c5/DavidLepine_1.jpg"/>
    <hyperlink ref="Q570" r:id="rId82" display="http://www.statesman.com/news/news/crime-law/man-killed-by-austin-police-officer-sunday-had-a-v/nmyKL/"/>
    <hyperlink ref="E569" r:id="rId83" display="http://wac.450f.edgecastcdn.net/80450F/k2radio.com/files/2015/07/chris-benton.jpg"/>
    <hyperlink ref="Q569" r:id="rId84" location=".Vdo9r_ZVikq" display="http://www.wyomingnews.com/articles/2015/07/16/breaking_news/01breaking_7-16-15.txt - .Vdo9r_ZVikq"/>
    <hyperlink ref="Q571" r:id="rId85" display="http://www.11alive.com/story/news/local/lawrenceville/2015/07/14/family-questions-procedures-in-gwinnett-police-taser-death/30160171/"/>
    <hyperlink ref="E572" r:id="rId86" display="http://bloximages.newyork1.vip.townnews.com/appeal-democrat.com/content/tncms/assets/v3/editorial/a/50/a5039184-2b6b-11e5-b28b-c7b5c40fdd3d/55a726cc3856f.image.jpg?resize=631%2C760"/>
    <hyperlink ref="Q574" r:id="rId87" display="http://www.al.com/news/tuscaloosa/index.ssf/2015/07/tuscaloosa_police_release_more.html"/>
    <hyperlink ref="Q573" r:id="rId88" display="http://www.ajc.com/news/news/crime-law/man-dies-after-being-shot-by-newton-deputies/nmxjG/"/>
    <hyperlink ref="Q575" r:id="rId89" display="http://lasvegassun.com/news/2015/jul/15/police-body-cam-video-shows-traffic-stop-turn-dead/"/>
    <hyperlink ref="Q577" r:id="rId90" display="http://chicago.suntimes.com/crime/7/71/759984/chicago-police-involved-grand-crossing-shooting"/>
    <hyperlink ref="Q578" r:id="rId91" display="http://www.scpr.org/news/2015/07/10/53025/mid-wilshire-police-shooting-suspect-in-skateboard/"/>
    <hyperlink ref="Q581" r:id="rId92" display="http://www.azcentral.com/story/news/local/phoenix/2015/07/10/phoenix-police-shooting-suspect-cactus-abrk/29978125/"/>
    <hyperlink ref="Q579" r:id="rId93" display="http://www.santacruzsentinel.com/20150714/memorial-fund-started-for-boulder-creek-teen-killed-by-deputies"/>
    <hyperlink ref="E580" r:id="rId94" display="http://matchbin-assets.s3.amazonaws.com/public/sites/990/assets/26J5_1625924_profile_pic.jpg"/>
    <hyperlink ref="Q580" r:id="rId95" location=".VbobCM2hNfs.twitter" display="http://www.cachevalleydaily.com/news/local/article_95847b98-36af-11e5-a21d-5381b6067a1e.html - .VbobCM2hNfs.twitter"/>
    <hyperlink ref="E582" r:id="rId96" display="http://www.gannett-cdn.com/-mm-/444b6b00164f56950327b2368f293f2ce83db955/c=0-295-1304-1032&amp;r=x633&amp;c=1200x630/local/-/media/2015/07/10/JacksonMS/JacksonMS/635721442175293352-IMG-0825.JPG.jpg"/>
    <hyperlink ref="E583" r:id="rId97" display="http://media.oregonlive.com/beaverton_news/photo/westrichjpg-51507199625e81e6.jpg"/>
    <hyperlink ref="Q583" r:id="rId98" display="http://www.kgw.com/story/news/local/washington-county/2015/07/08/beaverton-officer-shot-trailer-hidden-estate/29857719/"/>
    <hyperlink ref="Q585" r:id="rId99" display="http://www.chron.com/news/houston-texas/houston/article/New-details-emerge-in-HPD-shooting-and-chase-6373997.php"/>
    <hyperlink ref="Q588" r:id="rId100" display="http://www.bakersfield.com/news/2015/07/09/bakersfield-police-man-fatally-shot-tuesday-pointed-gun-at-officers.html"/>
    <hyperlink ref="Q587" r:id="rId101" display="http://www.themonitor.com/news/local/authorities-armed-man-in-edinburg-standoff-killed-in-officer-involved/article_62b2b456-24f2-11e5-b79b-6b2f14f63dc2.html"/>
    <hyperlink ref="Q586" r:id="rId102" display="http://www.pressofatlanticcity.com/eedition/news/grand-jury-may-decide-fate-of-cop/article_d75e1ab1-8f1e-5086-b543-3243f95fc088.html"/>
    <hyperlink ref="Q589" r:id="rId103" display="http://www.wlky.com/news/man-dies-after-being-shot-by-elizabethtown-police/34052212"/>
    <hyperlink ref="E590" r:id="rId104" display="http://www.kansascity.com/news/local/crime/iwklhy/picture26752486/ALTERNATES/FREE_640/Booth"/>
    <hyperlink ref="E591" r:id="rId105" display="http://www.homefacts.com/images/offenders/texas/thumb/01958213.jpg"/>
    <hyperlink ref="Q591" r:id="rId106" display="http://crimeblog.dallasnews.com/2015/07/authorities-man-shot-by-dallas-police-was-racist-killer-rapist-family-he-was-kind-loving.html/"/>
    <hyperlink ref="Q592" r:id="rId107" display="http://homicide.latimes.com/post/jason-m-hendley/"/>
    <hyperlink ref="Q593" r:id="rId108" display="http://www.mercedsunstar.com/news/local/crime/article26705443.html"/>
    <hyperlink ref="Q595" r:id="rId109" display="http://www.fox10phoenix.com/story/29484924/2015/07/06/suspect-hospitalized-after-officer-involved-shooting-in-mesa"/>
    <hyperlink ref="Q597" r:id="rId110" display="http://homicide.latimes.com/post/john-leonard-berry/"/>
    <hyperlink ref="E594" r:id="rId111" display="https://localtvkfor.files.wordpress.com/2015/07/rogers-tyler.jpg"/>
    <hyperlink ref="E598" r:id="rId112" display="https://localtvkstu.files.wordpress.com/2015/07/gormley.jpg"/>
    <hyperlink ref="Q599" r:id="rId113" display="http://www.loscerritosnews.net/2015/07/12/hundreds-protest-johnny-ray-andersons-shooting-death-in-hawaiian-gardens/"/>
    <hyperlink ref="E601" r:id="rId114" display="http://cdn.patch.com/users/1372433/2015/07/T800x600/201507559ff12e799d0.png"/>
    <hyperlink ref="Q601" r:id="rId115" display="http://www.mercurynews.com/crime-courts/ci_28445274/pleasanton-investigation-continues-into-fatal-police-shooting-19"/>
    <hyperlink ref="E600" r:id="rId116" display="https://media.licdn.com/media/p/3/000/0d2/16d/29b38bd.jpg"/>
    <hyperlink ref="Q600" r:id="rId117" display="http://www.dallasnews.com/news/crime/headlines/20150706-austin-police-id-gunman-victim-at-sundays-hotel-shooting.ece"/>
    <hyperlink ref="Q602" r:id="rId118" display="http://kxan.com/2015/07/06/police-say-man-killed-in-north-austin-aimed-a-bb-pistol-at-officers/"/>
    <hyperlink ref="Q606" r:id="rId119" display="http://www.miamiherald.com/news/local/community/miami-dade/little-havana/article26604022.html"/>
    <hyperlink ref="E605" r:id="rId120" display="http://kwtv.images.worldnow.com/images/8241047_G.jpg"/>
    <hyperlink ref="E604" r:id="rId121" display="http://i.guim.co.uk/img/media/6b8d2e8197fcd13bf1efa55dde76f7af6401fdfb/0_188_600_360/master/600.jpg?w=620&amp;q=85&amp;auto=format&amp;sharp=10&amp;s=cd2d313d4e808218cd2fff1e044bc896"/>
    <hyperlink ref="Q607" r:id="rId122" display="http://www.reviewjournal.com/news/las-vegas/gunman-killed-police-henderson-hotel-identified"/>
    <hyperlink ref="Q608" r:id="rId123" display="http://www.standardbanner.com/news/morristown-man-shot-by-police-was-also-wanted-here/article_e6215eb4-242a-11e5-b876-3f8c02fbda9f.html"/>
    <hyperlink ref="E612" r:id="rId124" display="http://media.nbclosangeles.com/images/1203*675/7-3-15+Christian+Siqueiros+in-custody+death.JPG"/>
    <hyperlink ref="E614" r:id="rId125" display="http://jacksonville.com/sites/default/files/imagecache/premium_415_wide_scale/Suspect_1.jpg"/>
    <hyperlink ref="E616" r:id="rId126" display="http://victimsofpolice.com/2015/images/Julian-Joseph.jpg"/>
    <hyperlink ref="E617" r:id="rId127" display="http://www.enterprisenews.com/galleryimage/WL/20150702/PHOTOGALLERY/702009988/PH/0/6/PH-702009988.jpg"/>
    <hyperlink ref="E618" r:id="rId128" display="http://images.bimedia.net/images/150701_Kevin_Lamont_Judson_story_insert.jpg"/>
    <hyperlink ref="Q618" r:id="rId129" display="http://www.katu.com/news/local/DA-clears-deputy-in-deadly-McMinnville-shooting-316055961.html"/>
    <hyperlink ref="Q619" r:id="rId130" display="http://www.oregonlive.com/pacific-northwest-news/index.ssf/2015/07/oregon_state_police_shoot_and.html"/>
    <hyperlink ref="E620" r:id="rId131" display="http://www.killedbypolice.net/victims/150628.jpg"/>
    <hyperlink ref="E621" r:id="rId132" display="http://www.wyff4.com/image/view/-/33914720/highRes/1/-/maxh/630/maxw/1200/-/157k9k3/-/Clay-Alan-Lickteig-jpg.jpg"/>
    <hyperlink ref="Q621" r:id="rId133" display="http://www.wyff4.com/news/police-man-killed-after-shootout-with-officers/33901040"/>
    <hyperlink ref="Q622" r:id="rId134" location="photo-8239735" display="http://www.timesunion.com/news/article/Sheriff-Edinburgh-resident-dead-in-officer-6357460.php - photo-8239735"/>
    <hyperlink ref="E623" r:id="rId135" display="http://www.portlandmercury.com/images/blogimages/2015/06/29/1435620050-screen_shot_2015-06-29_at_4.20.07_pm.png"/>
    <hyperlink ref="Q623" r:id="rId136" display="http://www.kgw.com/story/news/local/2015/06/29/police-shooting-winco-parking-lot-portland/29455487/"/>
    <hyperlink ref="Q624" r:id="rId137" display="http://wfla.com/2015/07/09/tampa-hit-and-run-investigation-focuses-on-tpd-officer/"/>
    <hyperlink ref="Q625" r:id="rId138" display="http://www.news9.com/story/29443076/tahlequah-police-release-body-cam-video-in-fatal-officer-involved-shooting"/>
    <hyperlink ref="Q626" r:id="rId139" display="http://www.mysanantonio.com/news/local/article/Suspect-killed-by-polcie-during-chase-identified-6355557.php"/>
    <hyperlink ref="E627" r:id="rId140" display="http://a.abcnews.com/images/US/HT_richard_matt_jt_150606_4x3_992.jpg"/>
    <hyperlink ref="Q627" r:id="rId141" display="http://www.nbcnews.com/storyline/new-york-prison-escape/autopsy-shows-prison-escapee-richard-matt-was-drunk-when-he-n404676"/>
    <hyperlink ref="Q628" r:id="rId142" display="http://www.baltimoresun.com/news/maryland/crime/blog/bs-md-baltimore-county-0628-20150627-story.html"/>
    <hyperlink ref="Q629" r:id="rId143" display="http://abc30.com/news/man-wanted-after-deadly-fresno-county-deputy-involved-shooting-identified/808781/"/>
    <hyperlink ref="E630" r:id="rId144" display="http://www.gannett-cdn.com/-mm-/8334042135d7f679c06190b7cdf533ced74a407e/c=15-0-465-600&amp;r=537&amp;c=0-0-534-712/local/-/media/2015/06/24/WVEC/WVEC/635707581920059394-DamienAlexanderHarrell.jpg"/>
    <hyperlink ref="Q630" r:id="rId145" display="http://www.13newsnow.com/story/news/local/peninsulanow/2015/06/24/incident-closes-part-of-ft-eustis-blvd-in-york-co/29204021/"/>
    <hyperlink ref="Q631" r:id="rId146" display="http://www.kansas.com/news/local/article25221067.html"/>
    <hyperlink ref="Q634" r:id="rId147" display="http://www.wthr.com/story/29391400/impd-officer-involved-in-shooting-after-short-pursuit"/>
    <hyperlink ref="E633" r:id="rId148" display="http://bloximages.chicago2.vip.townnews.com/weatherforddemocrat.com/content/tncms/assets/v3/editorial/c/9c/c9c251be-1a8f-11e5-9a9f-0358863fe83b/558addd0ba8d6.image.jpg?resize=300%2C300"/>
    <hyperlink ref="Q633" r:id="rId149" display="http://www.star-telegram.com/news/local/community/fort-worth/article25340344.html"/>
    <hyperlink ref="E632" r:id="rId150" display="http://bloximages.newyork1.vip.townnews.com/omaha.com/content/tncms/assets/v3/editorial/d/d0/dd0b9724-19c9-11e5-93b4-936ae8b833ff/558991a743529.image.jpg"/>
    <hyperlink ref="Q632" r:id="rId151" display="http://journalstar.com/news/local/911/man-shot-by-deputy-has-died-sheriff-s-office-says/article_6edae1e6-0eba-5846-8dc1-79a7a3a032da.html"/>
    <hyperlink ref="E635" r:id="rId152" display="http://www.post-gazette.com/image/2015/06/23/420x_q90_cMC_z_ca0,37,614,753/HarrisTyrone.jpg"/>
    <hyperlink ref="Q635" r:id="rId153" display="http://www.post-gazette.com/local/city/2015/06/22/Shooting-incident-blocks-traffic-on-Route-51-near-Bausman-pittsburgh/stories/201506220143"/>
    <hyperlink ref="Q636" r:id="rId154" display="http://www.sacbee.com/news/local/crime/article25297567.html"/>
    <hyperlink ref="E637" r:id="rId155" display="http://chronicle.augusta.com/sites/default/files/imagecache/superphoto/14501857.jpg"/>
    <hyperlink ref="Q637" r:id="rId156" display="http://chronicle.augusta.com/news/crime-courts/2015-06-23/deputy-shoots-man-who-had-rifle-standoff-victim-died-monday-georgia"/>
    <hyperlink ref="E638" r:id="rId157" display="http://bloximages.newyork1.vip.townnews.com/journalnow.com/content/tncms/assets/v3/editorial/4/1f/41fb4001-cb7b-5850-8587-b8e9677b73a9/558828f92bfd8.image.jpg"/>
    <hyperlink ref="Q638" r:id="rId158" display="http://www.wxii12.com/news/sheriffs-deputy-shot-in-wilkes-county/33705684"/>
    <hyperlink ref="E640" r:id="rId159" display="http://www.gannett-cdn.com/-mm-/9084052019203598504c1c2c8d284ed18b0eeeb0/c=95-0-659-424&amp;r=x404&amp;c=534x401/local/-/media/2015/06/25/KTVB/KTVB/635708443303175916-Allen-Hernandez.jpg"/>
    <hyperlink ref="Q640" r:id="rId160" display="http://www.ktvb.com/story/news/crime/2015/06/25/allen--hernandez-owyhee-sheriff/29283099/"/>
    <hyperlink ref="E639" r:id="rId161" display="http://homicide.latimes.com.s3.amazonaws.com/media/homicide/72c81404-df51-4024-b054-47809e5bc39a.jpeg"/>
    <hyperlink ref="Q639" r:id="rId162" display="http://homicide.latimes.com/post/adrian-simental/"/>
    <hyperlink ref="E641" r:id="rId163" display="http://d3trabu2dfbdfb.cloudfront.net/4/6/4658528_300x300.jpeg"/>
    <hyperlink ref="Q641" r:id="rId164" display="http://www.chron.com/news/houston-texas/article/Deputy-fatally-shoots-man-after-he-charges-6340675.php"/>
    <hyperlink ref="Q642" r:id="rId165" display="http://www.chicagotribune.com/news/local/breaking/ct-alfontish-cockerham-shot-by-police-20150626-story.html"/>
    <hyperlink ref="Q644" r:id="rId166" display="http://theadvocate.com/news/12712188-123/father-at-a-loss-for"/>
    <hyperlink ref="E643" r:id="rId167" display="http://ak-cache.legacy.net/legacy/images/cobrands/birmingham/Photos/photo_20150625_AL0069125_0_danteljelks2015_20150625.jpg?v=0x00000000308a6237"/>
    <hyperlink ref="Q643" r:id="rId168" display="http://www.tuscaloosanews.com/article/20150622/news/150629934?p=1&amp;tc=pg"/>
    <hyperlink ref="E645" r:id="rId169" display="http://www.gannett-cdn.com/-mm-/15e60ce64e0a486e11e80fc1732b57a8401a0831/c=1-0-179-238&amp;r=537&amp;c=0-0-534-712/local/-/media/2015/06/19/Cincinnati/B9317795377Z.1_20150619211539_000_GCBB4NLT3.1-0.jpg"/>
    <hyperlink ref="Q645" r:id="rId170" display="http://www.cincinnati.com/story/news/2015/06/19/trepierre-hummons-past/29018599/"/>
    <hyperlink ref="Q646" r:id="rId171" display="http://www.necn.com/news/new-england/Sister-Speaks-Out-About-Police-Involved-Shooting-308721631.html"/>
    <hyperlink ref="Q647" r:id="rId172" display="http://www.greeleytribune.com/news/16932384-113/weld-district-attorney-releases-names-of-man-woman"/>
    <hyperlink ref="Q648" r:id="rId173" display="http://www.nydailynews.com/new-york/suspect-shot-killed-cops-stabbing-officer-police-article-1.2262745"/>
    <hyperlink ref="Q649" r:id="rId174" display="http://www.grandforksherald.com/news/region/3770087-family-alleged-police-shooting-victim-speaks-out"/>
    <hyperlink ref="Q650" r:id="rId175" display="http://www.montgomeryadvertiser.com/story/news/local/progress/2015/06/18/sbi-investigate-officer-involved-shooting/28954689/"/>
    <hyperlink ref="Q651" r:id="rId176" location=".Vem0QNNVhBc" display="http://www.kob.com/article/stories/s3831288.shtml - .Vem0QNNVhBc"/>
    <hyperlink ref="Q652" r:id="rId177" display="http://www.wptv.com/news/region-indian-river-county/drug-related-death-investigated-in-indian-river-county"/>
    <hyperlink ref="Q653" r:id="rId178" display="http://newyork.cbslocal.com/2015/06/17/neptune-police-officer-shooting/"/>
    <hyperlink ref="Q654" r:id="rId179" display="http://abc30.com/news/visalia-police-shoot-and-kill-man-shortly-after-arriving-at-vacant-business-complex/789315/"/>
    <hyperlink ref="E655" r:id="rId180" display="http://www.kcra.com/image/view/-/33606430/medRes/1/-/maxh/460/maxw/620/-/xldfqjz/-/Kris-Jackson-061615-jpg.jpg"/>
    <hyperlink ref="E656" r:id="rId181" display="https://tribfox40.files.wordpress.com/2015/06/kenneth-garcia.jpg"/>
    <hyperlink ref="Q656" r:id="rId182" display="http://www.kcra.com/news/local-news/news-stockton/stockton-police-investigate-officerinvolved-shooting-1-suspect-dead/33578792"/>
    <hyperlink ref="E657" r:id="rId183" display="http://media.cmgdigital.com/shared/img/photos/2015/06/15/08/8a/Zane_Terryn.jpg"/>
    <hyperlink ref="Q657" r:id="rId184" display="http://www.wftv.com/news/news/local/trooper-teens-idd-brevard-county-shooting/nmdGr/"/>
    <hyperlink ref="E659" r:id="rId185" display="http://whns.images.worldnow.com/images/8077680_G.jpg"/>
    <hyperlink ref="Q659" r:id="rId186" display="http://www.greenvilleonline.com/story/news/local/2015/06/14/moped-driver-killed-crash-greenville-county-deputy/71207792/"/>
    <hyperlink ref="E658" r:id="rId187" display="http://www.gannett-cdn.com/-mm-/4a6db3c9477f4109c4cdeac9a88f4baf6e2f228c/c=0-5-305-412&amp;r=537&amp;c=0-0-534-712/local/-/media/2015/06/15/Louisville/B9317735012Z.1_20150615164435_000_GG6B398IT.1-0.jpg"/>
    <hyperlink ref="Q658" r:id="rId188" display="http://www.washingtonpost.com/news/morning-mix/wp/2015/06/14/new-video-shows-kentucky-police-officer-killing-flagpole-wielding-man/"/>
    <hyperlink ref="E662" r:id="rId189" display="https://5f0ad1906cfcc43aa1e6-196c176a9165c4fb91294bcccfeafde1.ssl.cf1.rackcdn.com/b383b173-9988-4244-8538-f5128397eb44_profile.jpg"/>
    <hyperlink ref="Q662" r:id="rId190" display="http://www.wrdw.com/home/headlines/Shooting-on-Coulter-Drive-in-North-Augusta-307293011.html"/>
    <hyperlink ref="E663" r:id="rId191" display="http://media.cmgdigital.com/shared/img/photos/2015/07/01/63/fb/jimmy_payne_alteredREV2.jpg"/>
    <hyperlink ref="Q663" r:id="rId192" display="http://www.whio.com/news/news/officer-on-leave-during-crash-investigation/nmjmX/"/>
    <hyperlink ref="E660" r:id="rId193" display="http://www.dallasnews.com/incoming/20150613-james-lance-boulware-1-.jpg.ece/BINARY/James-Lance-Boulware+%281%29.jpg"/>
    <hyperlink ref="Q660" r:id="rId194" display="http://www.dallasnews.com/news/local-news/20150613-report-of-shots-fired-near-dallas-police-headquarters-prompts-chase.ece"/>
    <hyperlink ref="E661" r:id="rId195" display="http://assets.mediaspanonline.com/prod/11889528/7206529_h400.jpg"/>
    <hyperlink ref="Q661" r:id="rId196" display="http://wane.com/2015/06/15/coroner-releases-identity-of-man-shot-by-officer/"/>
    <hyperlink ref="E665" r:id="rId197" display="http://bloximages.chicago2.vip.townnews.com/kokomotribune.com/content/tncms/assets/v3/editorial/7/fc/7fcd4704-6af4-59a9-8f7e-42671ea7d7cd/557df996651c8.image.jpg?resize=300%2C400"/>
    <hyperlink ref="Q665" r:id="rId198" display="http://www.kokomotribune.com/news/update-name-of-officer-involved-in-shooting-released/article_fac3c076-121b-11e5-91a2-63f77d795bb0.html"/>
    <hyperlink ref="E664" r:id="rId199" display="http://wvns.images.worldnow.com/images/8063652_G.jpg"/>
    <hyperlink ref="Q664" r:id="rId200" display="http://www.wowktv.com/story/29310449/inmate-death-reported-at-mount-olive-prison-in-fayette-county"/>
    <hyperlink ref="E666" r:id="rId201" display="http://www.trbimg.com/img-557a9e9e/turbine/fl-pompano-beach-fatal-shoot-bso-20150611-003/550/550x309"/>
    <hyperlink ref="Q666" r:id="rId202" display="http://www.local10.com/news/bso-investigates-deputyinvolved-shooting-in-pompano-beach/33522974"/>
    <hyperlink ref="E667" r:id="rId203" display="http://i.dailymail.co.uk/i/pix/2015/06/12/08/298F3F8200000578-3120464-image-m-3_1434095771297.jpg"/>
    <hyperlink ref="Q667" r:id="rId204" display="http://miami.cbslocal.com/2015/06/11/witnesses-police-officer-shoots-homeless-man-five-times-in-miami/"/>
    <hyperlink ref="E669" r:id="rId205" display="http://victimsofpolice.com/2015/images/Mark-Flores-Jr.jpg"/>
    <hyperlink ref="Q669" r:id="rId206" display="http://www.ksat.com/news/father-says-mental-issues-triggered-gun-fight-with-son"/>
    <hyperlink ref="E668" r:id="rId207" display="http://www.northjersey.com/polopoly_fs/1.1355145.1434164980!/fileImage/httpImage/image.jpg_gen/derivatives/landscape_300/hackensackshooting.jpg"/>
    <hyperlink ref="Q668" r:id="rId208" display="http://www.northjersey.com/news/hackensack-man-killed-in-police-involved-shooting-had-knife-officials-say-1.1354435"/>
    <hyperlink ref="Q670" r:id="rId209" display="http://www.wsmv.com/story/29298752/officer-involved-fatal-shooting-reported-in-columbia"/>
    <hyperlink ref="E671" r:id="rId210" display="http://assets.dnainfo.com/generated/photo/2015/06/hampton-isaiah-13a2575-11-1433968556.jpg/extralarge.jpg"/>
    <hyperlink ref="Q671" r:id="rId211" display="http://www.nydailynews.com/new-york/bronx/bronx-man-shot-police-responding-domestic-dispute-article-1.2253127"/>
    <hyperlink ref="A672" r:id="rId212" display="http://www.killedbypolice.net/victims/150504.jpg"/>
    <hyperlink ref="E672" r:id="rId213" display="http://media2.wcpo.com/photo/2015/06/10/16x9/Cincinnati_fatal_officer_involved_shooti_3047750000_19584286_ver1.0_640_480.jpg"/>
    <hyperlink ref="Q672" r:id="rId214" display="http://www.cincinnati.com/story/news/crime/2015/06/09/officer-involved-shooting-northside/28778129/"/>
    <hyperlink ref="Q673" r:id="rId215" display="http://www.dallasnews.com/news/metro/20150609-man-who-died-after-police-used-stun-gun-identified.ece"/>
    <hyperlink ref="Q674" r:id="rId216" display="http://www.yourhoustonnews.com/courier/news/one-dead-after-officer-involved-shooting/article_1cfb859f-d481-5895-abe3-9f10b2b50423.html"/>
    <hyperlink ref="A675" r:id="rId217" display="http://www.killedbypolice.net/victims/150505.jpg"/>
    <hyperlink ref="Q675" r:id="rId218" display="http://www.desmoinesregister.com/story/news/crime-and-courts/2015/06/10/fatal-shooting-officer-involved-merle-hay-urbandale/28779873/"/>
    <hyperlink ref="A676" r:id="rId219" display="http://www.killedbypolice.net/victims/150501.jpg"/>
    <hyperlink ref="Q676" r:id="rId220" display="https://www.toledoblade.com/Police-Fire/2015/06/09/Findlay-officer-involved-in-shooting.html"/>
    <hyperlink ref="A677" r:id="rId221" display="http://www.killedbypolice.net/victims/150496.jpg"/>
    <hyperlink ref="Q677" r:id="rId222" display="http://www.wftv.com/news/news/local/police-person-interest-killed-melbourne-officer-in/nmX7b/"/>
    <hyperlink ref="A678" r:id="rId223" display="http://www.killedbypolice.net/victims/150498.jpg"/>
    <hyperlink ref="Q678" r:id="rId224" display="http://www.ocregister.com/articles/shooting-665164-personnel-dispatchers.html"/>
    <hyperlink ref="Q680" r:id="rId225" display="http://www.indystar.com/story/news/crime/2015/06/08/police-shooting-suspect-dead-beech-grove/28700455/"/>
    <hyperlink ref="Q679" r:id="rId226" display="http://www.azfamily.com/story/29270558/deputy-involved-shooting-in-sun-city"/>
    <hyperlink ref="A681" r:id="rId227" display="http://www.killedbypolice.net/victims/150499.jpg"/>
    <hyperlink ref="Q681" r:id="rId228" display="http://www.nydailynews.com/new-york/bronx/bronx-man-shocked-taser-cops-dies-sources-article-1.2250703"/>
    <hyperlink ref="Q683" r:id="rId229" display="http://www.wfla.com/story/29258795/suspect-dead-after-deputy-involved-shooting-in-sarasota"/>
    <hyperlink ref="Q682" r:id="rId230" display="http://www.komonews.com/news/local/Police-officer-in-Woodland-shoots-kills-58-year-old-man-306422811.html"/>
    <hyperlink ref="A684" r:id="rId231" display="http://www.killedbypolice.net/victims/150490.jpg"/>
    <hyperlink ref="Q684" r:id="rId232" display="http://www.sfgate.com/crime/article/Oakland-police-shoot-suspect-near-Lake-Merritt-6311221.php"/>
    <hyperlink ref="A686" r:id="rId233" display="http://www.killedbypolice.net/victims/150489.jpg"/>
    <hyperlink ref="Q686" r:id="rId234" display="http://www.denverpost.com/news/ci_28264788/man-was-fatally-shot-following-high-speed-chase"/>
    <hyperlink ref="A687" r:id="rId235" display="http://www.killedbypolice.net/victims/150491.jpg"/>
    <hyperlink ref="Q687" r:id="rId236" display="http://www.kionrightnow.com/news/local-news/officer-involvedshooting-in-watsonville-saturday-night-police-said/33444158"/>
    <hyperlink ref="Q689" r:id="rId237" display="http://www.mrt.com/news/crime/article_eccc8aa0-0ccd-11e5-92a5-e30a35ff1af1.html"/>
    <hyperlink ref="Q688" r:id="rId238" display="http://www.wboy.com/story/29256189/monongalia-county-deputies-shoot-suspect-after-vehicle-pursuit"/>
    <hyperlink ref="Q690" r:id="rId239" display="http://www.nbcphiladelphia.com/news/breaking/Rising-Sun-Pizza-Robbery-Shooting-306241121.html"/>
    <hyperlink ref="Q691" r:id="rId240" display="http://www.keyt.com/news/officer-involved-shooting-in-santa-maria-following-domestic-abuse-call/33434948"/>
    <hyperlink ref="A692" r:id="rId241" display="http://www.killedbypolice.net/victims/150488.jpg"/>
    <hyperlink ref="Q692" r:id="rId242" display="http://sanfrancisco.cbslocal.com/2015/06/05/bicyclist-fatally-struck-san-francisco-police-car-mclaren-park/"/>
    <hyperlink ref="A693" r:id="rId243" display="http://www.killedbypolice.net/victims/150483.jpg"/>
    <hyperlink ref="Q693" r:id="rId244" display="http://philadelphia.cbslocal.com/2015/06/04/police-cruiser-hits-kills-man-fleeing-officers-in-chester/"/>
    <hyperlink ref="Q694" r:id="rId245" display="http://www.turnto23.com/news/local-news/delano-pd-shoot-kill-man-after-he-fires-at-police"/>
    <hyperlink ref="A695" r:id="rId246" display="http://www.killedbypolice.net/victims/150485.jpg"/>
    <hyperlink ref="Q695" r:id="rId247" display="http://www.koat.com/news/valencia-county-deputy-involved-in-shooting/33383626"/>
    <hyperlink ref="Q696" r:id="rId248" display="http://crimeblog.dallasnews.com/2015/06/two-men-dead-i-35e-shut-down-in-ellis-county-after-three-hour-chase.html/"/>
    <hyperlink ref="Q697" r:id="rId249" display="http://www.khou.com/story/news/crime/2015/06/03/chase-ends--shooting-southeast-houston/28402107/"/>
    <hyperlink ref="Q698" r:id="rId250" display="http://www.nj.com/sussex-county/index.ssf/2015/06/man_killed_in_sussex_county_police_shooting_authorities_say.html"/>
    <hyperlink ref="A699" r:id="rId251" display="http://www.killedbypolice.net/victims/150479.jpg"/>
    <hyperlink ref="Q699" r:id="rId252" display="http://crimeblog.dallasnews.com/2015/06/tarrant-county-sheriffs-deputy-fatally-shoots-azle-man-who-stabbed-three-relatives.html/"/>
    <hyperlink ref="A700" r:id="rId253" display="http://www.killedbypolice.net/victims/150478.jpg"/>
    <hyperlink ref="Q700" r:id="rId254" display="http://www.whdh.com/story/29215946/one-dead-after-officer-involved-shooting-in-roslindale"/>
    <hyperlink ref="A702" r:id="rId255" display="http://www.killedbypolice.net/victims/150476.jpg"/>
    <hyperlink ref="Q702" r:id="rId256" display="http://www.democratandchronicle.com/story/news/2015/06/01/police-investigate-near-sears-mall-greece-ridge/28314217/"/>
    <hyperlink ref="A703" r:id="rId257" display="http://www.killedbypolice.net/victims/150475.jpg"/>
    <hyperlink ref="Q703" r:id="rId258" display="http://www.kplctv.com/story/29203366/palestine-police-id-victim-in-officer-involved-shooting"/>
    <hyperlink ref="Q704" r:id="rId259" display="http://www.democratandchronicle.com/story/news/2015/05/31/police-holding-press-briefing-tremont-st-incident/28263079/"/>
    <hyperlink ref="Q706" r:id="rId260" display="http://www.scrippsmedia.com/newschannel5/news/Investigation-Ongoing-At-Scene-Of-Alleged-Shooting-305572891.html"/>
    <hyperlink ref="Q707" r:id="rId261" display="http://koin.com/2015/05/30/osp-troopers-shoot-kill-man-in-wilderville/"/>
    <hyperlink ref="Q710" r:id="rId262" display="http://newyork.cbslocal.com/2015/05/29/lyndhurst-library-police-shooting/"/>
    <hyperlink ref="A712" r:id="rId263" display="http://www.killedbypolice.net/victims/150477.jpg"/>
    <hyperlink ref="Q712" r:id="rId264" display="http://www.thelevisalazer.com/news/local-news/11484-louisa-man-dies-after-being-tasered-by-police-during-arrest.html"/>
    <hyperlink ref="Q713" r:id="rId265" display="http://www.presstelegram.com/general-news/20150528/man-dies-after-long-beach-officer-involved-shooting"/>
    <hyperlink ref="Q714" r:id="rId266" display="http://www.11alive.com/story/news/local/carrollton/2015/05/28/carrolton-officer-involved-shooting/28130059/"/>
    <hyperlink ref="Q716" r:id="rId267" display="http://www.thedenverchannel.com/news/local-news/injured-northglenn-police-officer-taken-to-hospital"/>
    <hyperlink ref="Q717" r:id="rId268" display="http://www.macon.com/2015/05/28/3768612/putnam-deputy-shoots-and-kills.html"/>
    <hyperlink ref="Q715" r:id="rId269" display="http://www.clickondetroit.com/news/man-attacks-officer-shot-by-police-trenton/33276844"/>
    <hyperlink ref="Q718" r:id="rId270" display="http://www.wsoctv.com/news/news/local/sled-responding-possible-officer-involved-shooting/nmQSJ/"/>
    <hyperlink ref="Q720" r:id="rId271" display="http://www.nbcsandiego.com/news/local/Reported-Shots-Fired-Alpine-305259931.html"/>
    <hyperlink ref="Q722" r:id="rId272" display="http://www.kmbc.com/news/person-taken-to-hospital-after-kck-officer-uses-force-at-family-dollar/33249942"/>
    <hyperlink ref="Q721" r:id="rId273" display="http://7online.com/news/man-holding-17-month-old-son-hostage-killed-in-middletown-police-shooting/744277/"/>
    <hyperlink ref="Q719" r:id="rId274" display="http://kfor.com/2015/05/27/breaking-news-officer-involved-shooting-in-edmond/"/>
    <hyperlink ref="Q723" r:id="rId275" display="http://pix11.com/2015/05/26/police-shoot-man-in-brooklyn-school-parking-lot/"/>
    <hyperlink ref="Q724" r:id="rId276" display="http://www.nbcdfw.com/news/local/9-Year-Old-Child-Reported-Missing-in-Benbrook-304947651.html"/>
    <hyperlink ref="Q725" r:id="rId277" display="http://www.kirotv.com/news/news/breaking-news-deputy-shoots-kills-man-near-monroe/nmNnq/"/>
    <hyperlink ref="Q726" r:id="rId278" display="http://www.waaytv.com/appnews/huntsville-police-investigate-fatal-officer-involved-shooting/article_ed55e3aa-035d-11e5-86b1-a7abaa619c23.html"/>
    <hyperlink ref="Q727" r:id="rId279" display="http://kxan.com/2015/05/25/woman-shot-dead-after-five-hour-standoff-with-apd-swat-officers/"/>
    <hyperlink ref="Q728" r:id="rId280" display="http://www.kpho.com/story/29143797/suspect-dead-following-police-shooting-in-eagar-ariz"/>
    <hyperlink ref="Q729" r:id="rId281" display="http://www.freep.com/story/news/local/michigan/detroit/2015/05/23/barricaded-standoff-detroit/27839681/"/>
    <hyperlink ref="Q730" r:id="rId282" display="http://www.kshb.com/news/crime/james-horn-man-who-locked-woman-in-box-wanted-in-connection-to-double-murder"/>
    <hyperlink ref="Q731" r:id="rId283" display="http://www.wpxi.com/news/news/local/troopers-shoot-person-inside-grocery-store/nmMF2/"/>
    <hyperlink ref="Q735" r:id="rId284" display="http://www.local10.com/news/markus-clark-dies-at-florida-medical-center-after-arrest/33152392"/>
    <hyperlink ref="Q732" r:id="rId285" display="http://www.wsvn.com/story/29128211/man-dead-after-barricading-himself-inside-fort-lauderdale-home"/>
    <hyperlink ref="Q734" r:id="rId286" display="http://www.wave3.com/story/29120867/shooting-investigation-in-owensboro"/>
    <hyperlink ref="Q733" r:id="rId287" display="http://www.abcnews4.com/story/29122044/police-close-off-downtown-charleston-streets-believe-lt-rogers-shooting-suspect-inside"/>
    <hyperlink ref="Q737" r:id="rId288" display="http://www.nj.com/bergen/index.ssf/2015/05/police-involved_shooting_under_investigation_in_ha.html"/>
    <hyperlink ref="Q736" r:id="rId289" display="http://www.elpasotimes.com/latestnews/ci_28159979/officer-involved-shooting-northeast-el-paso"/>
    <hyperlink ref="Q740" r:id="rId290" display="http://jacksonville.com/news/crime/2015-05-21/story/suspect-shot-deputies-st-augustine-beach-has-died"/>
    <hyperlink ref="Q739" r:id="rId291" display="http://www.postandcourier.com/article/20150521/PC16/150529889/man-shot-last-night-after-cutting-deputy-dies"/>
    <hyperlink ref="Q738" r:id="rId292" display="http://www.gillettenewsrecord.com/news/local/article_8ce9749e-ffea-11e4-b7e5-5f207815da4f.html"/>
    <hyperlink ref="Q741" r:id="rId293" display="http://www.wowt.com/home/headlines/Police-Officer-Shot-304450711.html?ref=711"/>
    <hyperlink ref="Q742" r:id="rId294" display="http://www.thv11.com/story/news/crime/2015/05/19/police-respond-to-cabot-shooting/27627629/"/>
    <hyperlink ref="Q743" r:id="rId295" display="http://www.newsnet5.com/news/local-news/oh-summit/summit-county-sheriffs-deputy-fatally-shoots-man-with-knife-in-green"/>
    <hyperlink ref="Q744" r:id="rId296" display="http://www.wgal.com/news/breaking-news-officer-shot-in-lancaster/33104470"/>
    <hyperlink ref="Q745" r:id="rId297" display="http://www.arlnow.com/2015/05/19/breaking-officer-involved-shooting-in-buckingham/"/>
    <hyperlink ref="Q746" r:id="rId298" display="http://www.kjct8.com/news/headlines/Officer-involved-shooting-near-downtown-Grand-Junction-304404101.html"/>
    <hyperlink ref="Q747" r:id="rId299" display="http://k2radio.com/inmate-fought-deputies-before-dying-affidavit-details-bin-williams-last-days/"/>
    <hyperlink ref="Q748" r:id="rId300" display="http://www.chicagotribune.com/news/local/breaking/ct-officials-robbery-suspect-shot-dead-after-opening-fire-on-cops-20150517-story.html"/>
    <hyperlink ref="Q751" r:id="rId301" display="http://www.utsandiego.com/news/2015/may/17/sdpd-ois-officer-shot-kearny-mesa-hospital/"/>
    <hyperlink ref="Q749" r:id="rId302" display="http://www.baynews9.com/content/news/baynews9/news/article.html/content/news/articles/bn9/2015/5/17/st_pete_officer_shot.html"/>
    <hyperlink ref="Q750" r:id="rId303" location=".VVkL0zY4nTY" display="http://www.kob.com/article/stories/s3798987.shtml - .VVkL0zY4nTY"/>
    <hyperlink ref="Q752" r:id="rId304" display="http://www.kcra.com/news/local-news/news-sacramento/sacramento-police-investigating-officerinvolved-shooting/33053756"/>
    <hyperlink ref="Q753" r:id="rId305" display="http://www.nydailynews.com/new-york/bronx-man-died-custody-drinking-sources-article-1.2224115"/>
    <hyperlink ref="Q754" r:id="rId306" display="http://www.wrex.com/story/29079166/2015/05/15/officer-involved-shooting-in-rockford"/>
    <hyperlink ref="Q755" r:id="rId307" display="http://www.mlive.com/news/kalamazoo/index.ssf/2015/05/police_kill_1_man_injure_anoth.html"/>
    <hyperlink ref="Q756" r:id="rId308" display="http://www.spokesman.com/stories/2015/may/13/jail-inmate-dies-shortly-after-arrest/"/>
    <hyperlink ref="Q758" r:id="rId309" display="http://jacksonville.com/news/crime/2015-05-12/story/suspect-dead-police-involved-shooting-westside-jacksonville-apartment"/>
    <hyperlink ref="Q759" r:id="rId310" display="http://wtop.com/montgomery-county/2015/05/death-of-man-after-police-tasing-investigated-in-montgomery-county/"/>
    <hyperlink ref="Q760" r:id="rId311" display="http://www.staradvertiser.com/news/breaking/20150512_Man_fatally_shot_at_Chinatown_Gateway_Plaza.html?id=303517261"/>
    <hyperlink ref="Q761" r:id="rId312" display="http://www.ocregister.com/articles/santa-661469-involved-margarita.html"/>
    <hyperlink ref="Q762" r:id="rId313" display="http://www.nbcwashington.com/news/local/Prince-Georges-County-Sheriffs-Deputy-Involved-in-Fatal-Shooting-303283731.html"/>
    <hyperlink ref="Q763" r:id="rId314" display="http://www.wfaa.com/story/news/crime/2015/05/11/fort-worth-police-report-officer-involved-shooting/27141917/"/>
    <hyperlink ref="Q765" r:id="rId315" display="http://www.kpho.com/story/29033947/man-dead-after-officer-involved-shooting-in-kearny"/>
    <hyperlink ref="Q764" r:id="rId316" display="http://www.news4jax.com/news/st-johns-county-investiges-deputy-involved-shooting/32947972"/>
    <hyperlink ref="Q767" r:id="rId317" display="http://www.wral.com/man-dies-while-in-police-custody-in-enfield/14637653/"/>
    <hyperlink ref="Q766" r:id="rId318" display="http://www.kirotv.com/news/news/tacoma-police-shoot-and-kill-armed-man-outside-his/nmDNM/"/>
    <hyperlink ref="Q768" r:id="rId319" display="http://www.kare11.com/story/news/2015/05/09/694-shut-down-man-dies-in-officer-involved-shooting/27034515/"/>
    <hyperlink ref="Q769" r:id="rId320" display="http://www.nola.com/crime/index.ssf/2015/05/officer-involved_shooting_repo.html"/>
    <hyperlink ref="Q770" r:id="rId321" display="http://www.localsyr.com/story/d/story/authorities-investigating-fatal-officer-involved-s/67882/io8DUgiTsEG_yMWZyCVbHw"/>
    <hyperlink ref="Q772" r:id="rId322" display="http://ktla.com/2015/05/07/apparent-deputy-involved-shooting-prompts-emergency-response-in-cerritos/"/>
    <hyperlink ref="Q771" r:id="rId323" display="http://www.heraldtribune.com/article/20150507/ARTICLE/150509754/2416/NEWS"/>
    <hyperlink ref="Q773" r:id="rId324" display="http://www.wsbtv.com/news/news/local/gwinnett-county-police-investigate-officer-involve/nmBY5/"/>
    <hyperlink ref="Q774" r:id="rId325" display="http://www.wsoctv.com/news/news/local/police-investigate-officer-involved-shooting-wake-/nmBQL/"/>
    <hyperlink ref="Q775" r:id="rId326" display="http://www.recordonline.com/article/20150507/NEWS/150509481"/>
    <hyperlink ref="Q776" r:id="rId327" display="http://abc7.com/news/man-shot-to-death-by-lapd-in-venice-after-disturbing-the-peace-call/699856/"/>
    <hyperlink ref="Q777" r:id="rId328" display="http://newyork.cbslocal.com/2015/05/06/nj-turnpike-pedestrians-killed-police-car/"/>
    <hyperlink ref="Q778" r:id="rId329" display="http://newyork.cbslocal.com/2015/05/06/nj-turnpike-pedestrians-killed-police-car/"/>
    <hyperlink ref="Q779" r:id="rId330" display="http://www.sgvtribune.com/general-news/20150505/2-dead-1-injured-in-south-el-monte-stabbing-deputy-involved-shooting"/>
    <hyperlink ref="Q781" r:id="rId331" display="http://www.wsls.com/story/28977735/vsp-investigating-officer-involved-shooting-in-pulaski"/>
    <hyperlink ref="Q784" r:id="rId332" display="http://www.wkyt.com/wymt/home/headlines/Police-investigating-officer-involved-shooting-in-Perry-County-302391481.html"/>
    <hyperlink ref="Q783" r:id="rId333" display="http://www.keprtv.com/SWAT-on-scene-of-standoff-in-Kennewick-302418671.html"/>
    <hyperlink ref="Q785" r:id="rId334" display="http://facebook.com/KilledByPolice/posts/1034785363216267"/>
    <hyperlink ref="Q787" r:id="rId335" display="http://www.wfaa.com/story/news/local/2015/05/03/garland-curtis-culwell-center-swat/26848435/"/>
    <hyperlink ref="Q789" r:id="rId336" display="http://krqe.com/2015/05/03/suspect-from-deputy-involved-shooting-dies/"/>
    <hyperlink ref="Q788" r:id="rId337" display="http://www.deseretnews.com/article/865627866/Roosevelt-police-shoot-kill-man-wielding-handgun-near-hospital.html?pg=all"/>
    <hyperlink ref="Q790" r:id="rId338" display="http://www.wboc.com/story/28959278/police-investigating-officer-involved-shooting"/>
    <hyperlink ref="E791" r:id="rId339" display="http://mugshots.com/search.html?q=alexia christian&amp;c=119250"/>
    <hyperlink ref="Q791" r:id="rId340" display="http://www.ajc.com/news/news/shots-fired-in-downtown-atlanta/nk6jp/"/>
    <hyperlink ref="E792" r:id="rId341" display="http://www.wsmv.com/story/28940658/police-investigating-shooting-in-south-nashville"/>
    <hyperlink ref="Q792" r:id="rId342" display="http://www.wsmv.com/story/28940658/police-investigating-shooting-in-south-nashville"/>
    <hyperlink ref="Q793" r:id="rId343" display="http://www.cbs8.com/story/28940667/homicide-detectives-on-scene-after-officer-involved-shooting-in-midway"/>
    <hyperlink ref="E794" r:id="rId344" display="http://wtvr.com/2015/04/30/greensville-county-sheriff-shooting/"/>
    <hyperlink ref="Q794" r:id="rId345" display="http://www.13newsnow.com/story/news/local/virginia/2015/04/30/greensville-co-man-killed-in-officer-involved-shooting/26633591/"/>
    <hyperlink ref="Q797" r:id="rId346" display="http://www.azcentral.com/story/news/local/mesa/2015/04/29/mesa-police-officer-involved-fatal-shooting-abrk/26610825/"/>
    <hyperlink ref="Q795" r:id="rId347" display="http://www.elpasotimes.com/news/ci_28023272/el-paso-police-officer-shot-and-killed-burglary"/>
    <hyperlink ref="Q798" r:id="rId348" display="http://kfor.com/2015/04/29/oklahoma-police-officer-involved-in-fatal-shooting/"/>
    <hyperlink ref="Q796" r:id="rId349" display="http://www.sacbee.com/news/local/crime/article19860156.html"/>
    <hyperlink ref="Q799" r:id="rId350" display="http://www.wwltv.com/story/news/crime/2015/04/28/nopd-on-scene-of-officer-needing-assistance/26555847/"/>
    <hyperlink ref="E801" r:id="rId351" display="http://www.kfvs12.com/story/28915534/1-dead-after-standoff-in-marion"/>
    <hyperlink ref="Q801" r:id="rId352" display="http://www.kfvs12.com/story/28915534/1-dead-after-standoff-in-marion"/>
    <hyperlink ref="E802" r:id="rId353" display="http://www.mansfieldnewsjournal.com/story/news/local/2015/04/27/mansfield-police-scene-standoff/26457727/"/>
    <hyperlink ref="Q802" r:id="rId354" display="http://www.mansfieldnewsjournal.com/story/news/local/2015/04/27/mansfield-police-scene-standoff/26457727/"/>
    <hyperlink ref="Q803" r:id="rId355" display="http://america.aljazeera.com/articles/2015/4/29/terrance-kellom-shot-dead-in-detroit-by-ice-agent.html"/>
    <hyperlink ref="Q805" r:id="rId356" display="http://abc7.com/news/burglary-suspect-killed-in-officer-involved-shooting-in-fountain-valley/682399/"/>
    <hyperlink ref="E807" r:id="rId357" display="http://www.guns.com/2015/04/30/game-warden-shoots-kills-man-who-tried-to-drown-him-after-checking-fishing-license/"/>
    <hyperlink ref="E804" r:id="rId358" display="https://www.victoriaadvocate.com/news/2015/apr/27/parents-of-veteran-fatally-shot-by-police-seek-ans/"/>
    <hyperlink ref="Q804" r:id="rId359" display="https://www.victoriaadvocate.com/news/2015/apr/27/parents-of-veteran-fatally-shot-by-police-seek-ans/"/>
    <hyperlink ref="E808" r:id="rId360" display="http://www.democracynow.org/2015/4/27/headlines/new_york_police_kill_mentally_ill_african_american_man"/>
    <hyperlink ref="Q808" r:id="rId361" display="http://www.nydailynews.com/new-york/cops-shoot-man-east-village-altercation-police-article-1.2198797"/>
    <hyperlink ref="Q809" r:id="rId362" display="http://www.wftv.com/news/news/local/1-fatally-shot-lake-county-deputy-involved-shootin/nk3ng/"/>
    <hyperlink ref="Q810" r:id="rId363" display="http://www.kktv.com/home/headlines/Deadly-Officer-Involved-Shooting-in-Trinidad-301252451.html"/>
    <hyperlink ref="Q813" r:id="rId364" display="http://www.miamiok.com/news/article_7116fd15-d23e-59c9-aa7e-043ec0f3871f.html"/>
    <hyperlink ref="E814" r:id="rId365" display="http://www.statesmanjournal.com/story/news/2015/04/25/man-shot-killed-salem-police-identified/26377897/"/>
    <hyperlink ref="Q814" r:id="rId366" display="http://www.oregonlive.com/pacific-northwest-news/index.ssf/2015/04/salem_police_wound_armed_man_e.html"/>
    <hyperlink ref="Q815" r:id="rId367" display="http://abc13.com/news/hpd-officer-hits-kills-bicyclist-in-southeast-houston/677753/"/>
    <hyperlink ref="Q817" r:id="rId368" display="http://www.presstelegram.com/general-news/20150424/police-no-weapon-found-at-scene-of-officer-involved-shooting-in-long-beach-thursday"/>
    <hyperlink ref="Q816" r:id="rId369" display="http://www.latimes.com/local/lanow/la-me-ln-lapd-shoots-sylmar-gunman-20150423-story.html"/>
    <hyperlink ref="Q818" r:id="rId370" display="http://sanfrancisco.cbslocal.com/2015/04/24/woman-shot-deputies-sonoma-county-chase-dies/"/>
    <hyperlink ref="E819" r:id="rId371" display="http://www.nytimes.com/2015/04/24/nyregion/man-killed-by-police-in-queens-had-a-history-of-instability.html?_r=0"/>
    <hyperlink ref="Q819" r:id="rId372" display="http://www.nytimes.com/2015/04/24/nyregion/man-killed-by-police-in-queens-had-a-history-of-instability.html?_r=0"/>
    <hyperlink ref="Q821" r:id="rId373" display="http://www.dispatch.com/content/stories/local/2015/04/27/Knox_County_jail_death.html"/>
    <hyperlink ref="E820" r:id="rId374" display="http://www.newson6.com/story/28881786/choctaw-county-law-enforcement-officers-shot-serving-warrant"/>
    <hyperlink ref="Q820" r:id="rId375" display="http://www.newson6.com/story/28881786/choctaw-county-law-enforcement-officers-shot-serving-warrant"/>
    <hyperlink ref="Q826" r:id="rId376" display="http://www.bakersfieldnow.com/news/local/Man-shot-in-Delano-300955291.html"/>
    <hyperlink ref="E829" r:id="rId377" display="http://www.midhudsonnews.com/News/2015/April/24/Fishkill_inmate_Harrell-24Apr15.htm"/>
    <hyperlink ref="Q828" r:id="rId378" display="http://www.nj.com/middlesex/index.ssf/2015/04/man_killed_by_state_trooper_released_from_state_pr.html"/>
    <hyperlink ref="Q830" r:id="rId379" display="http://www.latimes.com/local/lanow/la-me-ln-lapd-lincoln-heights-shooting-20150422-story.html"/>
    <hyperlink ref="Q832" r:id="rId380" display="http://www.wtok.com/news/headlines/Lauderdale-County-Man-Dies-after-Arrest-300851931.html"/>
    <hyperlink ref="Q834" r:id="rId381" display="http://www.suntelegraph.com/story/2015/04/21/community/leasa-hlavinka-husband-was-a-doting-father/6849.html"/>
    <hyperlink ref="Q837" r:id="rId382" display="http://www.kentucky.com/2015/04/19/3809168/wilmore-man-killed-by-police-had.html"/>
    <hyperlink ref="Q841" r:id="rId383" display="http://www.azfamily.com/story/28852387/phoenix-pds-mental-health-squad-looks-to-reduce-violent-encounters"/>
    <hyperlink ref="Q843" r:id="rId384" display="http://www.chicagotribune.com/news/local/breaking/chi-man-fatally-shot-by-police-in-south-shore-20150417-story.html"/>
    <hyperlink ref="Q845" r:id="rId385" display="http://www.pe.com/articles/car-765208-officers-sheriff.html"/>
    <hyperlink ref="Q847" r:id="rId386" display="http://www.bakersfieldnow.com/news/local/Questions-raised-after-officer-involved-shooting-in-Shafter-300410121.html"/>
    <hyperlink ref="Q849" r:id="rId387" display="http://www.detroitnews.com/story/news/local/wayne-county/2015/04/17/assault-suspect-died-hit-taser-identified/25947299/"/>
    <hyperlink ref="Q848" r:id="rId388" display="http://www.abc17news.com/news/suspect-shot-and-killed-by-police/32394506"/>
    <hyperlink ref="Q850" r:id="rId389" display="http://www.nbcmiami.com/news/local/FDLE-Investigating-Fatal-Police-Involved-Shooting-in-Miami-Dade-300173991.html"/>
    <hyperlink ref="E851" r:id="rId390" display="http://www.brownrobinson.com/obituary/4199/Donte_Noble"/>
    <hyperlink ref="Q851" r:id="rId391" display="http://www.wyff4.com/news/police-find-man-stabbing-wife-shoot-kill-him/32384112"/>
    <hyperlink ref="Q853" r:id="rId392" display="http://www.dailybulletin.com/government-and-politics/20150416/man-fatally-shot-by-deputies-near-montclair-had-bb-gun"/>
    <hyperlink ref="Q854" r:id="rId393" display="http://wreg.com/2015/04/15/man-wielding-machete-is-shot-and-killed-by-jonesboro-patrolman/"/>
    <hyperlink ref="Q857" r:id="rId394" display="http://www.nbclosangeles.com/news/local/Highland-In-Custody-Death-Investigation-300128821.html"/>
    <hyperlink ref="Q856" r:id="rId395" display="http://denver.cbslocal.com/2015/04/16/marriage-down-the-tubes-i-hope-they-kill-me-says-killed-standoff-suspect-on-facebook/"/>
    <hyperlink ref="Q855" r:id="rId396" display="http://www.nj.com/mercer/index.ssf/2015/04/man_shot_by_hamilton_police_in_stabbing_incident_d.html"/>
    <hyperlink ref="Q859" r:id="rId397" display="http://www.recordonline.com/article/20150428/OPINION/150429329/101136/OPINION"/>
    <hyperlink ref="Q858" r:id="rId398" display="http://www.oregonlive.com/portland/index.ssf/2015/04/se_portland_double_murder_susp.html"/>
    <hyperlink ref="E861" r:id="rId399" display="http://fox2now.com/2015/04/14/man-identified-in-alton-officer-involved-shooting/"/>
    <hyperlink ref="Q861" r:id="rId400" display="http://fox2now.com/2015/04/14/man-identified-in-alton-officer-involved-shooting/"/>
    <hyperlink ref="Q862" r:id="rId401" display="http://abc11.com/news/sampson-county-sheriffs-deputy-shoots-and-kills-robbery-suspect/654777/"/>
    <hyperlink ref="Q863" r:id="rId402" display="http://www.indystar.com/story/news/crime/2015/04/12/officer-involved-shooting-reported-indys-eastside/25678213/"/>
    <hyperlink ref="Q864" r:id="rId403" display="http://www.koco.com/news/police-investigating-reported-shooting-in-newalla/32332484"/>
    <hyperlink ref="Q865" r:id="rId404" display="http://www.dailymail.co.uk/news/article-3051433/Bodycam-footage-shows-Sand-Springs-Officer-Brian-Barnett-killing-Donald-Allen.html"/>
    <hyperlink ref="Q866" r:id="rId405" display="http://www.appeal-democrat.com/corning_observer/deputy-shoots-kills-corning-man-stabbing-father/article_800aa990-e23b-11e4-9469-435eb6fa3396.html"/>
    <hyperlink ref="Q867" r:id="rId406" display="http://www.pennlive.com/midstate/index.ssf/2015/04/adams_county_prison_gunman_die.html"/>
    <hyperlink ref="Q868" r:id="rId407" display="http://www.jconline.com/story/news/2015/05/01/officers-justified-use-lethal-force/26708803/"/>
    <hyperlink ref="Q869" r:id="rId408" display="http://www.northescambia.com/2015/04/santa-rosa-deputy-attacked-by-man-with-sword-suspect-shot-and-killed"/>
    <hyperlink ref="Q871" r:id="rId409" display="http://newsok.com/oklahoma-agents-investigate-fatal-deputy-involved-shooting-in-creek-county/article/5408706"/>
    <hyperlink ref="Q870" r:id="rId410" display="http://www.wyff4.com/news/family-of-man-killed-by-deputies-hires-attorney/32601896"/>
    <hyperlink ref="Q872" r:id="rId411" display="http://www.wctv.tv/home/headlines/Police-Respond-to-Apparent-Shooting-in-Valdosta-299123481.html"/>
    <hyperlink ref="Q873" r:id="rId412" display="http://www.latimes.com/local/lanow/la-me-ln-boyle-heights-ois-man-identified-20150410-story.html"/>
    <hyperlink ref="Q874" r:id="rId413" display="http://www.kerngoldenempire.com/news/top-stories/new-information-on-kcso-in-custody-death"/>
    <hyperlink ref="Q875" r:id="rId414" display="http://sanfrancisco.cbslocal.com/2015/04/14/armed-robbery-suspect-killed-by-sunnyvale-police-was-army-veteran/"/>
    <hyperlink ref="E876" r:id="rId415" display="http://www.ksat.com/content/pns/ksat/news/2015/04/10/man-shot--killed-by-police-id-d.html"/>
    <hyperlink ref="Q876" r:id="rId416" display="http://www.ksat.com/content/pns/ksat/news/2015/04/10/man-shot--killed-by-police-id-d.html"/>
    <hyperlink ref="Q877" r:id="rId417" display="http://www.ktvb.com/story/news/crime/2015/04/07/deputy-shoots-kills-man-rifle/25414923/"/>
    <hyperlink ref="Q878" r:id="rId418" display="http://kfor.com/2015/04/08/officer-involved-shooting-in-shawnee-leaves-one-dead/"/>
    <hyperlink ref="Q879" r:id="rId419" display="http://www.wdsu.com/news/local-news/new-orleans/jpso-officer-involved-in-shooting-in-harvey/32215908"/>
    <hyperlink ref="Q881" r:id="rId420" display="http://www.turnto23.com/news/local-news/suspect-dies-after-officer-involved-shooting-in-tehachapi-040615"/>
    <hyperlink ref="Q880" r:id="rId421" display="http://www.seattletimes.com/seattle-news/coulee-dam-man-dies-following-taser-incident/"/>
    <hyperlink ref="Q883" r:id="rId422" display="http://www.ocala.com/article/20150429/ARTICLES/150429614"/>
    <hyperlink ref="Q882" r:id="rId423" display="http://www.indystar.com/story/news/crime/2015/04/06/armed-man-shot-and-killed-by-police-on-southwestside/25348529/"/>
    <hyperlink ref="E884" r:id="rId424" display="http://mugshot-record-search.com/mugshot/AZ/Maricopa-County-Sheriff-Office/2015-Mar-16/8155067/Kenneth-Cockerel"/>
    <hyperlink ref="Q884" r:id="rId425" display="http://www.abc15.com/news/region-phoenix-metro/north-phoenix/police-identify-ken-cockerel-as-man-who-stabbed-himself-then-threatened-officers-with-knives"/>
    <hyperlink ref="Q887" r:id="rId426" display="http://ktla.com/2015/04/05/armed-man-is-fatally-shot-by-anaheim-police-1-day-after-posting-bail/"/>
    <hyperlink ref="Q886" r:id="rId427" display="http://www.huffingtonpost.com/2015/04/29/justus-howell_n_7172814.html"/>
    <hyperlink ref="Q888" r:id="rId428" display="http://www.koat.com/news/state-police-officers-fatally-shoot-east-mountains-man/32197688"/>
    <hyperlink ref="Q889" r:id="rId429" display="http://www.newson6.com/story/28722322/sheriff-man-who-died-after-being-tasered-broke-warner-officers-eye-bone-first"/>
    <hyperlink ref="E890" r:id="rId430" display="http://www.killedbypolice.net/victims/150297.jpg"/>
    <hyperlink ref="Q890" r:id="rId431" display="http://kwqc.com/2015/04/03/r-i-county-coroner-identifies-man-killed-in-officer-involved-shooting/"/>
    <hyperlink ref="Q891" r:id="rId432" display="http://www.winchesterstar.com/article/040615br"/>
    <hyperlink ref="Q893" r:id="rId433" display="http://www.timesunion.com/news/article/Taser-victim-Dontay-Ivy-to-be-laid-to-rest-6187858.php"/>
    <hyperlink ref="Q892" r:id="rId434" display="http://www.inquisitr.com/2003038/oklahoma-shooting-videos-reveal-eric-courtney-harris-last-moments-alive/"/>
    <hyperlink ref="Q894" r:id="rId435" display="http://www.kfvs12.com/story/28708976/man-identified-following-officer-involved-shooting-in-metropolis"/>
    <hyperlink ref="Q895" r:id="rId436" display="http://www.thetowntalk.com/story/news/local/2015/04/04/pineville-man-killed-deputy-idd-la-guardsman/25296693/"/>
    <hyperlink ref="E896" r:id="rId437" display="http://www.killedbypolice.net/victims/150292.jpg"/>
    <hyperlink ref="Q896" r:id="rId438" display="http://www.nbclosangeles.com/news/local/Fatal-Shooting-May-Have-Started-Over-Laugh-298532211.html"/>
    <hyperlink ref="Q900" r:id="rId439" display="http://www.click2houston.com/news/pd-man-with-pellet-gun-shot-dead-by-baytown-police-officer/32108156"/>
    <hyperlink ref="Q905" r:id="rId440" display="http://www.nwitimes.com/news/local/lake/hobart-man-dies-while-in-police-custody/article_8c40ecd0-25ee-537c-a247-168e9f79d438.html"/>
    <hyperlink ref="Q908" r:id="rId441" display="http://www.10tv.com/content/stories/2015/03/29/pike-county-ohio--officer-involved-shooting-leaves-one-dead.html"/>
    <hyperlink ref="A910" r:id="rId442" display="http://www.killedbypolice.net/victims/150279.jpg"/>
    <hyperlink ref="Q910" r:id="rId443" display="http://www.vcstar.com/news/local-news/oxnard/oxnard-woman-killed-by-police-after-domestic-dispute-call_34372240"/>
    <hyperlink ref="Q927" r:id="rId444" display="http://www.oregonlive.com/clark-county/index.ssf/2015/03/clark_county_jail_inmate_dies_1.html"/>
    <hyperlink ref="Q975" r:id="rId445" display="http://crimeblog.dallasnews.com/2015/03/man-in-arlington-police-custody-hospitazlied.html/"/>
    <hyperlink ref="Q978" r:id="rId446" display="http://www.19actionnews.com/story/28380324/one-dead-after-officer-involved-shooting-in-cleveland"/>
    <hyperlink ref="Q1003" r:id="rId447" display="http://www.ksstradio.com/2015/03/09/texas-rangers-investigate-death-of-inmate/"/>
    <hyperlink ref="Q1031" r:id="rId448" display="http://www.tristatehomepage.com/story/d/story/isp-investigating-officer-involved-shooting-in-ter/40703/pV4yrq5qR0S3uTbJYNfJsQ"/>
    <hyperlink ref="Q1043" r:id="rId449" display="http://www.theindychannel.com/news/local-news/suspect-fatally-shot-by-impd-officer-on-east-side"/>
    <hyperlink ref="Q1067" r:id="rId450" location="section/-1/article/p2p-82809119/" display="http://touch.mcall.com/ - section/-1/article/p2p-82809119/"/>
    <hyperlink ref="Q1070" r:id="rId451" display="http://www.starfl.com/news/local-news/officer-involved-shooting-under-investigation-1.440104"/>
    <hyperlink ref="Q1076" r:id="rId452" display="http://crimeblog.dallasnews.com/2015/02/live-video-dallas-police-on-the-scene-of-officer-involved-shooting-at-bonnie-view-and-i-20.html/"/>
    <hyperlink ref="Q1078" r:id="rId453" display="http://www.cbsnews.com/news/texas-officer-responding-to-home-fatally-shoots-off-duty-deputy/"/>
    <hyperlink ref="Q1082" r:id="rId454" display="http://www.washingtonpost.com/local/crime/woman-dies-after-a-stun-gun-was-used-on-her-in-the-fairfax-county-jail/2015/02/08/14a7f498-4987-4e47-be50-5d31b39825ef_story.html"/>
    <hyperlink ref="E1081" r:id="rId455" display="http://www.trbimg.com/img-54da5444/turbine/os-joseph-paffen-20150210/243/243x137"/>
    <hyperlink ref="Q1081" r:id="rId456" display="http://www.orlandosentinel.com/news/breaking-news/os-sovereign-citizen-deputy-shooting-20150210-story.html"/>
    <hyperlink ref="Q1085" r:id="rId457" display="http://www.wcnc.com/story/news/crime/2015/02/08/gastoina-police-officer-involved-in-deadly-shooting/23075073/"/>
    <hyperlink ref="Q1086" r:id="rId458" display="http://woodtv.com/2015/02/07/suspect-in-officer-shooting-to-be-taken-off-life-support/"/>
    <hyperlink ref="Q1090" r:id="rId459" display="http://www.wacotrib.com/news/traffic/officers-shoot-kill-suspected-waco-area-robber-after-high-speed/article_0ad98762-1641-5888-80b2-3797f0b5c9f6.html"/>
    <hyperlink ref="A1094" r:id="rId460" display="http://www.killedbypolice.net/victims/150102.jpg"/>
    <hyperlink ref="Q1096" r:id="rId461" display="http://losangeles.cbslocal.com/2015/02/04/police-fatally-shoot-bank-robbery-suspect-in-chino-following-high-speed-chase/"/>
    <hyperlink ref="Q1110" r:id="rId462" display="http://newsok.com/new-details-released-in-stillwater-homicide-officer-shooting/article/5389230"/>
    <hyperlink ref="Q1111" r:id="rId463" display="http://alaska-native-news.com/inmate-dies-intake-anchorage-correctional-complex-15705"/>
    <hyperlink ref="Q1131" r:id="rId464" display="http://www.statesman.com/news/news/local/officer-involved-shooting-being-investigated/njtpW/"/>
    <hyperlink ref="Q1147" r:id="rId465" display="http://kfor.com/2015/01/17/update-on-off-duty-officer-shooting-at-garth-brooks-concert-in-tulsa/"/>
    <hyperlink ref="Q1157" r:id="rId466" display="http://theadvocate.com/news/11346884-123/evangeline-parish-man-shot-killed"/>
    <hyperlink ref="Q1173" r:id="rId467" display="http://www.greenfieldreporter.com/view/story/f769fa01fc134dab9ebc78994015adf8/AR--Fatal-Pharmacy-Robbery"/>
    <hyperlink ref="Q1179" r:id="rId468" display="http://www.omaha.com/news/crime/autopsy-results-to-be-released-soon-in-case-of-man/article_57e6f9c6-981e-11e4-84ef-dfff4d2c6e13.html"/>
    <hyperlink ref="Q1183" r:id="rId469" display="http://www.latimes.com/local/lanow/la-me-ln-taser-death-20150107-story.html"/>
    <hyperlink ref="Q1186" r:id="rId470" display="http://www.washingtonpost.com/news/the-watch/wp/2015/01/09/iowa-cop-reportedly-tries-to-shoot-dog-kills-woman-instead/"/>
    <hyperlink ref="E1196" r:id="rId471" display="http://www.miamiherald.com/news/local/community/florida-keys/tfsh2c/picture5621952/ALTERNATES/FREE_960/Roberto.jpg"/>
    <hyperlink ref="Q1196" r:id="rId472" display="http://www.miamiherald.com/news/local/community/florida-keys/article5621958.html"/>
    <hyperlink ref="E1199" r:id="rId473" display="http://i.guim.co.uk/static/w-620/h--/q-95/sys-images/Guardian/Pix/pictures/2015/2/12/1423748301468/7245d83a-eba5-4117-8f2b-584fc9f566e8-bestSizeAvailable.jpeg"/>
    <hyperlink ref="Q1199" r:id="rId474" display="http://www.alternet.org/news-amp-politics/kevin-davis-called-cops-help-out-friend-trouble-and-was-shot-death-police-his"/>
    <hyperlink ref="E1198" r:id="rId475" display="http://www.miamiherald.com/news/local/crime/2xyin4/picture5303859/ALTERNATES/FREE_960/Eric Tyrone Forbes.jpg"/>
    <hyperlink ref="Q1198" r:id="rId476" display="http://www.local10.com/news/1-dead-in-new-years-eve-policeinvolved-shooting-in-miami/30477214"/>
    <hyperlink ref="Q1200" r:id="rId477" display="http://www.presstelegram.com/general-news/20150101/armed-woman-killed-in-compton-deputy-involved-shooting"/>
    <hyperlink ref="Q1208" r:id="rId478" display="http://6abc.com/news/sources-suspect-shot-killed-by-police-in-drexel-hill/455767/"/>
    <hyperlink ref="Q1206" r:id="rId479" display="http://www.firstcoastnews.com/story/news/local/2014/12/29/st-johns-county-armed-suspect-killed/21031459/"/>
    <hyperlink ref="Q1209" r:id="rId480" display="http://www.chicoer.com/general-news/20141229/man-shot-killed-by-sheriffs-deputy-in-paradise"/>
    <hyperlink ref="E1211" r:id="rId481" display="http://edge.liveleak.com/80281E/ll_a_s/2014/Dec/29/LiveLeak-dot-com-ebe_1419888575-davidandrescott_1419888592.jpg.resized.jpg?d5e8cc8eccfb6039332f41f6249e92b06c91b4db65f5e99818bdd5924c40ded7397e&amp;ec_rate=230"/>
    <hyperlink ref="Q1211" r:id="rId482" display="http://www.actionnewsjax.com/news/news/local/swat-called-out-fort-caroline-area/njbtC/"/>
    <hyperlink ref="Q1216" r:id="rId483" display="http://www.al.com/news/birmingham/index.ssf/2014/12/51-year-old_man_shot_to_death.html"/>
    <hyperlink ref="E1218" r:id="rId484" display="http://www.wesh.com/image/view/-/30418970/medRes/2/-/maxh/220/maxw/220/-/o2mpgg/-/Quinten-Jamal-Smith-jpg.jpg"/>
    <hyperlink ref="Q1218" r:id="rId485" display="http://www.wesh.com/news/sheriff-brevard-deputy-fatally-shoots-armed-wanted-man/30415088"/>
    <hyperlink ref="E1217" r:id="rId486" display="http://ww3.hdnux.com/photos/33/73/31/7321166/3/622x350.jpg"/>
    <hyperlink ref="Q1217" r:id="rId487" display="http://www.kvue.com/story/news/state/2014/12/26/police-shoot-kill-man-firing-gun-in-texas-city-parking-lot/20907475/"/>
    <hyperlink ref="Q1219" r:id="rId488" display="http://www.19actionnews.com/story/27709268/bedford-resident-shot-and-killed-during-confrontation-with-police"/>
    <hyperlink ref="Q1224" r:id="rId489" display="http://www.oregonlive.com/portland/index.ssf/2014/12/man_dies_after_officer-involve.html"/>
    <hyperlink ref="Q1225" r:id="rId490" display="http://pickens.fetchyournews.com/archives/5043-UPDATED-Authorities-Confirm-Suspect-Has-Died,-Domestic-Call-Ends-in-Gun-Fire.html"/>
    <hyperlink ref="Q1227" r:id="rId491" display="http://www.huffingtonpost.com/2014/12/24/antonio-martin-police-shooting_n_6376210.html"/>
    <hyperlink ref="Q1232" r:id="rId492" display="http://www.valleynewslive.com/home/headlines/Man-Dead-in-Otter-Tail-Police-Chase-286635971.html"/>
    <hyperlink ref="Q1234" r:id="rId493" display="http://www.doverpost.com/article/20141221/NEWS/141229971/13421/NEWS"/>
    <hyperlink ref="Q1233" r:id="rId494" display="http://www.sacbee.com/news/local/crime/article4774815.html"/>
    <hyperlink ref="Q1239" r:id="rId495" display="http://www.kpho.com/story/27660383/pd-phoenix-officer-involved-in-shooting"/>
    <hyperlink ref="Q1242" r:id="rId496" display="http://www.wthr.com/story/27658447/police-pursuit-standoff-shuts-down-state-road-67-at-owen-morgan-county-line"/>
    <hyperlink ref="Q1245" r:id="rId497" display="http://www.kirotv.com/news/news/deputy-involved-shooting-tacoma/njTnD/"/>
    <hyperlink ref="Q1250" r:id="rId498" display="http://www.pnj.com/story/news/crime/2014/12/17/man-dies-two-weeks-tased/20545199/"/>
    <hyperlink ref="Q1246" r:id="rId499" display="http://www.azcentral.com/story/news/local/phoenix/2014/12/17/phoenix-officer-shooting-teen-dies-abrk/20530475/"/>
    <hyperlink ref="E1247" r:id="rId500" display="http://www.muellersfuneralhomes.com/obituaries/Johnathon-Jd-Mar/Print/Wall"/>
    <hyperlink ref="Q1249" r:id="rId501" display="http://www.ocregister.com/articles/mesa-645510-costa-warrants.html"/>
    <hyperlink ref="Q1248" r:id="rId502" display="http://whotv.com/2014/12/17/marshalltown-police-critically-wound-armed-suspect-overnight/"/>
    <hyperlink ref="Q1253" r:id="rId503" display="http://www.nbcphiladelphia.com/news/local/Mayfair-Police-Shooting-285796911.html"/>
    <hyperlink ref="Q1252" r:id="rId504" display="http://www.tennessean.com/story/news/crime/2014/12/14/suspect-killed-officer-injured-south-nashville/20418519/"/>
    <hyperlink ref="E1254" r:id="rId505" display="http://www.arklatexhomepage.com/media/lib/186/8/4/d/84d8a85a-cc51-4371-b6d1-6a6fb81977f1/Story.jpg"/>
    <hyperlink ref="E1255" r:id="rId506" display="http://www.everythinglubbock.com/media/lib/197/b/e/9/be97488a-220f-42d4-a656-82afae53b037/Story.jpg"/>
    <hyperlink ref="Q1255" r:id="rId507" display="http://www.newswest9.com/story/27643563/midland-police-identify-officer-killed-in-murder-suicide"/>
    <hyperlink ref="Q1256" r:id="rId508" display="http://www.msnewsnow.com/story/27625936/madison-coroner-called-to-hwy-51-for-officer-involved-shooting"/>
    <hyperlink ref="Q1262" r:id="rId509" display="http://www.wbir.com/story/news/local/sevierville-sevier/2014/12/13/spd-officer-shoots-kills-man-standoff/20349589/"/>
    <hyperlink ref="Q1266" r:id="rId510" display="http://www.kktv.com/home/headlines/One-Man-Hospialized-After-Officer-Involved-Shooting-285508201.html"/>
    <hyperlink ref="Q1267" r:id="rId511" display="http://wvtm.membercenter.worldnow.com/story/27598792/1-dead-in-sanford-officer-involved-shooting"/>
    <hyperlink ref="Q1272" r:id="rId512" display="http://abc7chicago.com/news/armed-man-84-fatally-shot-by-police-in-lake-station-ind/428887/"/>
    <hyperlink ref="Q1274" r:id="rId513" display="http://www.lansingstatejournal.com/story/news/local/2014/12/08/shooting-lansing-township/20101031/"/>
    <hyperlink ref="Q1280" r:id="rId514" display="http://www.mynews3.com/content/specials/crimetracker/story/One-dead-in-shooting-inside-Rio-casino-early-today/cN46O5Q68ky6b5gwzcAquQ.cspx"/>
    <hyperlink ref="Q1282" r:id="rId515" display="http://ktla.com/2014/12/05/armed-man-shot-by-officers-near-hollywood-and-highland-lapd/"/>
    <hyperlink ref="E1283" r:id="rId516" display="http://wistv.images.worldnow.com/images/6145354_G.jpg"/>
    <hyperlink ref="Q1283" r:id="rId517" display="http://www.wltx.com/story/news/local/2014/12/05/sled-investigating-officer-involved-shooting/19980013/"/>
    <hyperlink ref="Q1286" r:id="rId518" display="http://www.thenewsstar.com/story/news/local/2014/12/23/officer-involved-shooting-named-separate-case/20814039/"/>
    <hyperlink ref="Q1290" r:id="rId519" display="http://www.star-telegram.com/2014/12/03/6335890/fort-worth-police-fatally-shoot.html?rh=1"/>
    <hyperlink ref="E1291" r:id="rId520" display="https://encrypted-tbn1.gstatic.com/images?q=tbn:ANd9GcReseSA89ykdECqZfgRZGCtXTy03nbwQN7mgVVimHD6HxveTuXMkCVC4Q"/>
    <hyperlink ref="Q1291" r:id="rId521" display="http://newsok.com/officer-involved-shooting-reported-in-northwest-oklahoma-city/article/5372084"/>
    <hyperlink ref="Q1294" r:id="rId522" display="http://www.chron.com/news/houston-texas/article/1-dead-in-officer-involved-shooting-in-NW-Harris-5928188.php"/>
    <hyperlink ref="Q1308" r:id="rId523" display="http://crimeblog.dallasnews.com/2014/11/balch-springs-police-say-man-died-in-custody-tuesday-after-he-fought-arresting-officers.html/"/>
    <hyperlink ref="Q1312" r:id="rId524" display="http://www.firstcoastnews.com/story/news/local/2014/11/24/jso-involved-incident-gate-gas-station/70068030/"/>
    <hyperlink ref="Q1319" r:id="rId525" location=".VHT3q4vF9R4" display="http://www.kutv.com/news/features/top-stories/stories/South-Jordan-police-give-more-details-in-shooting-death-of-1-man-59617.shtml - .VHT3q4vF9R4"/>
    <hyperlink ref="Q1320" r:id="rId526" display="http://sacramento.cbslocal.com/2014/11/23/suspect-dead-after-shootout-in-downtown-sonora-officer-bystander-hurt/"/>
    <hyperlink ref="Q1332" r:id="rId527" display="http://www.wral.com/family-man-who-shot-fayetteville-officer-suffered-from-mental-illness/14200793/"/>
    <hyperlink ref="E1337" r:id="rId528" display="http://www.revelsfh.com/obituaries/uploads/OI1223286732_FullSizeRender.jpg"/>
    <hyperlink ref="Q1336" r:id="rId529" display="http://www.mcall.com/news/breaking/mc-d-phillipsburg-officer-involved-shooting-suspect-dies-20141118-story.html"/>
    <hyperlink ref="Q1348" r:id="rId530" display="http://www.weau.com/home/headlines/Female-suspect-killed-in-Boyceville-officer-involved-shooting-282832071.html"/>
    <hyperlink ref="Q1354" r:id="rId531" display="http://www.local8now.com/home/headlines/Shooting-investigation-in-South-Knox-County-282637501.html"/>
    <hyperlink ref="Q1361" r:id="rId532" display="http://www.news-record.com/news/guilford-county-sheriff-s-deputies-involved-in-chase-that-ends/article_79451250-6a25-11e4-bb91-87f8f4995f40.html"/>
    <hyperlink ref="E1362" r:id="rId533" display="http://imgick.nj.com/home/njo-media/width620/img/middlesex_impact/photo/16419415-mmmain.png"/>
    <hyperlink ref="Q1362" r:id="rId534" display="http://www.nj.com/middlesex/index.ssf/2014/11/middlesex_county_death_jail_inmate_family_wait_for_answers.html"/>
    <hyperlink ref="Q1377" r:id="rId535" display="http://www.jacksonsun.com/story/news/local/2014/11/11/parents-man-shot-officer-speak-tbi-investigate/18836355/"/>
    <hyperlink ref="Q1379" r:id="rId536" display="http://magicvalley.com/news/local/crime-and-courts/update-man-fatally-shot-by-jerome-county-deputies-identified/article_4355b3bd-44b7-5e74-8937-16ad1d7d96cc.html"/>
    <hyperlink ref="Q1381" r:id="rId537" display="http://www.rgj.com/story/news/crime/2014/11/05/police-officer-involved-shooting-near-unr/18563353/"/>
    <hyperlink ref="E1382" r:id="rId538" display="https://www.facebook.com/groups/387178151407408/"/>
    <hyperlink ref="Q1382" r:id="rId539" display="http://www.yakimaherald.com/news/latestlocalnews/2632541-8/man-fatally-shot-by-yakima-county-deputy"/>
    <hyperlink ref="Q1383" r:id="rId540" display="http://www.wsaz.com/home/headlines/Officers-Shoot-and-Kill-Suspect-During-Drug-Raid-in-Lawrence-County-Ohiog---281476761.html"/>
    <hyperlink ref="Q1387" r:id="rId541" display="http://www.thenewscenter.tv/home/headlines/One-Person-Dead-in-Marietta-Crash-281400271.html"/>
    <hyperlink ref="Q1392" r:id="rId542" display="http://www.kshb.com/news/crime/deputy-fatally-shot-in-cedar-county"/>
    <hyperlink ref="Q1394" r:id="rId543" display="http://www.tucsonnewsnow.com/story/27187359/bicyclist-fatally-struck-by-police-officer-in-unmarked-vehicle"/>
    <hyperlink ref="Q1406" r:id="rId544" display="http://www.wdbj7.com/news/local/lynchburg-bedford/deputy-involved-in-bedford-county-shooting/29390802"/>
    <hyperlink ref="Q1410" r:id="rId545" display="http://www.wsvn.com/story/27025232/1-dead-in-hialeah-police-involved-shooting"/>
    <hyperlink ref="Q1420" r:id="rId546" display="http://www.fayobserver.com/news/local/man-shot-killed-when-cumberland-county-deputies-try-to-serve/article_f253b5ae-7298-5362-8caf-84520ea48f26.html"/>
    <hyperlink ref="Q1422" r:id="rId547" display="http://www.tucsonsentinel.com/local/report/102914_bp_shooting/update-man-fatally-shot-by-border-patrol-identified/"/>
    <hyperlink ref="Q1427" r:id="rId548" display="http://www.nydailynews.com/new-york/nyc-crime/police-shoots-kills-man-ax-queens-article-1.1984914"/>
    <hyperlink ref="Q1470" r:id="rId549" location="incart_2box" display="http://www.al.com/news/huntsville/index.ssf/2014/10/officer-involved_shooting_at_m.html - incart_2box"/>
    <hyperlink ref="E1471" r:id="rId550" display="http://bloximages.chicago2.vip.townnews.com/wacotrib.com/content/tncms/assets/v3/editorial/d/8f/d8f5c52a-c474-5323-bbcf-9da3b5d574a5/543498624ad06.image.jpg"/>
    <hyperlink ref="Q1471" r:id="rId551" display="http://www.wacotrib.com/news/courts_and_trials/woman-dies-in-mclennan-county-jail/article_295a2448-47f5-565b-b08b-7d0104877301.html"/>
    <hyperlink ref="E1472" r:id="rId552" display="http://www.miamiherald.com/news/state/florida/mqonpy/picture2628797/ALTERNATES/FREE_960/latandraellington"/>
    <hyperlink ref="Q1472" r:id="rId553" display="http://www.miamiherald.com/news/state/florida/article2564576.html"/>
    <hyperlink ref="Q1469" r:id="rId554" display="http://www.jrn.com/ktnv/news/Family-speaks-out-after-man-killed-by-police-in-shootout-278597311.html"/>
    <hyperlink ref="Q1476" r:id="rId555" display="http://www.washingtonpost.com/local/man-shot-and-killed-by-officers-trying-to-serve-a-warrant-in-southeast-dc/2014/10/05/b755dfea-4c9b-11e4-aa5e-7153e466a02d_story.html"/>
    <hyperlink ref="E1483" r:id="rId556" display="http://www.gannett-cdn.com/-mm-/90407faa708f948b3bc41ed885ae0b6dbee7db9f/c=0-743-2448-2587&amp;r=x383&amp;c=540x380/local/-/media/WXIA/None/2014/10/03/1412363614000-photo-2-.JPG"/>
    <hyperlink ref="Q1485" r:id="rId557" display="http://www.wlky.com/news/woman-shot-by-lmpd-officers-in-swat-situation-dies/28371462"/>
    <hyperlink ref="Q1491" r:id="rId558" display="http://www.houstontx.gov/police/nr/2014/oct/nr141001-3.htm"/>
    <hyperlink ref="Q1513" r:id="rId559" display="http://www.wfaa.com/story/news/crime/2014/09/23/man-death-police-custody-pepper-spray-dallas-university-park-police/16100715/"/>
    <hyperlink ref="Q1510" r:id="rId560" display="http://www.elkharttruth.com/news/crime-fire-courts/2014/09/29/Joseph-Adam-Lee-died-from-multiple-gunshot-wounds-shooting-investigation-continues.html"/>
    <hyperlink ref="Q1522" r:id="rId561" display="http://www.demingheadlight.com/deming-news/ci_26572049/pursuit-through-luna-county-ends-stand-off-las"/>
    <hyperlink ref="Q1524" r:id="rId562" display="http://www.northwestgeorgianews.com/polkfishwrap/news/local/authorities--year-old-levi-weaver-shot-killed-by-polk/article_b26d6dba-408c-11e4-ba96-0017a43b2370.html"/>
    <hyperlink ref="Q1525" r:id="rId563" display="http://www.twincities.com/localnews/ci_26675527/hermantown-man-dies-after-police-use-taser"/>
    <hyperlink ref="Q1527" r:id="rId564" display="http://www.ajc.com/news/news/man-fatally-shot-by-police-on-savannah-street/nhP97/"/>
    <hyperlink ref="Q1536" r:id="rId565" display="http://www.wwltv.com/story/news/local/orleans/2014/09/15/officer-shot-on-duty-in-good-spirits/15700815/"/>
    <hyperlink ref="E1541" r:id="rId566" display="http://www.copblock.org/wp-content/uploads/2014/09/ricky-deangelo-hinkle-jefferson-county-alabama-copblock.png"/>
    <hyperlink ref="Q1541" r:id="rId567" display="http://www.al.com/news/birmingham/index.ssf/2014/09/jefferson_county_inmate_dies_a.html"/>
    <hyperlink ref="Q1542" r:id="rId568" display="http://www.wkyt.com/home/headlines/Police-dealing-with-developing-situation-in-Madison-County-275029661.html"/>
    <hyperlink ref="Q1566" r:id="rId569" display="http://www.kolotv.com/home/headlines/Officer-Involved-Shooting-Shuts-Down-Sutro-and-So-273796761.html"/>
    <hyperlink ref="Q1567" r:id="rId570" display="http://www.cleveland.com/metro/index.ssf/2014/09/man_shot_killed_by_cleveland_p.html"/>
    <hyperlink ref="Q1572" r:id="rId571" display="http://nypost.com/2014/09/06/man-who-shot-nypd-cop-dies-after-surgery/"/>
    <hyperlink ref="Q1578" r:id="rId572" display="http://www.king5.com/story/news/local/seattle/2014/09/01/police-find-gun-arsenal-queen-anne-home-shooting/14946055/"/>
    <hyperlink ref="E1581" r:id="rId573" display="https://cbsnewyork.files.wordpress.com/2014/08/singelton2.jpg?w=620&amp;h=349&amp;crop=1"/>
    <hyperlink ref="Q1581" r:id="rId574" display="http://www.nydailynews.com/new-york/nyc-crime/death-man-high-pcp-restrained-cops-ruled-homicide-article-1.1922055"/>
    <hyperlink ref="Q1586" r:id="rId575" display="http://www.mprnews.org/story/2014/11/17/police-justified-in-ramsey-shooting"/>
    <hyperlink ref="Q1588" r:id="rId576" display="http://www.redding.com/news/local-news/deputies-person-shot-on-fig-tree-lane"/>
    <hyperlink ref="Q1616" r:id="rId577" display="http://www.baltimoresun.com/news/maryland/baltimore-county/bs-md-co-in-custody-death-20140821-story.html"/>
    <hyperlink ref="Q1621" r:id="rId578" display="http://www.philly.com/philly/news/20140820_Cop_grazed_by_bullet__suspect_killed.html"/>
    <hyperlink ref="Q1625" r:id="rId579" display="http://homicide.latimes.com/post/andre-maurice-jones/"/>
    <hyperlink ref="E1634" r:id="rId580" display="http://homicides.suntimes.com/victims/wally-flex/"/>
    <hyperlink ref="Q1634" r:id="rId581" display="http://homicides.suntimes.com/2014/08/18/gabriel-johnson-charged-with-reckless-homicide-in-crash-that-killed-wally-flex/"/>
    <hyperlink ref="Q1640" r:id="rId582" display="http://www.9news.com/story/news/crime/2014/08/13/greeley-officer-involved-shoot-veteran-shoot-out-call/14006469/"/>
    <hyperlink ref="Q1647" r:id="rId583" display="http://neshobademocrat.com/main.asp?SectionID=2&amp;SubSectionID=297&amp;ArticleID=33427"/>
    <hyperlink ref="E1649" r:id="rId584" display="http://obits.dignitymemorial.com/dignity-memorial/obituary.aspx?n=James-DeVito&amp;lc=7339&amp;pid=172110208&amp;mid=6085341"/>
    <hyperlink ref="E1654" r:id="rId585" display="http://kbmt.images.worldnow.com/images/4452029_G.jpg"/>
    <hyperlink ref="Q1654" r:id="rId586" display="http://www.12newsnow.com/story/26251863/family-seeks-answers-after-police-release-unconscious-man-who-died-moments-later"/>
    <hyperlink ref="Q1653" r:id="rId587" display="http://www.shreveporttimes.com/story/news/crime/2014/08/11/state-fbi-investigate-doc-prisoners-death/13931967/%22His death was reported July 15 to state police investigators by the Claiborne Parish Sheriff's Office.%22"/>
    <hyperlink ref="Q1651" r:id="rId588" display="http://www.arklatexhomepage.com/story/d/story/man-killed-in-overnight-shooting-has-been-identifi/42931/M-T9-BnlDEKC3eIlvgv1Xg"/>
    <hyperlink ref="Q1656" r:id="rId589" display="http://kpel965.com/la-state-police-handling-shooting-involving-crowley-police-officers/"/>
    <hyperlink ref="Q1680" r:id="rId590" display="http://www.local10.com/news/1-killed-in-policeinvolved-shooting-in-miami-springs/26847256"/>
    <hyperlink ref="Q1678" r:id="rId591" display="http://www.cincinnati.com/story/news/2014/08/05/cincinnati-police-officer-shoots-man-killed-traffic-stop/13611479/"/>
    <hyperlink ref="Q1682" r:id="rId592" display="http://www.newsherald.com/news/crime-public-safety/man-shot-during-standoff-dies-1.357594"/>
    <hyperlink ref="E1692" r:id="rId593" display="http://ak-cache.legacy.net/legacy/Images/Cobrands/DignityMemorial/Photos/0cde69ec-edda-421b-b501-5eebbf9d5797.jpg"/>
    <hyperlink ref="Q1691" r:id="rId594" display="http://bangordailynews.com/2014/08/04/news/penobscot/lagrange-man-49-killed-by-state-trooper-after-3-hour-standoff/"/>
    <hyperlink ref="Q1698" r:id="rId595" display="http://www.ajc.com/news/news/police-investigating-shooting-in-east-point/ngsX4/"/>
    <hyperlink ref="Q1709" r:id="rId596" display="http://www.8newsnow.com/story/26137424/breaking-news-police-investigate-officer-involved-shooting"/>
    <hyperlink ref="Q1710" r:id="rId597" display="http://www.tri-cityherald.com/2014/07/29/3083195_pasco-man-with-knife-killed-by.html?rh=1"/>
    <hyperlink ref="Q1718" r:id="rId598" display="http://www.knoxnews.com/news/local-news/parolee-killed-in-fight-with-officer-had-a-syringe-narcotic-on-him_07147175"/>
    <hyperlink ref="Q1725" r:id="rId599" display="http://www.sltrib.com/news/justice/1618808-155/officers-shot-lister-police-gill-gun"/>
    <hyperlink ref="Q1731" r:id="rId600" display="http://www.northwestgeorgianews.com/rome/adairsville-officer-on-administrative-leave-after-fatal-shooting/article_7082a720-119e-11e4-8eb9-001a4bcf6878.html"/>
    <hyperlink ref="Q1733" r:id="rId601" display="http://www.koat.com/news/apd-involved-in-shooting-near-eubank-central/27095580"/>
    <hyperlink ref="Q1736" r:id="rId602" display="http://www.kentreporter.com/news/272307371.html"/>
    <hyperlink ref="Q1738" r:id="rId603" display="http://www.azcentral.com/story/news/local/tempe/2014/07/20/tempe-officer-involved-shooting-jonathan-williams-dead/12922577/"/>
    <hyperlink ref="Q1740" r:id="rId604" display="http://www.fox5vegas.com/story/26071249/coroner-identifies-man-shot-by-nlv-police"/>
    <hyperlink ref="Q1755" r:id="rId605" display="http://www.citizen-times.com/story/news/crime/2014/07/14/hendersonville-police-shoot-kill-suspect/12640863/"/>
    <hyperlink ref="Q1763" r:id="rId606" display="http://www.12newsnow.com/story/26796642/vidor-officers-cleared-by-grand-jury-will-return-to-work-friday"/>
    <hyperlink ref="Q1765" r:id="rId607" display="http://www.10tv.com/content/stories/2014/07/10/columbus-ohio-probation-officer-among-2-people-shot-in-southeast-columbus.html"/>
    <hyperlink ref="Q1777" r:id="rId608" display="http://journaltimes.com/news/local/crime-and-courts/man-fatally-shot-by-police-identified/article_9983c98a-0620-11e4-8f7e-0019bb2963f4.html"/>
    <hyperlink ref="Q1788" r:id="rId609" display="http://www.wcyb.com/news/tbi-investigating-death-of-man-in-custody/26809334"/>
    <hyperlink ref="Q1792" r:id="rId610" location="__federated=1" display="http://www.ajc.com/news/news/officer-involved-shooting-in-se-atlanta/ngYcr/ - __federated=1"/>
    <hyperlink ref="Q1804" r:id="rId611" display="http://www.nbcnewyork.com/news/local/Long-Island-Suffolk-County-Bay-Shore-Police-Involved-Shooting-Fatal-264868841.html"/>
    <hyperlink ref="Q1808" r:id="rId612" display="http://www.wcyb.com/news/shooting-investigated-in-damascus/26694690"/>
    <hyperlink ref="Q1817" r:id="rId613" display="http://www.nj.com/hudson/index.ssf/2014/06/authorities_release_identity_of_20-year-old_man_shot_by_police.html"/>
    <hyperlink ref="Q1820" r:id="rId614" display="http://www.wusa9.com/story/news/local/upper-marlboro/2014/06/23/man-dies-in-prince-georges-county-jail/11267077/"/>
    <hyperlink ref="Q1829" r:id="rId615" display="http://www.myfoxdfw.com/story/25833600/suspect-killed-in-garland-officer-involved-shooting"/>
    <hyperlink ref="Q1838" r:id="rId616" display="http://blogs.seattletimes.com/today/2014/06/man-killed-by-port-orchard-police-identified/"/>
    <hyperlink ref="Q1846" r:id="rId617" display="http://www.wsp.wa.gov/information/releases/2014_archive/mr061714.htm"/>
    <hyperlink ref="Q1865" r:id="rId618" display="http://www.ky3.com/news/local/deadly-offiverinvolved-shooting-kills-cassville-man-officer-injured/21048998_26424836"/>
    <hyperlink ref="Q1873" r:id="rId619" display="http://www.nbcnews.com/storyline/vegas-cop-killers/police-fatally-shot-las-vegas-gunman-jerad-miller-during-gunfight-n128546"/>
    <hyperlink ref="Q1874" r:id="rId620" display="http://www.local8now.com/home/headlines/KPD-officer-shot-in-East-KNoxville-262228291.html"/>
    <hyperlink ref="Q1875" r:id="rId621" location="!V4xVM" display="http://www.wbaltv.com/news/police-investigate-mta-officerinvolved-shooting-at-cromwell-light-rail-station/26384134 - !V4xVM"/>
    <hyperlink ref="Q1884" r:id="rId622" display="http://www.mlive.com/news/flint/index.ssf/2013/10/prosecutor_says_michigan_state.html"/>
    <hyperlink ref="Q1885" r:id="rId623" display="http://www.firstcoastnews.com/story/news/local/2014/06/04/westside-jso-officer-involved-shooting/9985499/"/>
    <hyperlink ref="Q1888" r:id="rId624" display="http://rapidcityjournal.com/news/local/police-rapid-city-man-shot-and-killed-by-officer-had/article_262374b9-bd2f-569a-9635-2170734ac0d0.html"/>
    <hyperlink ref="Q1891" r:id="rId625" display="http://6abc.com/news/officer-released-from-hospital-suspect-dead-in-chester/89060/"/>
    <hyperlink ref="Q1892" r:id="rId626" display="http://www.hickoryrecord.com/news/hickory-police-man-killed-in-officer-involved-shooting/article_701d15ba-ea50-11e3-ad29-001a4bcf6878.html"/>
    <hyperlink ref="Q1894" r:id="rId627" location="!TFnpq" display="http://www.wyff4.com/news/dispatchers-deputyinvolved-shooting-under-investigation-at-gas-station/26282954 - !TFnpq"/>
    <hyperlink ref="Q1896" r:id="rId628" display="http://www.kake.com/home/headlines/Officer-involved-shooting-reported-south-of-Dexter-in-Cowley-County-261401221.html"/>
    <hyperlink ref="Q1897" r:id="rId629" display="http://patersontimes.com/2014/05/31/armed-city-man-killed-by-city-detective-on-montgomery-street/"/>
    <hyperlink ref="Q1912" r:id="rId630" display="http://www.tricities.com/news/article_0ec2ddf4-e749-11e3-a6a8-0017a43b2370.html"/>
    <hyperlink ref="Q1917" r:id="rId631" display="http://www.daytondailynews.com/news/news/crime-law/police-involved-shooting-reported-udf-dayton/nf7f7/?__federated=1"/>
    <hyperlink ref="Q1925" r:id="rId632" display="http://www.bakersfieldnow.com/news/local/1-shot-killed-by-KC-deputy-in-Lebec-260562651.html"/>
    <hyperlink ref="E1941" r:id="rId633" display="https://www.facebook.com/curtise.welford"/>
    <hyperlink ref="Q1943" r:id="rId634" display="http://www.expressnews.com/news/local/article/Officer-shoots-kills-woman-who-police-said-5490353.php"/>
    <hyperlink ref="E1946" r:id="rId635" display="http://nrvnews.com/wp-content/uploads/2014/05/saunders_thomas_neil.jpg"/>
    <hyperlink ref="Q1946" r:id="rId636" display="http://www.wdbj7.com/news/local/developing-story-officerinvolved-shooting-in-giles-county/26045058"/>
    <hyperlink ref="Q1949" r:id="rId637" display="http://www.kansascity.com/2014/05/20/5035276/kck-standoff-suspect-killed-by.html"/>
    <hyperlink ref="Q1950" r:id="rId638" display="http://www.nbcnewyork.com/news/local/NYPD-Shooting-FDR-Drive-96-Street-259556971.html"/>
    <hyperlink ref="Q1958" r:id="rId639" display="http://www.mercurynews.com/my-town/ci_25773669/concord-police-shoot-kill-suspect-thursday-evening"/>
    <hyperlink ref="Q1960" r:id="rId640" display="http://www.houstontx.gov/police/nr/2014/may/nr051314-3.htm"/>
    <hyperlink ref="Q1967" r:id="rId641" display="http://www.dcclothesline.com/2014/05/19/veteran-stopped-front-license-plate-beat-death-5-cops/"/>
    <hyperlink ref="Q1968" r:id="rId642" location=".U3DGe-hX-uY" display="http://www.suntimes.com/27377311-761/armed-man-shot-by-police-on-west-side-dies.html - .U3DGe-hX-uY"/>
    <hyperlink ref="Q1976" r:id="rId643" display="http://www.10tv.com/content/stories/2014/05/10/columbus-jonathan-drive-officer-involved-shooting.html"/>
    <hyperlink ref="Q1977" r:id="rId644" display="http://www.nbclosangeles.com/news/local/Man-Killed-in-Fatal-Officer-Involved-Shooting-in-Ontario-258815701.html"/>
    <hyperlink ref="Q1982" r:id="rId645" display="http://www.statesmanjournal.com/story/news/crime/2014/05/19/grand-jury-officer-justified-shooting-killing-armed-suspect/9307783/"/>
    <hyperlink ref="Q1987" r:id="rId646" display="http://www.mlive.com/news/grand-rapids/index.ssf/2014/05/two_troopers_one_deputy_on_lea.html"/>
    <hyperlink ref="Q1992" r:id="rId647" display="http://www.nydailynews.com/news/national/fired-fatally-shot-93-year-old-woman-rips-knee-jerk-reaction-article-1.1789207"/>
    <hyperlink ref="Q2001" r:id="rId648" display="http://www.ksla.com/story/25422732/shreveport-police-confirm-man-who-fought-officers-has-died?clienttype=generic&amp;mobilecgbypass&amp;utm_content=buffer598c5&amp;utm_medium=social&amp;utm_source=twitter.com&amp;utm_campaign=buffer"/>
    <hyperlink ref="Q2015" r:id="rId649" display="http://m.union-bulletin.com/news/2014/apr/29/update-investigation-continues-athena-mans-fatal-s/?templates=mobile"/>
    <hyperlink ref="E2016" r:id="rId650" display="http://www.news-graphic.com/image_5c8d94e0-b110-11e2-af2b-001a4bcf887a.html"/>
    <hyperlink ref="Q2022" r:id="rId651" display="http://www.natchezdemocrat.com/2014/04/25/man-dies-after-stun-gun-shock-state-agency-inspecting-acso-traffic-stop-death/"/>
    <hyperlink ref="Q2020" r:id="rId652" display="http://www.wtok.com/news/headlines/Update-on-Emmanuel-Wooten-Search-256704901.html"/>
    <hyperlink ref="Q2034" r:id="rId653" location="axzz3Gj9fLtSM" display="http://triblive.com/news/allegheny/6036085-74/zappala-officer-police - axzz3Gj9fLtSM"/>
    <hyperlink ref="Q2068" r:id="rId654" display="http://www.wwaytv3.com/2014/04/14/updated-sbi-investigating-officer-involved-shooting-pender-county"/>
    <hyperlink ref="Q2074" r:id="rId655" display="http://www.miamiherald.com/news/local/crime/article2176191.html"/>
    <hyperlink ref="Q2082" r:id="rId656" display="http://www.kansas.com/2014/04/10/3396426/man-dead-after-officer-involved.html"/>
    <hyperlink ref="E2085" r:id="rId657" display="http://www.wrhi.com/2014/04/officer-involved-shooting-in-york-county-leaves-one-man-dead-91986"/>
    <hyperlink ref="Q2085" r:id="rId658" location=".VD2-WVewUSc" display="http://www.charlotteobserver.com/2014/04/09/4830144_experts-weigh-in-on-york-county.html - .VD2-WVewUSc"/>
    <hyperlink ref="Q2089" r:id="rId659" display="http://www.palmbeachpost.com/news/news/pbso-investigating-officer-involved-shooting-in-su/nfTT5/"/>
    <hyperlink ref="Q2095" r:id="rId660" display="http://www.click2houston.com/news/man-killed-after-pulling-gun-on-deputies-serving-warrant/25349872"/>
    <hyperlink ref="Q2097" r:id="rId661" display="http://www.washingtonpost.com/local/crime/man-killed-in-police-shooting-in-prince-georges-county/2014/04/05/114eb076-bcc3-11e3-b195-dd0c1174052c_allComments.html?ctab=all"/>
    <hyperlink ref="Q2102" r:id="rId662" display="http://whnt.com/2014/04/04/breaking-huntsville-police-confirm-officer-shot-residents-being-evacuated/"/>
    <hyperlink ref="Q2107" r:id="rId663" display="http://www.wsbtv.com/news/news/local/officer-injured-suspect-killed-lawrenceville-apart/nfQTQ/"/>
    <hyperlink ref="Q2113" r:id="rId664" display="http://www.washingtonpost.com/national/police-officer-fatally-shot-in-upstate-new-york/2014/03/31/ad349cc6-b8f4-11e3-80de-2ff8801f27af_story.html"/>
    <hyperlink ref="Q2116" r:id="rId665" display="http://www.myfoxchicago.com/story/25108986/raason-shaw-man-shot-to-death-by-police-in-woodlawn"/>
    <hyperlink ref="Q2118" r:id="rId666" display="http://www.wcti12.com/news/city-official-two-officers-injured-one-suspect-dead-in-shooting/25226556"/>
    <hyperlink ref="E2119" r:id="rId667" display="http://fox13now.com/2014/03/28/2-police-officers-hurt-1-man-dead-after-salt-lake-city-shooting/"/>
    <hyperlink ref="E2140" r:id="rId668" display="http://www.gannett-cdn.com/-mm-/cbbdacfe4e1c4318f635c9789244aebac3fd509e/c=0-526-968-1254&amp;r=x404&amp;c=534x401/local/-/media/Westchester/Westchester/2014/09/07/1410147536000-TJN-0901-tenadeath-1-(2).jpg"/>
    <hyperlink ref="Q2142" r:id="rId669" display="http://www.tennessean.com/story/news/crime/2014/03/21/dozens-officers-scene-elliston-place-shooting/6716709/"/>
    <hyperlink ref="Q2149" r:id="rId670" display="http://blogs.ocweekly.com/navelgazing/2014/03/police_shooting_in_anaheim_lea.php?page=2"/>
    <hyperlink ref="Q2150" r:id="rId671" location="!bIoKti" display="http://www.ketv.com/news/police-id-man-killed-in-officer-involved-shooting/25060968 - !bIoKti"/>
    <hyperlink ref="Q2153" r:id="rId672" display="http://www.washingtonpost.com/local/crime/police-involved-in-shooting-person-in-nw/2014/03/18/7f80b924-ae8e-11e3-96dc-d6ea14c099f9_story.html"/>
    <hyperlink ref="E2155" r:id="rId673" display="http://www.peacefulalternatives.com/fh/obituaries/obituary.cfm?o_id=2458194&amp;fh_id=14153"/>
    <hyperlink ref="Q2158" r:id="rId674" display="http://www.ajc.com/news/news/local/man-shot-and-killed-by-forsyth-county-deputies/nfFC8/"/>
    <hyperlink ref="Q2166" r:id="rId675" display="http://www.firstcoastnews.com/story/news/crime/2014/03/15/lake-city-killed-police/6457449/"/>
    <hyperlink ref="Q2174" r:id="rId676" display="http://www.reviewjournal.com/news/las-vegas/north-las-vegas-police-face-lawsuit-deadly-shooting-homeless-man"/>
    <hyperlink ref="Q2181" r:id="rId677" display="http://www.newssun.com/news/article_513fe971-a208-543b-8a5c-71ff2376804d.html"/>
    <hyperlink ref="Q2189" r:id="rId678" display="http://collegian.csufresno.edu/2014/03/07/woman-shot-twice-killed-by-fresno-police-officer-in-apartment-complex-west-of-campus/"/>
    <hyperlink ref="Q2199" r:id="rId679" display="http://www.indystar.com/story/news/crime/2014/03/05/4-indianapolis-swat-officers-shot-suspect-is-killed/6097619/"/>
    <hyperlink ref="Q2224" r:id="rId680" display="http://www.utsandiego.com/news/2014/feb/26/suicidal-man-rifle-downtown-san-diego/"/>
    <hyperlink ref="Q2223" r:id="rId681" display="http://www.news-gazette.com/news/local/2014-02-26/state-police-investigate-fatal-shooting-after-chase-danville.html"/>
    <hyperlink ref="Q2225" r:id="rId682" display="http://thenewsherald.com/articles/2014/02/28/news/doc5310a54ba9b5b176742526.txt"/>
    <hyperlink ref="E2229" r:id="rId683" display="http://rollingout.com/wp-content/uploads/2014/02/Kenneth-Lucas-and-Family.jpg?f66a58"/>
    <hyperlink ref="Q2229" r:id="rId684" display="http://rollingout.com/news/why-did-kenneth-lucas-jailed-in-texas-die-after-guards-left-cell/"/>
    <hyperlink ref="Q2251" r:id="rId685" display="http://www.abc15.com/dpp/news/region_phoenix_metro/central_phoenix/phoenix-police-investigating-officer-involved-shooting-near-19th-avenue-and-culver-street"/>
    <hyperlink ref="Q2253" r:id="rId686" display="http://www.chronline.com/article_b54aecd0-94b9-11e3-8b34-001a4bcf887a.html"/>
    <hyperlink ref="Q2255" r:id="rId687" display="http://chippewa.com/dunnconnect/news/local/suspect-shot-during-search-warrant-in-town-of-red-cedar/article_c7a4ae88-2f57-59fd-a566-2ee0bef8573b.html"/>
    <hyperlink ref="Q2257" r:id="rId688" display="http://www.spokesman.com/stories/2014/feb/11/possible-officer-involved-shooting-spokane-valley/"/>
    <hyperlink ref="Q2258" r:id="rId689" display="http://www.washingtonpost.com/news/morning-mix/wp/2015/04/08/south-carolina-cop-now-faces-felony-charge-for-fatally-shooting-a-black-man-in-his-driveway/"/>
    <hyperlink ref="E2259" r:id="rId690" display="http://kollegekidd.com/news/friends-family-remember-slain-robbery-suspect-deonta-mackey/"/>
    <hyperlink ref="Q2265" r:id="rId691" display="http://www.ktbs.com/story/24667057/officer-involved-shooting-in-ruston-leaves-one-dead"/>
    <hyperlink ref="Q2271" r:id="rId692" display="http://www.delmarvanow.com/article/20140205/NEWS/302050037"/>
    <hyperlink ref="Q2273" r:id="rId693" display="http://www.wtxl.com/news/update-officer-involved-shooting-at-taylor-county-car-dealership/article_a27a9ab0-8e83-11e3-8e81-0017a43b2370.html"/>
    <hyperlink ref="Q2278" r:id="rId694" display="http://www.sfgate.com/crime/article/Hayward-police-shoot-and-kill-armed-woman-5205798.php"/>
    <hyperlink ref="E2280" r:id="rId695" display="http://thumbs.mugshots.com/gallery/images/8d/63/Kevin-Dejon-Grissett-mugshot-24130338.400x800.jpg"/>
    <hyperlink ref="E2283" r:id="rId696" display="http://bloximages.newyork1.vip.townnews.com/scnow.com/content/tncms/assets/v3/editorial/9/af/9af467d9-6895-55d0-a65f-5d532b203c84/52f5bad3778ea.preview-300.jpg"/>
    <hyperlink ref="Q2286" r:id="rId697" display="http://www.ivpressonline.com/news/local/one-suspect-dead-in-el-centro-shooting/article_8fb45b2a-8a44-11e3-8222-001a4bcf6878.html"/>
    <hyperlink ref="Q2305" r:id="rId698" display="http://www.goupstate.com/article/20140124/ARTICLES/140129757?p=1&amp;tc=pg"/>
    <hyperlink ref="Q2311" r:id="rId699" display="http://www.wdef.com/news/story/Sequatchie-Community-Mourns-Loss-Of-Josh-Layne/r6DlJk-F4kOv8aqGvHyA1g.cspx"/>
    <hyperlink ref="Q2328" r:id="rId700" display="http://www.wptv.com/news/state/gregory-vaughn-hill-jr-fort-pierce-man-ided-in-fatal-deputy-involved-shooting"/>
    <hyperlink ref="E2334" r:id="rId701" display="http://www.wyliefh.com/printguestbook.php?id=2166&amp;rid=15392"/>
    <hyperlink ref="Q2334" r:id="rId702" display="http://www.baltimoresun.com/news/maryland/crime/blog/bal-police-investigating-officerinvolved-shooting-in-east-baltimore-20140113,0,4169034.story"/>
    <hyperlink ref="Q2354" r:id="rId703" display="http://newsok.com/police-release-name-of-man-killed-in-officer-involved-shooting/article/3920773"/>
    <hyperlink ref="Q2360" r:id="rId704" display="http://www.nwfdailynews.com/local/suspect-killed-officers-shot-in-crestview-incident-1.257150"/>
    <hyperlink ref="Q2366" r:id="rId705" display="http://www.wilsontimes.com/News/Feature/Story/28048226---Deputies--Man-fatally-shot-after-killing-2"/>
    <hyperlink ref="Q2379" r:id="rId706" display="http://newsok.com/man-shot-by-oklahoma-highway-patrol-trooper-was-correction-center-escapee/article/3919183"/>
    <hyperlink ref="Q2392" r:id="rId707" display="http://newsok.com/oklahoma-parents-say-son-needed-help-instead-custer-county-sheriffs-deputies-shot-him/article/3929841"/>
    <hyperlink ref="Q2395" r:id="rId708" display="http://www.kens5.com/story/local/2014/09/26/10621720/"/>
    <hyperlink ref="Q2396" r:id="rId709" display="http://blog.al.com/montgomery/2013/12/phenix_city_police_fatally_sho.html"/>
    <hyperlink ref="Q2397" r:id="rId710" display="http://www.indystar.com/story/news/crime/2013/12/18/impd-officer-fatally-shoots-man-on-southeastside/4110911/"/>
    <hyperlink ref="Q2423" r:id="rId711" display="http://web.tampabay.com/news/publicsafety/crime/new-port-richey-man-dies-after-being-stunned-in-confrontation-with-police/2158068"/>
    <hyperlink ref="Q2426" r:id="rId712" display="http://www.local10.com/news/man-dead-after-shootout-with-swat/23386254"/>
    <hyperlink ref="Q2435" r:id="rId713" display="http://www.today.com/news/unjustified-family-student-killed-campus-police-speaks-out-2D11723684"/>
    <hyperlink ref="E2453" r:id="rId714" display="https://www.facebook.com/remembershia"/>
    <hyperlink ref="Q2460" r:id="rId715" display="http://whnt.com/2013/12/02/grand-jury-to-review-shooting-involving-corrections-officer/"/>
    <hyperlink ref="Q2483" r:id="rId716" display="http://www.presstelegram.com/general-news/20131120/man-shot-killed-by-long-beach-police-identified-as-from-rialto"/>
    <hyperlink ref="Q2501" r:id="rId717" display="http://www.startribune.com/local/west/232358621.html"/>
    <hyperlink ref="Q2508" r:id="rId718" display="http://www.jsonline.com/news/crime/shots-fired-in-downtown-milwaukee-b99139596z1-231430101.html"/>
    <hyperlink ref="Q2545" r:id="rId719" display="http://crimeblog.dallasnews.com/2013/10/duncanville-police-fatally-shoot-suspect-monday-morning.html/"/>
    <hyperlink ref="Q2576" r:id="rId720" display="http://sfappeal.com/2013/10/sf-man-shot-to-death-by-san-mateo-police/"/>
    <hyperlink ref="Q2580" r:id="rId721" display="http://www.koat.com/news/fatal-roswell-shootout-caught-on-camera/22577824"/>
    <hyperlink ref="Q2600" r:id="rId722" display="http://www.myfoxmemphis.com/story/24329596/medical-examiner-rules-cause-of-death-aaron-dumas"/>
    <hyperlink ref="Q2619" r:id="rId723" display="http://bangordailynews.com/2013/10/10/news/bangor/police-identify-2-dead-in-old-town-stabbing-standoff/"/>
    <hyperlink ref="Q2627" r:id="rId724" display="http://www.chicagotribune.com/news/local/breaking/chi-at-least-1-wounded-in-policeinvolved-shooting-in-posen-20131004,0,7140004.story"/>
    <hyperlink ref="Q2639" r:id="rId725" display="http://pgpolice.blogspot.com/2013/10/pgpd-investigates-police-involved.html"/>
    <hyperlink ref="Q2641" r:id="rId726" display="http://abc13.com/archive/9270067/"/>
    <hyperlink ref="Q2652" r:id="rId727" display="http://www.presstelegram.com/general-news/20130926/long-beach-police-kill-man-in-departments-third-ois-in-past-week"/>
    <hyperlink ref="Q2669" r:id="rId728" display="http://www.dps.state.ia.us/commis/pib/Releases/2013/12-14-2013_Northwood_Results.htm"/>
    <hyperlink ref="Q2670" r:id="rId729" display="http://www.denverpost.com/breakingnews/ci_24147149/police-fatally-shoot-denver-bank-robbery-suspect"/>
    <hyperlink ref="Q2671" r:id="rId730" display="http://www.culvercityobserver.com/story/2013/10/10/news/man-shot-at-ccpd-hq-identified/3089.html"/>
    <hyperlink ref="Q2677" r:id="rId731" display="http://homicide.latimes.com/post/ruben-ramos-escobedo/"/>
    <hyperlink ref="Q2678" r:id="rId732" display="http://articles.orlandosentinel.com/2013-09-18/news/os-winter-garden-officer-involved-shooting-20130918_1_winter-garden-man-unarmed-man-roommate"/>
    <hyperlink ref="Q2699" r:id="rId733" location="axzz2eJeAaiTJ" display="http://triblive.com/news/allegheny/4669466-74/officer-police-victim - axzz2eJeAaiTJ"/>
    <hyperlink ref="Q2721" r:id="rId734" display="http://www.wtva.com/news/national/story/Grand-jury-no-indictments-in-officer-involved/EE5Am7KlmUmIECC8X0k4Wg.cspx"/>
    <hyperlink ref="Q2744" r:id="rId735" display="http://www.washingtonpost.com/blogs/local/wp/2014/07/08/ten-months-of-silence-in-the-fairfax-police-shooting-death-of-john-geer/"/>
    <hyperlink ref="Q2748" r:id="rId736" display="http://homicide.latimes.com/post/dennis-hakeen-vasquez/"/>
    <hyperlink ref="Q2763" r:id="rId737" display="http://www.pe.com/articles/palmer-674426-deputies-phillips.html"/>
    <hyperlink ref="Q2765" r:id="rId738" display="http://www.khq.com/story/23228789/officer-involved-shooting-in-n-spokane"/>
    <hyperlink ref="Q2805" r:id="rId739" display="http://blog.gulflive.com/mississippi-press-news/2013/10/gloster_police_offer_reinstate.html"/>
    <hyperlink ref="Q2813" r:id="rId740" display="http://www.huffingtonpost.com/2013/08/08/james-lee-dimaggio_n_3724734.html"/>
    <hyperlink ref="Q2815" r:id="rId741" display="http://hamptonroads.com/2013/08/man-killed-deputyinvolved-isle-wight-shooting"/>
    <hyperlink ref="Q2819" r:id="rId742" display="http://www.theindychannel.com/news/local-news/impd-suspect-dies-while-being-arrested"/>
    <hyperlink ref="Q2828" r:id="rId743" display="http://www.huffingtonpost.com/2013/08/05/shaaliver-douse-shooting_n_3705623.html"/>
    <hyperlink ref="Q2835" r:id="rId744" display="http://kfor.com/2013/08/02/warr-acres-police-involved-in-chase-shooting-reported/"/>
    <hyperlink ref="Q2839" r:id="rId745" display="http://www.nola.com/crime/index.ssf/2014/04/report_doj_drops_probe_of_fbi-.html"/>
    <hyperlink ref="Q2862" r:id="rId746" display="http://pjmedia.com/tatler/2013/07/30/the-strange-killing-of-larry-eugene-jackson-jr-by-an-austin-police-detective/"/>
    <hyperlink ref="Q2876" r:id="rId747" display="http://www.wral.com/suspect-killed-in-officer-involved-shooting-identified/12688890/"/>
    <hyperlink ref="Q2890" r:id="rId748" display="http://crimeblog.dallasnews.com/2013/07/police-shoot-burglary-suspect-in-confrontation-in-southeast-dallas.html/"/>
    <hyperlink ref="Q2895" r:id="rId749" display="http://explorevenango.com/vigil-rally-held-for-oil-city-woman-fatally-shot-by-police/"/>
    <hyperlink ref="Q2896" r:id="rId750" display="http://hiphopwired.com/2013/07/17/arkansas-cop-kills-wrongfully-suspected-in-car-thief-claims-self-defense/"/>
    <hyperlink ref="Q2902" r:id="rId751" display="http://newsok.com/family-member-identifies-man-shot-by-oklahoma-city-police/article/3861642"/>
    <hyperlink ref="Q2912" r:id="rId752" display="http://www.nj.com/essex/index.ssf/2013/09/woman_files_multi-million_dollar_suit_against_belleville_after_police_shot_husband_24_times.html"/>
    <hyperlink ref="Q2918" r:id="rId753" display="http://www.post-gazette.com/stories/local/neighborhoods-north/man-shot-to-death-in-sewickley-694786/"/>
    <hyperlink ref="Q3033" r:id="rId754" display="http://articles.baltimoresun.com/2013-06-11/news/bs-md-ar-road-rage-bail-20130610_1_police-officer-documents-hudson-county"/>
    <hyperlink ref="Q3058" r:id="rId755" display="http://www.wsfa.com/story/22481859/selma-police-stunned-that-off-duty-officer-killed-two-then-self-over-the-weekend"/>
    <hyperlink ref="Q3100" r:id="rId756" display="http://www.nydailynews.com/new-york/brooklyn/crazed-brooklyn-man-shot-cops-bad-mouthed-article-1.1297528"/>
    <hyperlink ref="Q3110" r:id="rId757" display="http://wreg.com/2013/05/30/funeral-escort-riders-say-farewell-to-one-of-their-own/"/>
    <hyperlink ref="Q3213" r:id="rId758" display="http://www.palmbeachpost.com/news/news/man-shot-and-killed-by-deputies-near-marriott-in-w/nXR2K/"/>
    <hyperlink ref="Q3249" r:id="rId759" display="http://www.daytondailynews.com/news/news/crime-law/fbi-working-at-shooting-site/nXDWH/"/>
    <hyperlink ref="Q3276" r:id="rId760" display="http://www.chron.com/news/houston-texas/houston/article/HPD-officer-wounded-suspect-killed-in-shootout-4362891.php"/>
    <hyperlink ref="Q3295" r:id="rId761" display="http://crimeblog.dallasnews.com/2013/03/dallas-police-officer-fatally-shoots-suspect-after-major-disturbance-at-apartment-complex.html/"/>
    <hyperlink ref="Q3292" r:id="rId762" display="http://www.dnainfo.com/new-york/20130310/east-flatbush/police-fatally-shoot-allegedly-armed-teenager-brooklyn"/>
    <hyperlink ref="Q3302" r:id="rId763" display="http://articles.sun-sentinel.com/2013-03-12/news/fl-boca-officer-involved-named-20130311_1_boca-raton-police-police-officers-facebook-profile"/>
    <hyperlink ref="Q3329" r:id="rId764" display="http://www.myfoxhouston.com/story/21431932/suspected-purse-snatcher-shot-by-houston-police-officer"/>
    <hyperlink ref="Q3355" r:id="rId765" display="http://www.phillyburbs.com/news/crime/da-warminster-officer-accidentally-shot-year-old-during-standoff/article_2e02c0de-13d0-54ef-88d7-e00c66713ba5.html"/>
    <hyperlink ref="Q3367" r:id="rId766" display="http://www.chron.com/news/houston-texas/houston/article/HPD-kills-person-at-westside-complex-4276703.php"/>
    <hyperlink ref="Q3384" r:id="rId767" display="http://www.wrdw.com/home/headlines/Deputies-respond-to-reports-of-a-shooting-at-Fox-Trace-189340421.html"/>
    <hyperlink ref="Q3392" r:id="rId768" display="http://jacksonville.com/news/crime/2014-09-06/story/lawsuit-pits-family-against-jacksonville-police-over-fatal-police"/>
    <hyperlink ref="Q3419" r:id="rId769" display="http://wreg.com/2013/01/18/man-shot-killed-by-memphis-police/"/>
    <hyperlink ref="E3453" r:id="rId770" display="http://www.baynews9.com/content/dam/news/images/2012/12/Suspect-killed-110.jpg"/>
    <hyperlink ref="Q3453" r:id="rId771" display="http://www.baynews9.com/content/news/baynews9/news/article.html/content/news/articles/bn9/2013/1/10/with_deputy_in_fight.html"/>
    <hyperlink ref="Q3472" r:id="rId772" display="http://miami.cbslocal.com/2013/01/07/family-of-man-killed-in-police-involved-shooting-demands-answers/"/>
    <hyperlink ref="E3477" r:id="rId773" display="http://www.trbimg.com/img-50e7a90e/turbine/peter-jourdan-of-allentown.jpg-20130104/600"/>
    <hyperlink ref="E3484" r:id="rId774" display="http://www.tricitytribuneusa.com/wp-content/uploads/Chavez_Mug0642-300x300.jpg"/>
    <hyperlink ref="Q193" r:id="rId775"/>
    <hyperlink ref="Q190" r:id="rId776"/>
    <hyperlink ref="A194" r:id="rId777"/>
    <hyperlink ref="A195" r:id="rId778"/>
    <hyperlink ref="A198" r:id="rId779"/>
    <hyperlink ref="Q198" r:id="rId780"/>
    <hyperlink ref="A201" r:id="rId781"/>
    <hyperlink ref="Q201" r:id="rId782"/>
    <hyperlink ref="A200" r:id="rId783"/>
    <hyperlink ref="A199" r:id="rId784"/>
    <hyperlink ref="A202" r:id="rId785"/>
    <hyperlink ref="A203" r:id="rId786"/>
    <hyperlink ref="A204" r:id="rId787"/>
    <hyperlink ref="A205" r:id="rId788"/>
    <hyperlink ref="A207" r:id="rId789"/>
    <hyperlink ref="Q207" r:id="rId790"/>
    <hyperlink ref="A208" r:id="rId791"/>
    <hyperlink ref="A210" r:id="rId792"/>
    <hyperlink ref="A212" r:id="rId793"/>
    <hyperlink ref="Q212" r:id="rId794"/>
    <hyperlink ref="A213" r:id="rId795"/>
    <hyperlink ref="Q213" r:id="rId796"/>
    <hyperlink ref="A209" r:id="rId797"/>
    <hyperlink ref="Q211" r:id="rId798"/>
    <hyperlink ref="A216" r:id="rId799"/>
    <hyperlink ref="A217" r:id="rId800"/>
    <hyperlink ref="Q217" r:id="rId801"/>
    <hyperlink ref="A218" r:id="rId802"/>
    <hyperlink ref="A219" r:id="rId803"/>
    <hyperlink ref="A224" r:id="rId804"/>
    <hyperlink ref="Q223" r:id="rId805"/>
    <hyperlink ref="A222" r:id="rId806"/>
    <hyperlink ref="A221" r:id="rId807"/>
    <hyperlink ref="A231" r:id="rId808"/>
    <hyperlink ref="Q231" r:id="rId809"/>
    <hyperlink ref="A228" r:id="rId810"/>
    <hyperlink ref="A229" r:id="rId811"/>
    <hyperlink ref="A227" r:id="rId812"/>
    <hyperlink ref="Q227" r:id="rId813"/>
    <hyperlink ref="A225" r:id="rId814"/>
    <hyperlink ref="A230" r:id="rId815"/>
    <hyperlink ref="A233" r:id="rId816"/>
    <hyperlink ref="A235" r:id="rId817"/>
    <hyperlink ref="A234" r:id="rId818"/>
    <hyperlink ref="Q234" r:id="rId819"/>
    <hyperlink ref="A232" r:id="rId820"/>
    <hyperlink ref="A237" r:id="rId821"/>
    <hyperlink ref="A238" r:id="rId822"/>
    <hyperlink ref="A236" r:id="rId823"/>
    <hyperlink ref="A240" r:id="rId824"/>
    <hyperlink ref="A239" r:id="rId825"/>
    <hyperlink ref="Q242" r:id="rId826"/>
    <hyperlink ref="Q243" r:id="rId827"/>
    <hyperlink ref="Q244" r:id="rId828"/>
    <hyperlink ref="A249" r:id="rId829"/>
    <hyperlink ref="Q249" r:id="rId830"/>
    <hyperlink ref="A245" r:id="rId831"/>
    <hyperlink ref="A253" r:id="rId832"/>
    <hyperlink ref="Q253" r:id="rId833"/>
    <hyperlink ref="A251" r:id="rId834"/>
    <hyperlink ref="A250" r:id="rId835"/>
    <hyperlink ref="A246" r:id="rId836"/>
    <hyperlink ref="A247" r:id="rId837"/>
    <hyperlink ref="A257" r:id="rId838"/>
    <hyperlink ref="A259" r:id="rId839"/>
    <hyperlink ref="A262" r:id="rId840"/>
    <hyperlink ref="Q265" r:id="rId841"/>
    <hyperlink ref="A261" r:id="rId842"/>
    <hyperlink ref="A268" r:id="rId843"/>
    <hyperlink ref="A266" r:id="rId844"/>
    <hyperlink ref="A269" r:id="rId845"/>
    <hyperlink ref="A317" r:id="rId846"/>
    <hyperlink ref="A189" r:id="rId847"/>
    <hyperlink ref="A263" r:id="rId848"/>
    <hyperlink ref="A252" r:id="rId849" display="Linda Lee Lush, 50"/>
    <hyperlink ref="Q279" r:id="rId850"/>
    <hyperlink ref="Q188" r:id="rId851"/>
    <hyperlink ref="Q200" r:id="rId852"/>
    <hyperlink ref="Q203" r:id="rId853"/>
    <hyperlink ref="Q205" r:id="rId854"/>
    <hyperlink ref="Q216" r:id="rId855"/>
    <hyperlink ref="Q238" r:id="rId856"/>
    <hyperlink ref="Q245" r:id="rId857"/>
    <hyperlink ref="E183" r:id="rId858"/>
    <hyperlink ref="Q183" r:id="rId859"/>
    <hyperlink ref="E127" r:id="rId860"/>
    <hyperlink ref="Q127" r:id="rId861"/>
    <hyperlink ref="E126" r:id="rId862"/>
    <hyperlink ref="Q129" r:id="rId863"/>
    <hyperlink ref="E133" r:id="rId864"/>
    <hyperlink ref="Q133" r:id="rId865"/>
    <hyperlink ref="E184" r:id="rId866"/>
    <hyperlink ref="Q184" r:id="rId867"/>
    <hyperlink ref="Q181" r:id="rId868"/>
    <hyperlink ref="E161" r:id="rId869"/>
    <hyperlink ref="Q161" r:id="rId870"/>
    <hyperlink ref="E134" r:id="rId871"/>
    <hyperlink ref="Q134" r:id="rId872"/>
    <hyperlink ref="E143" r:id="rId873"/>
    <hyperlink ref="Q143" r:id="rId874"/>
    <hyperlink ref="E136" r:id="rId875"/>
    <hyperlink ref="Q136" r:id="rId876"/>
    <hyperlink ref="E177" r:id="rId877"/>
    <hyperlink ref="Q177" r:id="rId878"/>
    <hyperlink ref="E132" r:id="rId879"/>
    <hyperlink ref="Q132" r:id="rId880"/>
    <hyperlink ref="E153" r:id="rId881"/>
    <hyperlink ref="Q153" r:id="rId882"/>
    <hyperlink ref="E135" r:id="rId883"/>
    <hyperlink ref="Q135" r:id="rId884"/>
    <hyperlink ref="Q1013" r:id="rId885"/>
    <hyperlink ref="A105" r:id="rId886" display="Zachary Grigsby, 29"/>
    <hyperlink ref="A106" r:id="rId887" display="Lionel Kerns, 53"/>
    <hyperlink ref="A104" r:id="rId888" display="Justin D. McHenry, 22"/>
    <hyperlink ref="A102" r:id="rId889" display="Hugo Fernando Celio, 23"/>
    <hyperlink ref="A109" r:id="rId890" display="Magnum Edgar Phillips, 23"/>
    <hyperlink ref="A110" r:id="rId891" display="Somer Brook Speer, 37"/>
    <hyperlink ref="A114" r:id="rId892" display="Freddy Baez, 24"/>
    <hyperlink ref="A116" r:id="rId893" display="Michael Gerald Ray Kirvelay, 45"/>
    <hyperlink ref="A115" r:id="rId894" display="Thomas Joseph McEniry, 32"/>
    <hyperlink ref="A118" r:id="rId895" display="Barry Kirk, 50"/>
    <hyperlink ref="A117" r:id="rId896" display="Henry Reyna, 49"/>
    <hyperlink ref="A120" r:id="rId897" display="Mathew Grows, 45"/>
    <hyperlink ref="A122" r:id="rId898" display="Christopher Lynn Nichols, 24"/>
    <hyperlink ref="A121" r:id="rId899" display="James Daniel Hall, 46"/>
    <hyperlink ref="A125" r:id="rId900" display="Chase Alan Sherman, 32"/>
    <hyperlink ref="A124" r:id="rId901" display="William Tarrant, 39"/>
    <hyperlink ref="A138" r:id="rId902" display="Francis Hartnett, 47"/>
    <hyperlink ref="A159" r:id="rId903" display="Andrew Blake, 22"/>
    <hyperlink ref="A141" r:id="rId904" display="Brett Kelby Noblitt, 25"/>
    <hyperlink ref="A145" r:id="rId905" display="John Livingston, 33"/>
    <hyperlink ref="A148" r:id="rId906" display="Ernesto Gamino, 25"/>
    <hyperlink ref="A149" r:id="rId907" display="Matthew Eric Coleman, 25"/>
    <hyperlink ref="A152" r:id="rId908" display="Moises Nerio, 42"/>
    <hyperlink ref="A157" r:id="rId909" display="Brian H. Gavin Sr., 57"/>
    <hyperlink ref="A155" r:id="rId910" display="Javier Lopez Garcia, 25"/>
    <hyperlink ref="A156" r:id="rId911" display="Joseph Jaramillo, 31"/>
    <hyperlink ref="A160" r:id="rId912" display="Jason Leanard Mesaros, 36"/>
    <hyperlink ref="A158" r:id="rId913" display="Eddie Gabriel Sanchez Jr., 34"/>
    <hyperlink ref="A165" r:id="rId914" display="Leonel Acevedo, 45"/>
    <hyperlink ref="A167" r:id="rId915" display="Dale Maverick Hudson, 26"/>
    <hyperlink ref="A170" r:id="rId916" display="Kim Lee Long, 48"/>
    <hyperlink ref="A166" r:id="rId917" display="Miguel Cano, 34"/>
    <hyperlink ref="A164" r:id="rId918" display="Cesar Cuellar Jr., 25"/>
    <hyperlink ref="A171" r:id="rId919" display="James Francis Smyth, 55"/>
    <hyperlink ref="A168" r:id="rId920" display="Michael Gregory Johnson, 51"/>
    <hyperlink ref="A175" r:id="rId921" display="David Michael Romanoski, 48"/>
    <hyperlink ref="A172" r:id="rId922" display="James Wayne Bigley, 20"/>
    <hyperlink ref="A179" r:id="rId923" display="Timothy Gene Smith, 47"/>
    <hyperlink ref="A176" r:id="rId924" display="Faisal Mohammad, 18"/>
    <hyperlink ref="A178" r:id="rId925" display="Joseph M. Tyndall, 30"/>
    <hyperlink ref="A180" r:id="rId926" display="Jeremy David Mardis, 6"/>
    <hyperlink ref="A182" r:id="rId927" display="Matthew Stephen Colligan, 28"/>
    <hyperlink ref="A186" r:id="rId928" display="Jack Yantis, 62"/>
    <hyperlink ref="A187" r:id="rId929" display="Luverne Roy Christensen, 49"/>
    <hyperlink ref="A185" r:id="rId930" display="Killian O’Quinn, 20"/>
    <hyperlink ref="Q101" r:id="rId931"/>
    <hyperlink ref="Q100" r:id="rId932"/>
    <hyperlink ref="Q105" r:id="rId933"/>
    <hyperlink ref="Q103" r:id="rId934"/>
    <hyperlink ref="Q106" r:id="rId935"/>
    <hyperlink ref="Q104" r:id="rId936"/>
    <hyperlink ref="Q102" r:id="rId937"/>
    <hyperlink ref="Q107" r:id="rId938"/>
    <hyperlink ref="Q108" r:id="rId939"/>
    <hyperlink ref="Q109" r:id="rId940"/>
    <hyperlink ref="Q110" r:id="rId941"/>
    <hyperlink ref="Q113" r:id="rId942"/>
    <hyperlink ref="Q114" r:id="rId943"/>
    <hyperlink ref="Q116" r:id="rId944"/>
    <hyperlink ref="Q115" r:id="rId945"/>
    <hyperlink ref="Q118" r:id="rId946"/>
    <hyperlink ref="Q117" r:id="rId947"/>
    <hyperlink ref="Q119" r:id="rId948"/>
    <hyperlink ref="Q120" r:id="rId949"/>
    <hyperlink ref="Q122" r:id="rId950"/>
    <hyperlink ref="Q121" r:id="rId951"/>
    <hyperlink ref="Q125" r:id="rId952"/>
    <hyperlink ref="Q123" r:id="rId953"/>
    <hyperlink ref="Q124" r:id="rId954"/>
    <hyperlink ref="Q138" r:id="rId955"/>
    <hyperlink ref="Q140" r:id="rId956"/>
    <hyperlink ref="Q139" r:id="rId957"/>
    <hyperlink ref="Q159" r:id="rId958"/>
    <hyperlink ref="Q141" r:id="rId959"/>
    <hyperlink ref="Q142" r:id="rId960"/>
    <hyperlink ref="Q145" r:id="rId961"/>
    <hyperlink ref="Q147" r:id="rId962"/>
    <hyperlink ref="Q150" r:id="rId963"/>
    <hyperlink ref="Q148" r:id="rId964"/>
    <hyperlink ref="Q149" r:id="rId965"/>
    <hyperlink ref="Q152" r:id="rId966"/>
    <hyperlink ref="Q157" r:id="rId967"/>
    <hyperlink ref="Q155" r:id="rId968"/>
    <hyperlink ref="Q156" r:id="rId969"/>
    <hyperlink ref="Q160" r:id="rId970"/>
    <hyperlink ref="Q158" r:id="rId971"/>
    <hyperlink ref="Q165" r:id="rId972"/>
    <hyperlink ref="Q167" r:id="rId973"/>
    <hyperlink ref="Q170" r:id="rId974"/>
    <hyperlink ref="Q166" r:id="rId975"/>
    <hyperlink ref="Q164" r:id="rId976"/>
    <hyperlink ref="Q169" r:id="rId977"/>
    <hyperlink ref="Q171" r:id="rId978"/>
    <hyperlink ref="Q168" r:id="rId979"/>
    <hyperlink ref="Q173" r:id="rId980"/>
    <hyperlink ref="Q174" r:id="rId981"/>
    <hyperlink ref="Q175" r:id="rId982"/>
    <hyperlink ref="Q172" r:id="rId983"/>
    <hyperlink ref="Q179" r:id="rId984"/>
    <hyperlink ref="Q176" r:id="rId985"/>
    <hyperlink ref="Q178" r:id="rId986"/>
    <hyperlink ref="Q180" r:id="rId987"/>
    <hyperlink ref="Q182" r:id="rId988"/>
    <hyperlink ref="Q186" r:id="rId989"/>
    <hyperlink ref="Q187" r:id="rId990"/>
    <hyperlink ref="Q185" r:id="rId991"/>
    <hyperlink ref="Q130" r:id="rId992"/>
    <hyperlink ref="Q162" r:id="rId993"/>
    <hyperlink ref="A101" r:id="rId994" display="Darius Smith, 18"/>
    <hyperlink ref="Q596" r:id="rId995" display="http://www.vnews.com/news/newsletter/17857473-95/haverhill-officers-unnamed-nh-ag-wont-give-any-shooting-details"/>
    <hyperlink ref="Q516" r:id="rId996" display="http://www.wxii12.com/news/stabbing-standoff-reported-in-stokes-co/34345684"/>
    <hyperlink ref="Q590" r:id="rId997" display="http://www.kctv5.com/story/29494552/armed-carjacking-suspect-dead-in-police-shooting"/>
    <hyperlink ref="Q521" r:id="rId998" display="http://www.startribune.com/officer-involved-shooting-at-plymouth-arby-s-leaves-one-man-dead/318383701/"/>
    <hyperlink ref="Q582" r:id="rId999" display="http://www.wtok.com/home/headlines/New-Details-in-Stonewall-Death-Investigation-313047501.html"/>
    <hyperlink ref="Q562" r:id="rId1000" display="http://www.redding.com/homepage-showcase/matthew-graham-killed-in-dunsmuir-shootout-with-officers_38935482"/>
    <hyperlink ref="Q609" r:id="rId1001" display="http://abc7.com/news/suspect-holding-knife-killed-in-west-covina-officer-involved-shooting/828284/"/>
    <hyperlink ref="Q528" r:id="rId1002" display="http://www.mlive.com/news/detroit/index.ssf/2015/07/st_clair_shores_police_car_tur.html"/>
    <hyperlink ref="Q613" r:id="rId1003" display="http://www.nbcsandiego.com/news/local/Man-with-Knife-Shot-Killed-by-San-Diego-Police-Officer-Identified-311679131.html"/>
    <hyperlink ref="Q543" r:id="rId1004" display="http://www.ksdk.com/story/news/nation/2015/07/20/man-hogtied-police-death/30433375/"/>
    <hyperlink ref="Q603" r:id="rId1005" display="http://patch.com/new-jersey/lacey/toms-river-man-struck-killed-lacey-police-cruiser-0?"/>
    <hyperlink ref="Q612" r:id="rId1006" display="http://abc7.com/news/man-dies-of-heart-attack-while-in-montclair-police-custody/826399/"/>
    <hyperlink ref="Q557" r:id="rId1007" display="http://www.mlive.com/news/grand-rapids/index.ssf/2015/07/no_reason_to_shoot_him_step-da.html"/>
    <hyperlink ref="Q561" r:id="rId1008" display="https://www.bostonglobe.com/metro/2015/07/14/roxbury-man-identified-person-fatally-shot-lynn-police-officer-during-drug-investigation/HluhRMJJeFBqMqtUt3gNWP/story.html"/>
    <hyperlink ref="Q563" r:id="rId1009"/>
    <hyperlink ref="Q550" r:id="rId1010"/>
    <hyperlink ref="Q576" r:id="rId1011"/>
    <hyperlink ref="E424" r:id="rId1012"/>
    <hyperlink ref="E485" r:id="rId1013"/>
    <hyperlink ref="E482" r:id="rId1014"/>
    <hyperlink ref="E490" r:id="rId1015"/>
    <hyperlink ref="E486" r:id="rId1016"/>
    <hyperlink ref="E489" r:id="rId1017"/>
    <hyperlink ref="E487" r:id="rId1018"/>
    <hyperlink ref="E488" r:id="rId1019"/>
    <hyperlink ref="E470" r:id="rId1020"/>
    <hyperlink ref="E469" r:id="rId1021"/>
    <hyperlink ref="E468" r:id="rId1022"/>
    <hyperlink ref="E467" r:id="rId1023"/>
    <hyperlink ref="E464" r:id="rId1024"/>
    <hyperlink ref="E465" r:id="rId1025"/>
    <hyperlink ref="E459" r:id="rId1026"/>
    <hyperlink ref="E463" r:id="rId1027"/>
    <hyperlink ref="E460" r:id="rId1028"/>
    <hyperlink ref="E458" r:id="rId1029"/>
    <hyperlink ref="E456" r:id="rId1030"/>
    <hyperlink ref="E449" r:id="rId1031"/>
    <hyperlink ref="E446" r:id="rId1032"/>
    <hyperlink ref="E450" r:id="rId1033"/>
    <hyperlink ref="E444" r:id="rId1034"/>
    <hyperlink ref="E442" r:id="rId1035"/>
    <hyperlink ref="E439" r:id="rId1036"/>
    <hyperlink ref="E441" r:id="rId1037"/>
    <hyperlink ref="E437" r:id="rId1038"/>
    <hyperlink ref="E434" r:id="rId1039"/>
    <hyperlink ref="E436" r:id="rId1040"/>
    <hyperlink ref="E423" r:id="rId1041"/>
    <hyperlink ref="E420" r:id="rId1042"/>
    <hyperlink ref="E419" r:id="rId1043"/>
    <hyperlink ref="E416" r:id="rId1044"/>
    <hyperlink ref="E478" r:id="rId1045"/>
    <hyperlink ref="E479" r:id="rId1046"/>
    <hyperlink ref="E481" r:id="rId1047"/>
    <hyperlink ref="E480" r:id="rId1048"/>
    <hyperlink ref="E475" r:id="rId1049"/>
    <hyperlink ref="E477" r:id="rId1050"/>
    <hyperlink ref="E476" r:id="rId1051"/>
    <hyperlink ref="E472" r:id="rId1052"/>
    <hyperlink ref="E471" r:id="rId1053"/>
    <hyperlink ref="E389" r:id="rId1054"/>
    <hyperlink ref="E391" r:id="rId1055"/>
    <hyperlink ref="E390" r:id="rId1056"/>
    <hyperlink ref="E394" r:id="rId1057"/>
    <hyperlink ref="E399" r:id="rId1058"/>
    <hyperlink ref="E398" r:id="rId1059"/>
    <hyperlink ref="E396" r:id="rId1060"/>
    <hyperlink ref="E400" r:id="rId1061"/>
    <hyperlink ref="E403" r:id="rId1062"/>
    <hyperlink ref="E409" r:id="rId1063"/>
    <hyperlink ref="E408" r:id="rId1064"/>
    <hyperlink ref="E407" r:id="rId1065"/>
    <hyperlink ref="E410" r:id="rId1066"/>
    <hyperlink ref="E412" r:id="rId1067"/>
    <hyperlink ref="E418" r:id="rId1068"/>
    <hyperlink ref="E422" r:id="rId1069"/>
    <hyperlink ref="E426" r:id="rId1070"/>
    <hyperlink ref="E430" r:id="rId1071"/>
    <hyperlink ref="E433" r:id="rId1072"/>
    <hyperlink ref="E438" r:id="rId1073"/>
    <hyperlink ref="E451" r:id="rId1074"/>
    <hyperlink ref="E452" r:id="rId1075"/>
    <hyperlink ref="Q491" r:id="rId1076"/>
    <hyperlink ref="Q453" r:id="rId1077"/>
    <hyperlink ref="Q462" r:id="rId1078"/>
    <hyperlink ref="Q424" r:id="rId1079"/>
    <hyperlink ref="Q490" r:id="rId1080"/>
    <hyperlink ref="Q489" r:id="rId1081"/>
    <hyperlink ref="Q470" r:id="rId1082"/>
    <hyperlink ref="Q469" r:id="rId1083"/>
    <hyperlink ref="Q473" r:id="rId1084"/>
    <hyperlink ref="Q474" r:id="rId1085"/>
    <hyperlink ref="Q468" r:id="rId1086"/>
    <hyperlink ref="Q467" r:id="rId1087"/>
    <hyperlink ref="Q466" r:id="rId1088"/>
    <hyperlink ref="Q464" r:id="rId1089"/>
    <hyperlink ref="Q454" r:id="rId1090"/>
    <hyperlink ref="Q465" r:id="rId1091"/>
    <hyperlink ref="Q459" r:id="rId1092"/>
    <hyperlink ref="Q461" r:id="rId1093"/>
    <hyperlink ref="Q463" r:id="rId1094"/>
    <hyperlink ref="Q460" r:id="rId1095"/>
    <hyperlink ref="Q457" r:id="rId1096"/>
    <hyperlink ref="Q458" r:id="rId1097"/>
    <hyperlink ref="Q456" r:id="rId1098"/>
    <hyperlink ref="Q455" r:id="rId1099" location=".VgXutctVikp"/>
    <hyperlink ref="Q449" r:id="rId1100"/>
    <hyperlink ref="Q446" r:id="rId1101"/>
    <hyperlink ref="Q448" r:id="rId1102"/>
    <hyperlink ref="Q450" r:id="rId1103"/>
    <hyperlink ref="Q444" r:id="rId1104"/>
    <hyperlink ref="Q445" r:id="rId1105"/>
    <hyperlink ref="Q443" r:id="rId1106"/>
    <hyperlink ref="Q442" r:id="rId1107"/>
    <hyperlink ref="Q439" r:id="rId1108"/>
    <hyperlink ref="Q441" r:id="rId1109"/>
    <hyperlink ref="Q437" r:id="rId1110"/>
    <hyperlink ref="Q435" r:id="rId1111"/>
    <hyperlink ref="Q434" r:id="rId1112"/>
    <hyperlink ref="Q436" r:id="rId1113"/>
    <hyperlink ref="Q423" r:id="rId1114"/>
    <hyperlink ref="Q420" r:id="rId1115"/>
    <hyperlink ref="Q417" r:id="rId1116"/>
    <hyperlink ref="Q419" r:id="rId1117"/>
    <hyperlink ref="Q415" r:id="rId1118"/>
    <hyperlink ref="Q416" r:id="rId1119"/>
    <hyperlink ref="Q478" r:id="rId1120"/>
    <hyperlink ref="Q479" r:id="rId1121"/>
    <hyperlink ref="Q481" r:id="rId1122"/>
    <hyperlink ref="Q480" r:id="rId1123"/>
    <hyperlink ref="Q475" r:id="rId1124"/>
    <hyperlink ref="Q477" r:id="rId1125"/>
    <hyperlink ref="Q476" r:id="rId1126"/>
    <hyperlink ref="Q472" r:id="rId1127"/>
    <hyperlink ref="Q471" r:id="rId1128"/>
    <hyperlink ref="Q389" r:id="rId1129"/>
    <hyperlink ref="Q391" r:id="rId1130"/>
    <hyperlink ref="Q390" r:id="rId1131"/>
    <hyperlink ref="Q392" r:id="rId1132"/>
    <hyperlink ref="Q393" r:id="rId1133"/>
    <hyperlink ref="Q394" r:id="rId1134"/>
    <hyperlink ref="Q399" r:id="rId1135"/>
    <hyperlink ref="Q397" r:id="rId1136"/>
    <hyperlink ref="Q398" r:id="rId1137"/>
    <hyperlink ref="Q401" r:id="rId1138"/>
    <hyperlink ref="Q396" r:id="rId1139"/>
    <hyperlink ref="Q400" r:id="rId1140"/>
    <hyperlink ref="Q403" r:id="rId1141"/>
    <hyperlink ref="Q405" r:id="rId1142"/>
    <hyperlink ref="Q404" r:id="rId1143"/>
    <hyperlink ref="Q402" r:id="rId1144"/>
    <hyperlink ref="Q409" r:id="rId1145"/>
    <hyperlink ref="Q408" r:id="rId1146"/>
    <hyperlink ref="Q407" r:id="rId1147"/>
    <hyperlink ref="Q410" r:id="rId1148"/>
    <hyperlink ref="Q411" r:id="rId1149"/>
    <hyperlink ref="Q412" r:id="rId1150"/>
    <hyperlink ref="Q414" r:id="rId1151"/>
    <hyperlink ref="Q413" r:id="rId1152"/>
    <hyperlink ref="Q418" r:id="rId1153"/>
    <hyperlink ref="Q421" r:id="rId1154"/>
    <hyperlink ref="Q422" r:id="rId1155"/>
    <hyperlink ref="Q426" r:id="rId1156"/>
    <hyperlink ref="Q427" r:id="rId1157"/>
    <hyperlink ref="Q428" r:id="rId1158"/>
    <hyperlink ref="Q432" r:id="rId1159"/>
    <hyperlink ref="Q430" r:id="rId1160"/>
    <hyperlink ref="Q431" r:id="rId1161"/>
    <hyperlink ref="Q433" r:id="rId1162"/>
    <hyperlink ref="Q438" r:id="rId1163"/>
    <hyperlink ref="Q447" r:id="rId1164"/>
    <hyperlink ref="Q451" r:id="rId1165"/>
    <hyperlink ref="Q452" r:id="rId1166"/>
    <hyperlink ref="Q395" r:id="rId1167"/>
    <hyperlink ref="Q358" r:id="rId1168"/>
    <hyperlink ref="Q290" r:id="rId1169"/>
    <hyperlink ref="Q289" r:id="rId1170"/>
    <hyperlink ref="Q294" r:id="rId1171"/>
    <hyperlink ref="Q292" r:id="rId1172"/>
    <hyperlink ref="Q293" r:id="rId1173"/>
    <hyperlink ref="Q296" r:id="rId1174" location=".ViQiFitENIr"/>
    <hyperlink ref="Q295" r:id="rId1175"/>
    <hyperlink ref="Q299" r:id="rId1176"/>
    <hyperlink ref="Q302" r:id="rId1177"/>
    <hyperlink ref="Q347" r:id="rId1178"/>
    <hyperlink ref="Q351" r:id="rId1179"/>
    <hyperlink ref="Q356" r:id="rId1180"/>
    <hyperlink ref="Q353" r:id="rId1181"/>
    <hyperlink ref="Q354" r:id="rId1182"/>
    <hyperlink ref="Q352" r:id="rId1183"/>
    <hyperlink ref="Q360" r:id="rId1184"/>
    <hyperlink ref="Q359" r:id="rId1185"/>
    <hyperlink ref="Q357" r:id="rId1186"/>
    <hyperlink ref="Q362" r:id="rId1187"/>
    <hyperlink ref="Q361" r:id="rId1188"/>
    <hyperlink ref="Q364" r:id="rId1189"/>
    <hyperlink ref="Q363" r:id="rId1190"/>
    <hyperlink ref="Q366" r:id="rId1191"/>
    <hyperlink ref="Q368" r:id="rId1192"/>
    <hyperlink ref="Q367" r:id="rId1193"/>
    <hyperlink ref="Q370" r:id="rId1194"/>
    <hyperlink ref="Q373" r:id="rId1195"/>
    <hyperlink ref="Q374" r:id="rId1196"/>
    <hyperlink ref="Q372" r:id="rId1197"/>
    <hyperlink ref="Q376" r:id="rId1198"/>
    <hyperlink ref="Q377" r:id="rId1199"/>
    <hyperlink ref="Q381" r:id="rId1200"/>
    <hyperlink ref="Q378" r:id="rId1201"/>
    <hyperlink ref="Q379" r:id="rId1202"/>
    <hyperlink ref="Q380" r:id="rId1203"/>
    <hyperlink ref="Q383" r:id="rId1204"/>
    <hyperlink ref="Q382" r:id="rId1205"/>
    <hyperlink ref="Q384" r:id="rId1206"/>
    <hyperlink ref="Q386" r:id="rId1207"/>
    <hyperlink ref="Q388" r:id="rId1208"/>
    <hyperlink ref="Q385" r:id="rId1209"/>
    <hyperlink ref="Q301" r:id="rId1210"/>
    <hyperlink ref="Q306" r:id="rId1211"/>
    <hyperlink ref="Q287" r:id="rId1212"/>
    <hyperlink ref="Q288" r:id="rId1213"/>
    <hyperlink ref="Q285" r:id="rId1214"/>
    <hyperlink ref="Q297" r:id="rId1215"/>
    <hyperlink ref="Q317" r:id="rId1216"/>
    <hyperlink ref="Q338" r:id="rId1217"/>
    <hyperlink ref="Q333" r:id="rId1218"/>
    <hyperlink ref="Q327" r:id="rId1219"/>
    <hyperlink ref="Q348" r:id="rId1220"/>
    <hyperlink ref="Q328" r:id="rId1221"/>
    <hyperlink ref="Q369" r:id="rId1222"/>
    <hyperlink ref="Q334" r:id="rId1223"/>
    <hyperlink ref="Q326" r:id="rId1224"/>
    <hyperlink ref="Q312" r:id="rId1225"/>
    <hyperlink ref="Q319" r:id="rId1226"/>
    <hyperlink ref="Q313" r:id="rId1227"/>
    <hyperlink ref="Q303" r:id="rId1228"/>
    <hyperlink ref="Q318" r:id="rId1229"/>
    <hyperlink ref="Q330" r:id="rId1230"/>
    <hyperlink ref="Q307" r:id="rId1231"/>
    <hyperlink ref="Q324" r:id="rId1232"/>
    <hyperlink ref="Q315" r:id="rId1233"/>
    <hyperlink ref="Q310" r:id="rId1234"/>
    <hyperlink ref="Q309" r:id="rId1235"/>
    <hyperlink ref="Q311" r:id="rId1236"/>
    <hyperlink ref="Q325" r:id="rId1237"/>
    <hyperlink ref="Q332" r:id="rId1238"/>
    <hyperlink ref="Q331" r:id="rId1239"/>
    <hyperlink ref="Q323" r:id="rId1240"/>
    <hyperlink ref="Q329" r:id="rId1241"/>
    <hyperlink ref="Q305" r:id="rId1242"/>
    <hyperlink ref="Q304" r:id="rId1243"/>
    <hyperlink ref="Q308" r:id="rId1244"/>
    <hyperlink ref="Q337" r:id="rId1245"/>
    <hyperlink ref="Q320" r:id="rId1246"/>
    <hyperlink ref="Q314" r:id="rId1247"/>
    <hyperlink ref="Q321" r:id="rId1248"/>
    <hyperlink ref="Q375" r:id="rId1249"/>
    <hyperlink ref="Q322" r:id="rId1250"/>
    <hyperlink ref="Q298" r:id="rId1251"/>
    <hyperlink ref="Q350" r:id="rId1252"/>
    <hyperlink ref="Q355" r:id="rId1253"/>
    <hyperlink ref="Q274" r:id="rId1254"/>
    <hyperlink ref="Q283" r:id="rId1255"/>
    <hyperlink ref="Q277" r:id="rId1256"/>
    <hyperlink ref="Q281" r:id="rId1257"/>
    <hyperlink ref="Q278" r:id="rId1258"/>
    <hyperlink ref="Q284" r:id="rId1259"/>
    <hyperlink ref="Q275" r:id="rId1260"/>
    <hyperlink ref="Q273" r:id="rId1261"/>
    <hyperlink ref="Q270" r:id="rId1262"/>
    <hyperlink ref="Q267" r:id="rId1263"/>
    <hyperlink ref="Q272" r:id="rId1264"/>
    <hyperlink ref="Q260" r:id="rId1265"/>
    <hyperlink ref="Q261" r:id="rId1266"/>
    <hyperlink ref="Q280" r:id="rId1267"/>
    <hyperlink ref="Q251" r:id="rId1268"/>
    <hyperlink ref="Q226" r:id="rId1269"/>
    <hyperlink ref="Q276" r:id="rId1270"/>
    <hyperlink ref="Q269" r:id="rId1271"/>
    <hyperlink ref="Q264" r:id="rId1272"/>
    <hyperlink ref="Q266" r:id="rId1273"/>
    <hyperlink ref="Q268" r:id="rId1274"/>
    <hyperlink ref="Q263" r:id="rId1275"/>
    <hyperlink ref="Q262" r:id="rId1276"/>
    <hyperlink ref="Q259" r:id="rId1277"/>
    <hyperlink ref="Q257" r:id="rId1278"/>
    <hyperlink ref="Q247" r:id="rId1279"/>
    <hyperlink ref="Q252" r:id="rId1280"/>
    <hyperlink ref="Q246" r:id="rId1281"/>
    <hyperlink ref="Q255" r:id="rId1282"/>
    <hyperlink ref="Q256" r:id="rId1283"/>
    <hyperlink ref="Q248" r:id="rId1284"/>
    <hyperlink ref="Q250" r:id="rId1285" location="incart_m-rpt-1"/>
    <hyperlink ref="Q271" r:id="rId1286"/>
    <hyperlink ref="Q239" r:id="rId1287"/>
    <hyperlink ref="Q254" r:id="rId1288"/>
    <hyperlink ref="Q241" r:id="rId1289"/>
    <hyperlink ref="Q240" r:id="rId1290"/>
    <hyperlink ref="Q236" r:id="rId1291"/>
    <hyperlink ref="Q237" r:id="rId1292"/>
    <hyperlink ref="Q232" r:id="rId1293"/>
    <hyperlink ref="Q235" r:id="rId1294"/>
    <hyperlink ref="Q229" r:id="rId1295"/>
    <hyperlink ref="Q228" r:id="rId1296"/>
    <hyperlink ref="Q225" r:id="rId1297"/>
    <hyperlink ref="Q230" r:id="rId1298"/>
    <hyperlink ref="Q221" r:id="rId1299"/>
    <hyperlink ref="Q222" r:id="rId1300"/>
    <hyperlink ref="Q224" r:id="rId1301"/>
    <hyperlink ref="Q218" r:id="rId1302"/>
    <hyperlink ref="Q219" r:id="rId1303"/>
    <hyperlink ref="Q220" r:id="rId1304"/>
    <hyperlink ref="Q214" r:id="rId1305"/>
    <hyperlink ref="Q210" r:id="rId1306"/>
    <hyperlink ref="Q215" r:id="rId1307"/>
    <hyperlink ref="Q209" r:id="rId1308"/>
    <hyperlink ref="Q206" r:id="rId1309"/>
    <hyperlink ref="Q204" r:id="rId1310"/>
    <hyperlink ref="Q199" r:id="rId1311"/>
    <hyperlink ref="Q202" r:id="rId1312"/>
    <hyperlink ref="Q195" r:id="rId1313"/>
    <hyperlink ref="Q196" r:id="rId1314"/>
    <hyperlink ref="Q194" r:id="rId1315"/>
    <hyperlink ref="Q192" r:id="rId1316"/>
    <hyperlink ref="Q189" r:id="rId1317"/>
    <hyperlink ref="Q197" r:id="rId1318"/>
    <hyperlink ref="Q208" r:id="rId1319"/>
    <hyperlink ref="E406" r:id="rId1320"/>
    <hyperlink ref="Q406" r:id="rId1321"/>
    <hyperlink ref="E425" r:id="rId1322" display="http://www.killedbypolice.net/victims/150755.jpg"/>
    <hyperlink ref="Q425" r:id="rId1323" display="https://djournal.com/news/man-dies-after-police-chase-2/"/>
    <hyperlink ref="E286" r:id="rId1324"/>
    <hyperlink ref="Q286" r:id="rId1325" display="http://www.kristv.com/story/30147782/texas-rangers-investigating-aransas-co-death"/>
    <hyperlink ref="Q291" r:id="rId1326" display="http://www.mercurynews.com/crime-courts/ci_28894656/san-jose-latest-inmate-jail-death-sparks-internal"/>
    <hyperlink ref="Q300" r:id="rId1327" display="http://www.fresnobee.com/news/local/crime/article37140321.html"/>
    <hyperlink ref="Q316" r:id="rId1328" display="http://www.redding.com/news/local-news/happy-valley-road-closing-in-search-for-armed-suspect"/>
    <hyperlink ref="A258" r:id="rId1329"/>
    <hyperlink ref="Q258" r:id="rId1330"/>
    <hyperlink ref="E701" r:id="rId1331"/>
    <hyperlink ref="Q701" r:id="rId1332"/>
    <hyperlink ref="E782" r:id="rId1333"/>
    <hyperlink ref="Q782" r:id="rId1334"/>
    <hyperlink ref="E800" r:id="rId1335"/>
    <hyperlink ref="Q800" r:id="rId1336"/>
    <hyperlink ref="Q1257" r:id="rId1337"/>
    <hyperlink ref="Q1260" r:id="rId1338"/>
    <hyperlink ref="Q163" r:id="rId1339"/>
    <hyperlink ref="E840" r:id="rId1340"/>
    <hyperlink ref="Q840" r:id="rId1341"/>
    <hyperlink ref="Q191" r:id="rId1342"/>
  </hyperlinks>
  <pageMargins left="0.75" right="0.75" top="1" bottom="1" header="0.5" footer="0.5"/>
  <pageSetup orientation="portrait" horizontalDpi="4294967292" verticalDpi="4294967292"/>
  <drawing r:id="rId134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opLeftCell="A15" workbookViewId="0">
      <selection activeCell="F35" sqref="F35"/>
    </sheetView>
  </sheetViews>
  <sheetFormatPr baseColWidth="10" defaultRowHeight="16" customHeight="1" x14ac:dyDescent="0"/>
  <cols>
    <col min="1" max="1" width="16.5" style="56" customWidth="1"/>
    <col min="2" max="3" width="17.1640625" style="57" customWidth="1"/>
    <col min="4" max="4" width="11" style="43" customWidth="1"/>
    <col min="5" max="5" width="18.6640625" style="43" customWidth="1"/>
    <col min="6" max="6" width="14" style="53" customWidth="1"/>
    <col min="7" max="7" width="20.83203125" style="53" customWidth="1"/>
    <col min="8" max="8" width="15.6640625" style="43" customWidth="1"/>
    <col min="9" max="9" width="17.5" style="39" customWidth="1"/>
    <col min="10" max="10" width="10.83203125" style="39"/>
    <col min="11" max="11" width="21.1640625" style="53" customWidth="1"/>
    <col min="12" max="16384" width="10.83203125" style="39"/>
  </cols>
  <sheetData>
    <row r="1" spans="1:12" s="44" customFormat="1" ht="12">
      <c r="A1" s="44" t="s">
        <v>20952</v>
      </c>
      <c r="B1" s="44" t="s">
        <v>20953</v>
      </c>
      <c r="C1" s="44" t="s">
        <v>20954</v>
      </c>
      <c r="D1" s="44" t="s">
        <v>20955</v>
      </c>
      <c r="E1" s="44" t="s">
        <v>20956</v>
      </c>
      <c r="F1" s="44" t="s">
        <v>20957</v>
      </c>
      <c r="G1" s="44" t="s">
        <v>20958</v>
      </c>
      <c r="H1" s="44" t="s">
        <v>20959</v>
      </c>
      <c r="I1" s="44" t="s">
        <v>20960</v>
      </c>
      <c r="J1" s="44" t="s">
        <v>20961</v>
      </c>
      <c r="K1" s="44" t="s">
        <v>20962</v>
      </c>
      <c r="L1" s="44" t="s">
        <v>20963</v>
      </c>
    </row>
    <row r="2" spans="1:12" ht="15">
      <c r="A2" s="45" t="s">
        <v>20964</v>
      </c>
      <c r="B2" s="46" t="s">
        <v>20965</v>
      </c>
      <c r="C2" s="47">
        <v>368759</v>
      </c>
      <c r="D2" s="48">
        <v>5</v>
      </c>
      <c r="E2" s="49">
        <f>D2/C2*1000000</f>
        <v>13.558991102590038</v>
      </c>
      <c r="F2" s="50">
        <v>26677</v>
      </c>
      <c r="G2" s="51">
        <f t="shared" ref="G2:G33" si="0">F2/C2</f>
        <v>7.2342641128758892E-2</v>
      </c>
      <c r="H2" s="48">
        <v>0</v>
      </c>
      <c r="I2" s="52">
        <f>H2/D2</f>
        <v>0</v>
      </c>
      <c r="J2" s="52">
        <f>I2-G2</f>
        <v>-7.2342641128758892E-2</v>
      </c>
      <c r="K2" s="53">
        <v>1678</v>
      </c>
      <c r="L2" s="54">
        <v>4.5503974140292165</v>
      </c>
    </row>
    <row r="3" spans="1:12" ht="15">
      <c r="A3" s="45" t="s">
        <v>20966</v>
      </c>
      <c r="B3" s="46" t="s">
        <v>1098</v>
      </c>
      <c r="C3" s="47">
        <v>620602</v>
      </c>
      <c r="D3" s="48">
        <v>8</v>
      </c>
      <c r="E3" s="49">
        <f t="shared" ref="E3:E63" si="1">D3/C3*1000000</f>
        <v>12.8907093435084</v>
      </c>
      <c r="F3" s="50">
        <v>85744</v>
      </c>
      <c r="G3" s="51">
        <f t="shared" si="0"/>
        <v>0.13816262274372304</v>
      </c>
      <c r="H3" s="48">
        <v>5</v>
      </c>
      <c r="I3" s="52">
        <f t="shared" ref="I3:I60" si="2">H3/D3</f>
        <v>0.625</v>
      </c>
      <c r="J3" s="52">
        <f t="shared" ref="J3:J63" si="3">I3-G3</f>
        <v>0.48683737725627696</v>
      </c>
      <c r="K3" s="53">
        <v>4782</v>
      </c>
      <c r="L3" s="54">
        <v>7.7054215100821466</v>
      </c>
    </row>
    <row r="4" spans="1:12" ht="15">
      <c r="A4" s="45" t="s">
        <v>20967</v>
      </c>
      <c r="B4" s="46" t="s">
        <v>20965</v>
      </c>
      <c r="C4" s="47">
        <v>413775</v>
      </c>
      <c r="D4" s="48">
        <v>5</v>
      </c>
      <c r="E4" s="49">
        <f t="shared" si="1"/>
        <v>12.083862002295934</v>
      </c>
      <c r="F4" s="50">
        <v>106637</v>
      </c>
      <c r="G4" s="51">
        <f t="shared" si="0"/>
        <v>0.25771735846776628</v>
      </c>
      <c r="H4" s="48">
        <v>4</v>
      </c>
      <c r="I4" s="52">
        <f t="shared" si="2"/>
        <v>0.8</v>
      </c>
      <c r="J4" s="52">
        <f t="shared" si="3"/>
        <v>0.54228264153223371</v>
      </c>
      <c r="K4" s="53">
        <v>6910</v>
      </c>
      <c r="L4" s="54">
        <v>16.69989728717298</v>
      </c>
    </row>
    <row r="5" spans="1:12" ht="15">
      <c r="A5" s="45" t="s">
        <v>20968</v>
      </c>
      <c r="B5" s="46" t="s">
        <v>10432</v>
      </c>
      <c r="C5" s="47">
        <v>848788</v>
      </c>
      <c r="D5" s="48">
        <v>9</v>
      </c>
      <c r="E5" s="49">
        <f t="shared" si="1"/>
        <v>10.603354430081481</v>
      </c>
      <c r="F5" s="50">
        <v>223053</v>
      </c>
      <c r="G5" s="51">
        <f t="shared" si="0"/>
        <v>0.26279000174366274</v>
      </c>
      <c r="H5" s="48">
        <v>4</v>
      </c>
      <c r="I5" s="52">
        <f t="shared" si="2"/>
        <v>0.44444444444444442</v>
      </c>
      <c r="J5" s="52">
        <f t="shared" si="3"/>
        <v>0.18165444270078168</v>
      </c>
      <c r="K5" s="53">
        <v>10768</v>
      </c>
      <c r="L5" s="54">
        <v>12.686324500346377</v>
      </c>
    </row>
    <row r="6" spans="1:12" ht="15">
      <c r="A6" s="45" t="s">
        <v>20969</v>
      </c>
      <c r="B6" s="46" t="s">
        <v>20965</v>
      </c>
      <c r="C6" s="47">
        <v>473577</v>
      </c>
      <c r="D6" s="48">
        <v>5</v>
      </c>
      <c r="E6" s="49">
        <f t="shared" si="1"/>
        <v>10.55794517047914</v>
      </c>
      <c r="F6" s="50">
        <v>59925</v>
      </c>
      <c r="G6" s="51">
        <f t="shared" si="0"/>
        <v>0.12653697286819249</v>
      </c>
      <c r="H6" s="48">
        <v>1</v>
      </c>
      <c r="I6" s="52">
        <f t="shared" si="2"/>
        <v>0.2</v>
      </c>
      <c r="J6" s="52">
        <f t="shared" si="3"/>
        <v>7.3463027131807523E-2</v>
      </c>
      <c r="K6" s="53">
        <v>2304</v>
      </c>
      <c r="L6" s="54">
        <v>4.8651011345567881</v>
      </c>
    </row>
    <row r="7" spans="1:12" ht="15">
      <c r="A7" s="45" t="s">
        <v>20970</v>
      </c>
      <c r="B7" s="46" t="s">
        <v>20971</v>
      </c>
      <c r="C7" s="47">
        <v>384320</v>
      </c>
      <c r="D7" s="48">
        <v>4</v>
      </c>
      <c r="E7" s="49">
        <f t="shared" si="1"/>
        <v>10.407993338884264</v>
      </c>
      <c r="F7" s="50">
        <v>204866</v>
      </c>
      <c r="G7" s="51">
        <f t="shared" si="0"/>
        <v>0.53306099084096581</v>
      </c>
      <c r="H7" s="48">
        <v>3</v>
      </c>
      <c r="I7" s="52">
        <f t="shared" si="2"/>
        <v>0.75</v>
      </c>
      <c r="J7" s="52">
        <f t="shared" si="3"/>
        <v>0.21693900915903419</v>
      </c>
      <c r="K7" s="53">
        <v>3770</v>
      </c>
      <c r="L7" s="54">
        <v>9.8095337218984184</v>
      </c>
    </row>
    <row r="8" spans="1:12" ht="15">
      <c r="A8" s="45" t="s">
        <v>20972</v>
      </c>
      <c r="B8" s="46" t="s">
        <v>20973</v>
      </c>
      <c r="C8" s="47">
        <v>317419</v>
      </c>
      <c r="D8" s="48">
        <v>3</v>
      </c>
      <c r="E8" s="49">
        <f t="shared" si="1"/>
        <v>9.4512300775945981</v>
      </c>
      <c r="F8" s="50">
        <v>156389</v>
      </c>
      <c r="G8" s="51">
        <f t="shared" si="0"/>
        <v>0.4926894735349806</v>
      </c>
      <c r="H8" s="48">
        <v>3</v>
      </c>
      <c r="I8" s="52">
        <f t="shared" si="2"/>
        <v>1</v>
      </c>
      <c r="J8" s="52">
        <f t="shared" si="3"/>
        <v>0.5073105264650194</v>
      </c>
      <c r="K8" s="53">
        <v>5348</v>
      </c>
      <c r="L8" s="54">
        <v>16.848392818325305</v>
      </c>
    </row>
    <row r="9" spans="1:12" ht="15">
      <c r="A9" s="45" t="s">
        <v>20974</v>
      </c>
      <c r="B9" s="46" t="s">
        <v>20965</v>
      </c>
      <c r="C9" s="47">
        <v>852469</v>
      </c>
      <c r="D9" s="48">
        <v>8</v>
      </c>
      <c r="E9" s="49">
        <f t="shared" si="1"/>
        <v>9.384505477618541</v>
      </c>
      <c r="F9" s="50">
        <v>46781</v>
      </c>
      <c r="G9" s="51">
        <f t="shared" si="0"/>
        <v>5.4877068843559119E-2</v>
      </c>
      <c r="H9" s="48">
        <v>1</v>
      </c>
      <c r="I9" s="52">
        <f t="shared" si="2"/>
        <v>0.125</v>
      </c>
      <c r="J9" s="52">
        <f t="shared" si="3"/>
        <v>7.0122931156440887E-2</v>
      </c>
      <c r="K9" s="53">
        <v>6761</v>
      </c>
      <c r="L9" s="54">
        <v>7.9310801917723692</v>
      </c>
    </row>
    <row r="10" spans="1:12" ht="15">
      <c r="A10" s="45" t="s">
        <v>20975</v>
      </c>
      <c r="B10" s="46" t="s">
        <v>20965</v>
      </c>
      <c r="C10" s="47">
        <v>346997</v>
      </c>
      <c r="D10" s="48">
        <v>3</v>
      </c>
      <c r="E10" s="49">
        <f t="shared" si="1"/>
        <v>8.6456078870998887</v>
      </c>
      <c r="F10" s="50">
        <v>8209</v>
      </c>
      <c r="G10" s="51">
        <f t="shared" si="0"/>
        <v>2.3657265048400995E-2</v>
      </c>
      <c r="H10" s="48">
        <v>2</v>
      </c>
      <c r="I10" s="52">
        <f t="shared" si="2"/>
        <v>0.66666666666666663</v>
      </c>
      <c r="J10" s="52">
        <f t="shared" si="3"/>
        <v>0.64300940161826559</v>
      </c>
      <c r="K10" s="53">
        <v>1101</v>
      </c>
      <c r="L10" s="54">
        <v>3.1729380945656591</v>
      </c>
    </row>
    <row r="11" spans="1:12" ht="15">
      <c r="A11" s="45" t="s">
        <v>20976</v>
      </c>
      <c r="B11" s="46" t="s">
        <v>20977</v>
      </c>
      <c r="C11" s="47">
        <v>464704</v>
      </c>
      <c r="D11" s="48">
        <v>4</v>
      </c>
      <c r="E11" s="49">
        <f t="shared" si="1"/>
        <v>8.6076298030574314</v>
      </c>
      <c r="F11" s="50">
        <v>14101</v>
      </c>
      <c r="G11" s="51">
        <f t="shared" si="0"/>
        <v>3.0344046963228205E-2</v>
      </c>
      <c r="H11" s="48">
        <v>0</v>
      </c>
      <c r="I11" s="52">
        <f t="shared" si="2"/>
        <v>0</v>
      </c>
      <c r="J11" s="52">
        <f t="shared" si="3"/>
        <v>-3.0344046963228205E-2</v>
      </c>
      <c r="K11" s="53">
        <v>2119</v>
      </c>
      <c r="L11" s="54">
        <v>4.5598918881696733</v>
      </c>
    </row>
    <row r="12" spans="1:12" ht="15">
      <c r="A12" s="45" t="s">
        <v>20978</v>
      </c>
      <c r="B12" s="46" t="s">
        <v>20979</v>
      </c>
      <c r="C12" s="47">
        <v>353108</v>
      </c>
      <c r="D12" s="48">
        <v>3</v>
      </c>
      <c r="E12" s="49">
        <f t="shared" si="1"/>
        <v>8.4959842314532672</v>
      </c>
      <c r="F12" s="50">
        <v>49003</v>
      </c>
      <c r="G12" s="51">
        <f t="shared" si="0"/>
        <v>0.13877623843130146</v>
      </c>
      <c r="H12" s="48">
        <v>2</v>
      </c>
      <c r="I12" s="52">
        <f t="shared" si="2"/>
        <v>0.66666666666666663</v>
      </c>
      <c r="J12" s="52">
        <f t="shared" si="3"/>
        <v>0.52789042823536514</v>
      </c>
      <c r="K12" s="53">
        <v>1448</v>
      </c>
      <c r="L12" s="54">
        <v>4.1007283890481103</v>
      </c>
    </row>
    <row r="13" spans="1:12" ht="15">
      <c r="A13" s="45" t="s">
        <v>20980</v>
      </c>
      <c r="B13" s="46" t="s">
        <v>20981</v>
      </c>
      <c r="C13" s="47">
        <v>383204</v>
      </c>
      <c r="D13" s="48">
        <v>3</v>
      </c>
      <c r="E13" s="49">
        <f t="shared" si="1"/>
        <v>7.8287283013747242</v>
      </c>
      <c r="F13" s="50">
        <v>67087</v>
      </c>
      <c r="G13" s="51">
        <f t="shared" si="0"/>
        <v>0.17506863185144206</v>
      </c>
      <c r="H13" s="48">
        <v>2</v>
      </c>
      <c r="I13" s="52">
        <f t="shared" si="2"/>
        <v>0.66666666666666663</v>
      </c>
      <c r="J13" s="52">
        <f t="shared" si="3"/>
        <v>0.49159803481522457</v>
      </c>
      <c r="K13" s="53">
        <v>1854</v>
      </c>
      <c r="L13" s="54">
        <v>4.8381540902495805</v>
      </c>
    </row>
    <row r="14" spans="1:12" ht="15">
      <c r="A14" s="45" t="s">
        <v>20982</v>
      </c>
      <c r="B14" s="46" t="s">
        <v>20965</v>
      </c>
      <c r="C14" s="47">
        <v>515986</v>
      </c>
      <c r="D14" s="48">
        <v>4</v>
      </c>
      <c r="E14" s="49">
        <f t="shared" si="1"/>
        <v>7.7521483141015457</v>
      </c>
      <c r="F14" s="50">
        <v>37885</v>
      </c>
      <c r="G14" s="51">
        <f t="shared" si="0"/>
        <v>7.3422534719934263E-2</v>
      </c>
      <c r="H14" s="48">
        <v>0</v>
      </c>
      <c r="I14" s="52">
        <f t="shared" si="2"/>
        <v>0</v>
      </c>
      <c r="J14" s="52">
        <f t="shared" si="3"/>
        <v>-7.3422534719934263E-2</v>
      </c>
      <c r="K14" s="53">
        <v>2382</v>
      </c>
      <c r="L14" s="54">
        <v>4.6164043210474697</v>
      </c>
    </row>
    <row r="15" spans="1:12" ht="15">
      <c r="A15" s="45" t="s">
        <v>20983</v>
      </c>
      <c r="B15" s="46" t="s">
        <v>20984</v>
      </c>
      <c r="C15" s="47">
        <v>430332</v>
      </c>
      <c r="D15" s="48">
        <v>3</v>
      </c>
      <c r="E15" s="49">
        <f t="shared" si="1"/>
        <v>6.9713616463567671</v>
      </c>
      <c r="F15" s="50">
        <v>64993</v>
      </c>
      <c r="G15" s="51">
        <f t="shared" si="0"/>
        <v>0.15102990249388845</v>
      </c>
      <c r="H15" s="48">
        <v>2</v>
      </c>
      <c r="I15" s="52">
        <f t="shared" si="2"/>
        <v>0.66666666666666663</v>
      </c>
      <c r="J15" s="52">
        <f t="shared" si="3"/>
        <v>0.51563676417277815</v>
      </c>
      <c r="K15" s="53">
        <v>4473</v>
      </c>
      <c r="L15" s="54">
        <v>10.394300214717939</v>
      </c>
    </row>
    <row r="16" spans="1:12" ht="15">
      <c r="A16" s="45" t="s">
        <v>20985</v>
      </c>
      <c r="B16" s="46" t="s">
        <v>20986</v>
      </c>
      <c r="C16" s="47">
        <v>446599</v>
      </c>
      <c r="D16" s="48">
        <v>3</v>
      </c>
      <c r="E16" s="49">
        <f t="shared" si="1"/>
        <v>6.7174355518037441</v>
      </c>
      <c r="F16" s="50">
        <v>55128</v>
      </c>
      <c r="G16" s="51">
        <f t="shared" si="0"/>
        <v>0.12343959569994559</v>
      </c>
      <c r="H16" s="48">
        <v>1</v>
      </c>
      <c r="I16" s="52">
        <f t="shared" si="2"/>
        <v>0.33333333333333331</v>
      </c>
      <c r="J16" s="52">
        <f t="shared" si="3"/>
        <v>0.20989373763338773</v>
      </c>
      <c r="K16" s="53">
        <v>2458</v>
      </c>
      <c r="L16" s="54">
        <v>5.503818862111201</v>
      </c>
    </row>
    <row r="17" spans="1:12" ht="15">
      <c r="A17" s="45" t="s">
        <v>20987</v>
      </c>
      <c r="B17" s="46" t="s">
        <v>20988</v>
      </c>
      <c r="C17" s="47">
        <v>456002</v>
      </c>
      <c r="D17" s="48">
        <v>3</v>
      </c>
      <c r="E17" s="49">
        <f t="shared" si="1"/>
        <v>6.5789185135152923</v>
      </c>
      <c r="F17" s="50">
        <v>224316</v>
      </c>
      <c r="G17" s="51">
        <f t="shared" si="0"/>
        <v>0.49191889509256537</v>
      </c>
      <c r="H17" s="48">
        <v>3</v>
      </c>
      <c r="I17" s="52">
        <f t="shared" si="2"/>
        <v>1</v>
      </c>
      <c r="J17" s="52">
        <f t="shared" si="3"/>
        <v>0.50808110490743463</v>
      </c>
      <c r="K17" s="53">
        <v>5577</v>
      </c>
      <c r="L17" s="54">
        <v>12.230209516624928</v>
      </c>
    </row>
    <row r="18" spans="1:12" ht="15">
      <c r="A18" s="45" t="s">
        <v>20989</v>
      </c>
      <c r="B18" s="46" t="s">
        <v>20981</v>
      </c>
      <c r="C18" s="47">
        <v>912791</v>
      </c>
      <c r="D18" s="48">
        <v>6</v>
      </c>
      <c r="E18" s="49">
        <f t="shared" si="1"/>
        <v>6.5732462305171726</v>
      </c>
      <c r="F18" s="50">
        <v>60760</v>
      </c>
      <c r="G18" s="51">
        <f t="shared" si="0"/>
        <v>6.6565073494370561E-2</v>
      </c>
      <c r="H18" s="48">
        <v>0</v>
      </c>
      <c r="I18" s="52">
        <f t="shared" si="2"/>
        <v>0</v>
      </c>
      <c r="J18" s="52">
        <f t="shared" si="3"/>
        <v>-6.6565073494370561E-2</v>
      </c>
      <c r="K18" s="53">
        <v>3581</v>
      </c>
      <c r="L18" s="54">
        <v>3.9231324585803318</v>
      </c>
    </row>
    <row r="19" spans="1:12" ht="15">
      <c r="A19" s="45" t="s">
        <v>20990</v>
      </c>
      <c r="B19" s="46" t="s">
        <v>20973</v>
      </c>
      <c r="C19" s="47">
        <v>470800</v>
      </c>
      <c r="D19" s="48">
        <v>3</v>
      </c>
      <c r="E19" s="49">
        <f t="shared" si="1"/>
        <v>6.372132540356839</v>
      </c>
      <c r="F19" s="50">
        <v>135916</v>
      </c>
      <c r="G19" s="51">
        <f t="shared" si="0"/>
        <v>0.28869158878504675</v>
      </c>
      <c r="H19" s="48">
        <v>3</v>
      </c>
      <c r="I19" s="52">
        <f t="shared" si="2"/>
        <v>1</v>
      </c>
      <c r="J19" s="52">
        <f t="shared" si="3"/>
        <v>0.71130841121495325</v>
      </c>
      <c r="K19" s="53">
        <v>5862</v>
      </c>
      <c r="L19" s="54">
        <v>12.451146983857264</v>
      </c>
    </row>
    <row r="20" spans="1:12" ht="15">
      <c r="A20" s="45" t="s">
        <v>20991</v>
      </c>
      <c r="B20" s="46" t="s">
        <v>20981</v>
      </c>
      <c r="C20" s="47">
        <v>2239558</v>
      </c>
      <c r="D20" s="48">
        <v>14</v>
      </c>
      <c r="E20" s="49">
        <f t="shared" si="1"/>
        <v>6.2512335023250127</v>
      </c>
      <c r="F20" s="50">
        <v>485956</v>
      </c>
      <c r="G20" s="51">
        <f t="shared" si="0"/>
        <v>0.21698745913256098</v>
      </c>
      <c r="H20" s="48">
        <v>9</v>
      </c>
      <c r="I20" s="52">
        <f t="shared" si="2"/>
        <v>0.6428571428571429</v>
      </c>
      <c r="J20" s="52">
        <f t="shared" si="3"/>
        <v>0.42586968372458189</v>
      </c>
      <c r="K20" s="53">
        <v>22008</v>
      </c>
      <c r="L20" s="54">
        <v>9.8269390656549191</v>
      </c>
    </row>
    <row r="21" spans="1:12" ht="15">
      <c r="A21" s="45" t="s">
        <v>20992</v>
      </c>
      <c r="B21" s="46" t="s">
        <v>20981</v>
      </c>
      <c r="C21" s="47">
        <v>320434</v>
      </c>
      <c r="D21" s="48">
        <v>2</v>
      </c>
      <c r="E21" s="49">
        <f t="shared" si="1"/>
        <v>6.2415349182671003</v>
      </c>
      <c r="F21" s="50">
        <v>11912</v>
      </c>
      <c r="G21" s="51">
        <f t="shared" si="0"/>
        <v>3.7174581973198846E-2</v>
      </c>
      <c r="H21" s="48">
        <v>0</v>
      </c>
      <c r="I21" s="52">
        <f t="shared" si="2"/>
        <v>0</v>
      </c>
      <c r="J21" s="52">
        <f t="shared" si="3"/>
        <v>-3.7174581973198846E-2</v>
      </c>
      <c r="K21" s="53">
        <v>2094</v>
      </c>
      <c r="L21" s="54">
        <v>6.5348870594256541</v>
      </c>
    </row>
    <row r="22" spans="1:12" ht="15">
      <c r="A22" s="45" t="s">
        <v>20993</v>
      </c>
      <c r="B22" s="46" t="s">
        <v>20994</v>
      </c>
      <c r="C22" s="47">
        <v>644014</v>
      </c>
      <c r="D22" s="48">
        <v>4</v>
      </c>
      <c r="E22" s="49">
        <f t="shared" si="1"/>
        <v>6.2110451015040047</v>
      </c>
      <c r="F22" s="50">
        <v>169272</v>
      </c>
      <c r="G22" s="51">
        <f t="shared" si="0"/>
        <v>0.26283900660544646</v>
      </c>
      <c r="H22" s="48">
        <v>1</v>
      </c>
      <c r="I22" s="52">
        <f t="shared" si="2"/>
        <v>0.25</v>
      </c>
      <c r="J22" s="52">
        <f t="shared" si="3"/>
        <v>-1.2839006605446457E-2</v>
      </c>
      <c r="K22" s="53">
        <v>7270</v>
      </c>
      <c r="L22" s="54">
        <v>11.288574471983528</v>
      </c>
    </row>
    <row r="23" spans="1:12" ht="15">
      <c r="A23" s="45" t="s">
        <v>20995</v>
      </c>
      <c r="B23" s="46" t="s">
        <v>20981</v>
      </c>
      <c r="C23" s="47">
        <v>812238</v>
      </c>
      <c r="D23" s="48">
        <v>5</v>
      </c>
      <c r="E23" s="49">
        <f t="shared" si="1"/>
        <v>6.1558311726365913</v>
      </c>
      <c r="F23" s="50">
        <v>136941</v>
      </c>
      <c r="G23" s="51">
        <f t="shared" si="0"/>
        <v>0.1685971353224055</v>
      </c>
      <c r="H23" s="48">
        <v>2</v>
      </c>
      <c r="I23" s="52">
        <f t="shared" si="2"/>
        <v>0.4</v>
      </c>
      <c r="J23" s="52">
        <f t="shared" si="3"/>
        <v>0.23140286467759452</v>
      </c>
      <c r="K23" s="55">
        <v>4428</v>
      </c>
      <c r="L23" s="54">
        <v>5.4516040864869657</v>
      </c>
    </row>
    <row r="24" spans="1:12" ht="15">
      <c r="A24" s="45" t="s">
        <v>20996</v>
      </c>
      <c r="B24" s="46" t="s">
        <v>20965</v>
      </c>
      <c r="C24" s="47">
        <v>334909</v>
      </c>
      <c r="D24" s="48">
        <v>2</v>
      </c>
      <c r="E24" s="49">
        <f t="shared" si="1"/>
        <v>5.9717714364200418</v>
      </c>
      <c r="F24" s="50">
        <v>3177</v>
      </c>
      <c r="G24" s="51">
        <f t="shared" si="0"/>
        <v>9.4861589267532381E-3</v>
      </c>
      <c r="H24" s="48">
        <v>0</v>
      </c>
      <c r="I24" s="52">
        <f t="shared" si="2"/>
        <v>0</v>
      </c>
      <c r="J24" s="52">
        <f t="shared" si="3"/>
        <v>-9.4861589267532381E-3</v>
      </c>
      <c r="K24" s="53">
        <v>1260</v>
      </c>
      <c r="L24" s="54">
        <v>3.7622160049446269</v>
      </c>
    </row>
    <row r="25" spans="1:12" ht="15">
      <c r="A25" s="45" t="s">
        <v>20997</v>
      </c>
      <c r="B25" s="46" t="s">
        <v>20965</v>
      </c>
      <c r="C25" s="47">
        <v>1015785</v>
      </c>
      <c r="D25" s="48">
        <v>6</v>
      </c>
      <c r="E25" s="49">
        <f t="shared" si="1"/>
        <v>5.9067617655310913</v>
      </c>
      <c r="F25" s="50">
        <v>27508</v>
      </c>
      <c r="G25" s="51">
        <f t="shared" si="0"/>
        <v>2.7080533774371546E-2</v>
      </c>
      <c r="H25" s="48">
        <v>1</v>
      </c>
      <c r="I25" s="52">
        <f t="shared" si="2"/>
        <v>0.16666666666666666</v>
      </c>
      <c r="J25" s="52">
        <f t="shared" si="3"/>
        <v>0.1395861328922951</v>
      </c>
      <c r="K25" s="53">
        <v>3242</v>
      </c>
      <c r="L25" s="54">
        <v>3.1916202739753001</v>
      </c>
    </row>
    <row r="26" spans="1:12" ht="15">
      <c r="A26" s="45" t="s">
        <v>20998</v>
      </c>
      <c r="B26" s="46" t="s">
        <v>20981</v>
      </c>
      <c r="C26" s="47">
        <v>679036</v>
      </c>
      <c r="D26" s="48">
        <v>4</v>
      </c>
      <c r="E26" s="49">
        <f t="shared" si="1"/>
        <v>5.8907038802066465</v>
      </c>
      <c r="F26" s="50">
        <v>18155</v>
      </c>
      <c r="G26" s="51">
        <f t="shared" si="0"/>
        <v>2.6736432236287914E-2</v>
      </c>
      <c r="H26" s="48">
        <v>1</v>
      </c>
      <c r="I26" s="52">
        <f t="shared" si="2"/>
        <v>0.25</v>
      </c>
      <c r="J26" s="52">
        <f t="shared" si="3"/>
        <v>0.22326356776371209</v>
      </c>
      <c r="K26" s="53">
        <v>2671</v>
      </c>
      <c r="L26" s="54">
        <v>3.933517516007988</v>
      </c>
    </row>
    <row r="27" spans="1:12" ht="15">
      <c r="A27" s="45" t="s">
        <v>20999</v>
      </c>
      <c r="B27" s="46" t="s">
        <v>20984</v>
      </c>
      <c r="C27" s="47">
        <v>853382</v>
      </c>
      <c r="D27" s="48">
        <v>5</v>
      </c>
      <c r="E27" s="49">
        <f t="shared" si="1"/>
        <v>5.8590408515764336</v>
      </c>
      <c r="F27" s="50">
        <v>247516</v>
      </c>
      <c r="G27" s="51">
        <f t="shared" si="0"/>
        <v>0.29004127108375849</v>
      </c>
      <c r="H27" s="48">
        <v>4</v>
      </c>
      <c r="I27" s="52">
        <f t="shared" si="2"/>
        <v>0.8</v>
      </c>
      <c r="J27" s="52">
        <f t="shared" si="3"/>
        <v>0.5099587289162415</v>
      </c>
      <c r="K27" s="53">
        <v>5853</v>
      </c>
      <c r="L27" s="54">
        <v>6.858593220855373</v>
      </c>
    </row>
    <row r="28" spans="1:12" ht="15">
      <c r="A28" s="45" t="s">
        <v>21000</v>
      </c>
      <c r="B28" s="46" t="s">
        <v>20965</v>
      </c>
      <c r="C28" s="47">
        <v>1381069</v>
      </c>
      <c r="D28" s="48">
        <v>8</v>
      </c>
      <c r="E28" s="49">
        <f t="shared" si="1"/>
        <v>5.7926142719878593</v>
      </c>
      <c r="F28" s="50">
        <v>82497</v>
      </c>
      <c r="G28" s="51">
        <f t="shared" si="0"/>
        <v>5.9734162449522794E-2</v>
      </c>
      <c r="H28" s="48">
        <v>1</v>
      </c>
      <c r="I28" s="52">
        <f t="shared" si="2"/>
        <v>0.125</v>
      </c>
      <c r="J28" s="52">
        <f t="shared" si="3"/>
        <v>6.5265837550477213E-2</v>
      </c>
      <c r="K28" s="53">
        <v>5214</v>
      </c>
      <c r="L28" s="54">
        <v>3.7753363517680869</v>
      </c>
    </row>
    <row r="29" spans="1:12" ht="15">
      <c r="A29" s="45" t="s">
        <v>21001</v>
      </c>
      <c r="B29" s="46" t="s">
        <v>20977</v>
      </c>
      <c r="C29" s="47">
        <v>527972</v>
      </c>
      <c r="D29" s="48">
        <v>3</v>
      </c>
      <c r="E29" s="49">
        <f t="shared" si="1"/>
        <v>5.6821195063374574</v>
      </c>
      <c r="F29" s="50">
        <v>23362</v>
      </c>
      <c r="G29" s="51">
        <f t="shared" si="0"/>
        <v>4.4248558635685227E-2</v>
      </c>
      <c r="H29" s="48">
        <v>0</v>
      </c>
      <c r="I29" s="52">
        <f t="shared" si="2"/>
        <v>0</v>
      </c>
      <c r="J29" s="52">
        <f t="shared" si="3"/>
        <v>-4.4248558635685227E-2</v>
      </c>
      <c r="K29" s="55">
        <v>3597</v>
      </c>
      <c r="L29" s="54">
        <v>6.8128612880986106</v>
      </c>
    </row>
    <row r="30" spans="1:12" ht="15">
      <c r="A30" s="45" t="s">
        <v>21002</v>
      </c>
      <c r="B30" s="46" t="s">
        <v>20965</v>
      </c>
      <c r="C30" s="47">
        <v>3928864</v>
      </c>
      <c r="D30" s="48">
        <v>22</v>
      </c>
      <c r="E30" s="49">
        <f t="shared" si="1"/>
        <v>5.5995829837836073</v>
      </c>
      <c r="F30" s="50">
        <v>347380</v>
      </c>
      <c r="G30" s="51">
        <f t="shared" si="0"/>
        <v>8.8417415313943162E-2</v>
      </c>
      <c r="H30" s="48">
        <v>4</v>
      </c>
      <c r="I30" s="52">
        <f t="shared" si="2"/>
        <v>0.18181818181818182</v>
      </c>
      <c r="J30" s="52">
        <f t="shared" si="3"/>
        <v>9.3400766504238661E-2</v>
      </c>
      <c r="K30" s="53">
        <v>19171</v>
      </c>
      <c r="L30" s="54">
        <v>4.8795275173688877</v>
      </c>
    </row>
    <row r="31" spans="1:12" ht="15">
      <c r="A31" s="45" t="s">
        <v>21003</v>
      </c>
      <c r="B31" s="46" t="s">
        <v>20984</v>
      </c>
      <c r="C31" s="47">
        <v>358699</v>
      </c>
      <c r="D31" s="48">
        <v>2</v>
      </c>
      <c r="E31" s="49">
        <f t="shared" si="1"/>
        <v>5.5757055358392416</v>
      </c>
      <c r="F31" s="50">
        <v>83032</v>
      </c>
      <c r="G31" s="51">
        <f t="shared" si="0"/>
        <v>0.23148099102590194</v>
      </c>
      <c r="H31" s="48">
        <v>1</v>
      </c>
      <c r="I31" s="52">
        <f t="shared" si="2"/>
        <v>0.5</v>
      </c>
      <c r="J31" s="52">
        <f t="shared" si="3"/>
        <v>0.26851900897409808</v>
      </c>
      <c r="K31" s="53">
        <v>2080</v>
      </c>
      <c r="L31" s="54">
        <v>5.798733757272811</v>
      </c>
    </row>
    <row r="32" spans="1:12" ht="15">
      <c r="A32" s="45" t="s">
        <v>21004</v>
      </c>
      <c r="B32" s="46" t="s">
        <v>20981</v>
      </c>
      <c r="C32" s="47">
        <v>1281047</v>
      </c>
      <c r="D32" s="48">
        <v>7</v>
      </c>
      <c r="E32" s="49">
        <f t="shared" si="1"/>
        <v>5.4642803894002325</v>
      </c>
      <c r="F32" s="50">
        <v>294159</v>
      </c>
      <c r="G32" s="51">
        <f t="shared" si="0"/>
        <v>0.22962389358079757</v>
      </c>
      <c r="H32" s="48">
        <v>4</v>
      </c>
      <c r="I32" s="52">
        <f t="shared" si="2"/>
        <v>0.5714285714285714</v>
      </c>
      <c r="J32" s="52">
        <f t="shared" si="3"/>
        <v>0.3418046778477738</v>
      </c>
      <c r="K32" s="53">
        <v>8457</v>
      </c>
      <c r="L32" s="54">
        <v>6.6016313218796814</v>
      </c>
    </row>
    <row r="33" spans="1:12" ht="15">
      <c r="A33" s="45" t="s">
        <v>21005</v>
      </c>
      <c r="B33" s="46" t="s">
        <v>21006</v>
      </c>
      <c r="C33" s="47">
        <v>388413</v>
      </c>
      <c r="D33" s="48">
        <v>2</v>
      </c>
      <c r="E33" s="49">
        <f t="shared" si="1"/>
        <v>5.1491582413564947</v>
      </c>
      <c r="F33" s="50">
        <v>42676</v>
      </c>
      <c r="G33" s="51">
        <f t="shared" si="0"/>
        <v>0.10987273855406487</v>
      </c>
      <c r="H33" s="48">
        <v>0</v>
      </c>
      <c r="I33" s="52">
        <f t="shared" si="2"/>
        <v>0</v>
      </c>
      <c r="J33" s="52">
        <f t="shared" si="3"/>
        <v>-0.10987273855406487</v>
      </c>
      <c r="K33" s="55">
        <v>3068</v>
      </c>
      <c r="L33" s="54">
        <v>7.8988087422408624</v>
      </c>
    </row>
    <row r="34" spans="1:12" ht="15">
      <c r="A34" s="45" t="s">
        <v>21007</v>
      </c>
      <c r="B34" s="46" t="s">
        <v>13897</v>
      </c>
      <c r="C34" s="47">
        <v>389521</v>
      </c>
      <c r="D34" s="48">
        <v>2</v>
      </c>
      <c r="E34" s="49">
        <f t="shared" si="1"/>
        <v>5.1345113613900155</v>
      </c>
      <c r="F34" s="50">
        <v>208208</v>
      </c>
      <c r="G34" s="51">
        <f t="shared" ref="G34:G63" si="4">F34/C34</f>
        <v>0.53452317076614608</v>
      </c>
      <c r="H34" s="48">
        <v>2</v>
      </c>
      <c r="I34" s="52">
        <f t="shared" si="2"/>
        <v>1</v>
      </c>
      <c r="J34" s="52">
        <f t="shared" si="3"/>
        <v>0.46547682923385392</v>
      </c>
      <c r="K34" s="53">
        <v>5186</v>
      </c>
      <c r="L34" s="54">
        <v>13.31378796008431</v>
      </c>
    </row>
    <row r="35" spans="1:12" ht="15">
      <c r="A35" s="45" t="s">
        <v>21008</v>
      </c>
      <c r="B35" s="46" t="s">
        <v>21009</v>
      </c>
      <c r="C35" s="47">
        <v>2027868</v>
      </c>
      <c r="D35" s="48">
        <v>10</v>
      </c>
      <c r="E35" s="49">
        <f t="shared" si="1"/>
        <v>4.9312874407998946</v>
      </c>
      <c r="F35" s="50">
        <f>C35*0.116</f>
        <v>235232.68800000002</v>
      </c>
      <c r="G35" s="51">
        <f t="shared" si="4"/>
        <v>0.11600000000000001</v>
      </c>
      <c r="H35" s="48">
        <v>2</v>
      </c>
      <c r="I35" s="52">
        <f t="shared" si="2"/>
        <v>0.2</v>
      </c>
      <c r="J35" s="52">
        <f t="shared" si="3"/>
        <v>8.4000000000000005E-2</v>
      </c>
      <c r="K35" s="53">
        <v>12876</v>
      </c>
      <c r="L35" s="54">
        <v>6.3495257087739443</v>
      </c>
    </row>
    <row r="36" spans="1:12" ht="15">
      <c r="A36" s="45" t="s">
        <v>21010</v>
      </c>
      <c r="B36" s="46" t="s">
        <v>21011</v>
      </c>
      <c r="C36" s="47">
        <v>619360</v>
      </c>
      <c r="D36" s="48">
        <v>3</v>
      </c>
      <c r="E36" s="49">
        <f t="shared" si="1"/>
        <v>4.8437096357530356</v>
      </c>
      <c r="F36" s="50">
        <v>35462</v>
      </c>
      <c r="G36" s="51">
        <f t="shared" si="4"/>
        <v>5.7255877034358048E-2</v>
      </c>
      <c r="H36" s="48">
        <v>0</v>
      </c>
      <c r="I36" s="52">
        <f t="shared" si="2"/>
        <v>0</v>
      </c>
      <c r="J36" s="52">
        <f t="shared" si="3"/>
        <v>-5.7255877034358048E-2</v>
      </c>
      <c r="K36" s="53">
        <v>2911</v>
      </c>
      <c r="L36" s="54">
        <v>4.7000129165590279</v>
      </c>
    </row>
    <row r="37" spans="1:12" ht="15">
      <c r="A37" s="45" t="s">
        <v>21012</v>
      </c>
      <c r="B37" s="46" t="s">
        <v>21013</v>
      </c>
      <c r="C37" s="47">
        <v>622793</v>
      </c>
      <c r="D37" s="48">
        <v>3</v>
      </c>
      <c r="E37" s="49">
        <f t="shared" si="1"/>
        <v>4.8170098250943729</v>
      </c>
      <c r="F37" s="50">
        <v>392938</v>
      </c>
      <c r="G37" s="51">
        <f t="shared" si="4"/>
        <v>0.63092873555097762</v>
      </c>
      <c r="H37" s="48">
        <v>3</v>
      </c>
      <c r="I37" s="52">
        <f t="shared" si="2"/>
        <v>1</v>
      </c>
      <c r="J37" s="52">
        <f t="shared" si="3"/>
        <v>0.36907126444902238</v>
      </c>
      <c r="K37" s="53">
        <v>8346</v>
      </c>
      <c r="L37" s="54">
        <v>13.400921333412548</v>
      </c>
    </row>
    <row r="38" spans="1:12" ht="15">
      <c r="A38" s="45" t="s">
        <v>21014</v>
      </c>
      <c r="B38" s="46" t="s">
        <v>13897</v>
      </c>
      <c r="C38" s="47">
        <v>835957</v>
      </c>
      <c r="D38" s="48">
        <v>4</v>
      </c>
      <c r="E38" s="49">
        <f t="shared" si="1"/>
        <v>4.7849351102987354</v>
      </c>
      <c r="F38" s="50">
        <v>217694</v>
      </c>
      <c r="G38" s="51">
        <f t="shared" si="4"/>
        <v>0.26041291597534322</v>
      </c>
      <c r="H38" s="48">
        <v>2</v>
      </c>
      <c r="I38" s="52">
        <f t="shared" si="2"/>
        <v>0.5</v>
      </c>
      <c r="J38" s="52">
        <f t="shared" si="3"/>
        <v>0.23958708402465678</v>
      </c>
      <c r="K38" s="53">
        <v>4563</v>
      </c>
      <c r="L38" s="54">
        <v>5.4584147270732828</v>
      </c>
    </row>
    <row r="39" spans="1:12" ht="15">
      <c r="A39" s="45" t="s">
        <v>21015</v>
      </c>
      <c r="B39" s="46" t="s">
        <v>20994</v>
      </c>
      <c r="C39" s="47">
        <v>656861</v>
      </c>
      <c r="D39" s="48">
        <v>3</v>
      </c>
      <c r="E39" s="49">
        <f t="shared" si="1"/>
        <v>4.5671763127967715</v>
      </c>
      <c r="F39" s="50">
        <v>408075</v>
      </c>
      <c r="G39" s="51">
        <f t="shared" si="4"/>
        <v>0.62125015794818084</v>
      </c>
      <c r="H39" s="48">
        <v>2</v>
      </c>
      <c r="I39" s="52">
        <f t="shared" si="2"/>
        <v>0.66666666666666663</v>
      </c>
      <c r="J39" s="52">
        <f t="shared" si="3"/>
        <v>4.5416508718485793E-2</v>
      </c>
      <c r="K39" s="53">
        <v>11399</v>
      </c>
      <c r="L39" s="54">
        <v>17.353747596523466</v>
      </c>
    </row>
    <row r="40" spans="1:12" ht="15">
      <c r="A40" s="45" t="s">
        <v>21016</v>
      </c>
      <c r="B40" s="46" t="s">
        <v>20977</v>
      </c>
      <c r="C40" s="47">
        <v>1537058</v>
      </c>
      <c r="D40" s="48">
        <v>7</v>
      </c>
      <c r="E40" s="49">
        <f t="shared" si="1"/>
        <v>4.5541547553833368</v>
      </c>
      <c r="F40" s="50">
        <v>86788</v>
      </c>
      <c r="G40" s="51">
        <f t="shared" si="4"/>
        <v>5.6463711844315569E-2</v>
      </c>
      <c r="H40" s="48">
        <v>0</v>
      </c>
      <c r="I40" s="52">
        <f t="shared" si="2"/>
        <v>0</v>
      </c>
      <c r="J40" s="52">
        <f t="shared" si="3"/>
        <v>-5.6463711844315569E-2</v>
      </c>
      <c r="K40" s="53">
        <v>8749</v>
      </c>
      <c r="L40" s="54">
        <v>5.6920428506926868</v>
      </c>
    </row>
    <row r="41" spans="1:12" ht="15">
      <c r="A41" s="45" t="s">
        <v>21017</v>
      </c>
      <c r="B41" s="46" t="s">
        <v>118</v>
      </c>
      <c r="C41" s="47">
        <v>668342</v>
      </c>
      <c r="D41" s="48">
        <v>3</v>
      </c>
      <c r="E41" s="49">
        <f t="shared" si="1"/>
        <v>4.4887198470244281</v>
      </c>
      <c r="F41" s="50">
        <v>47113</v>
      </c>
      <c r="G41" s="51">
        <f t="shared" si="4"/>
        <v>7.0492352717620624E-2</v>
      </c>
      <c r="H41" s="48">
        <v>0</v>
      </c>
      <c r="I41" s="52">
        <f t="shared" si="2"/>
        <v>0</v>
      </c>
      <c r="J41" s="52">
        <f t="shared" si="3"/>
        <v>-7.0492352717620624E-2</v>
      </c>
      <c r="K41" s="53">
        <v>4001</v>
      </c>
      <c r="L41" s="54">
        <v>5.9864560359815782</v>
      </c>
    </row>
    <row r="42" spans="1:12" ht="15">
      <c r="A42" s="45" t="s">
        <v>21018</v>
      </c>
      <c r="B42" s="46" t="s">
        <v>21019</v>
      </c>
      <c r="C42" s="47">
        <v>450980</v>
      </c>
      <c r="D42" s="48">
        <v>2</v>
      </c>
      <c r="E42" s="49">
        <f t="shared" si="1"/>
        <v>4.4347864650317081</v>
      </c>
      <c r="F42" s="50">
        <v>83210</v>
      </c>
      <c r="G42" s="51">
        <f t="shared" si="4"/>
        <v>0.18450929087764426</v>
      </c>
      <c r="H42" s="48">
        <v>2</v>
      </c>
      <c r="I42" s="52">
        <f t="shared" si="2"/>
        <v>1</v>
      </c>
      <c r="J42" s="52">
        <f t="shared" si="3"/>
        <v>0.81549070912235577</v>
      </c>
      <c r="K42" s="53">
        <v>660</v>
      </c>
      <c r="L42" s="54">
        <v>1.463479533460464</v>
      </c>
    </row>
    <row r="43" spans="1:12" ht="15">
      <c r="A43" s="45" t="s">
        <v>21020</v>
      </c>
      <c r="B43" s="46" t="s">
        <v>21021</v>
      </c>
      <c r="C43" s="47">
        <v>557169</v>
      </c>
      <c r="D43" s="48">
        <v>2</v>
      </c>
      <c r="E43" s="49">
        <f t="shared" si="1"/>
        <v>3.5895751558324314</v>
      </c>
      <c r="F43" s="50">
        <v>14878</v>
      </c>
      <c r="G43" s="51">
        <f t="shared" si="4"/>
        <v>2.6702849584237458E-2</v>
      </c>
      <c r="H43" s="48">
        <v>0</v>
      </c>
      <c r="I43" s="52">
        <f t="shared" si="2"/>
        <v>0</v>
      </c>
      <c r="J43" s="52">
        <f t="shared" si="3"/>
        <v>-2.6702849584237458E-2</v>
      </c>
      <c r="K43" s="53">
        <v>4934</v>
      </c>
      <c r="L43" s="54">
        <v>8.8554819094386072</v>
      </c>
    </row>
    <row r="44" spans="1:12" ht="15">
      <c r="A44" s="45" t="s">
        <v>21022</v>
      </c>
      <c r="B44" s="46" t="s">
        <v>20981</v>
      </c>
      <c r="C44" s="47">
        <v>1436697</v>
      </c>
      <c r="D44" s="48">
        <v>5</v>
      </c>
      <c r="E44" s="49">
        <f t="shared" si="1"/>
        <v>3.4802049423086427</v>
      </c>
      <c r="F44" s="50">
        <v>83365</v>
      </c>
      <c r="G44" s="51">
        <f t="shared" si="4"/>
        <v>5.8025457003111999E-2</v>
      </c>
      <c r="H44" s="48">
        <v>1</v>
      </c>
      <c r="I44" s="52">
        <f t="shared" si="2"/>
        <v>0.2</v>
      </c>
      <c r="J44" s="52">
        <f t="shared" si="3"/>
        <v>0.141974542996888</v>
      </c>
      <c r="K44" s="53">
        <v>7704</v>
      </c>
      <c r="L44" s="54">
        <v>5.3622997751091566</v>
      </c>
    </row>
    <row r="45" spans="1:12" ht="15">
      <c r="A45" s="45" t="s">
        <v>21023</v>
      </c>
      <c r="B45" s="46" t="s">
        <v>21024</v>
      </c>
      <c r="C45" s="47">
        <v>612780</v>
      </c>
      <c r="D45" s="48">
        <v>2</v>
      </c>
      <c r="E45" s="49">
        <f t="shared" si="1"/>
        <v>3.2638140931492541</v>
      </c>
      <c r="F45" s="50">
        <v>135138</v>
      </c>
      <c r="G45" s="51">
        <f t="shared" si="4"/>
        <v>0.22053265446000195</v>
      </c>
      <c r="H45" s="48">
        <v>1</v>
      </c>
      <c r="I45" s="52">
        <f t="shared" si="2"/>
        <v>0.5</v>
      </c>
      <c r="J45" s="52">
        <f t="shared" si="3"/>
        <v>0.27946734553999808</v>
      </c>
      <c r="K45" s="53">
        <v>4005</v>
      </c>
      <c r="L45" s="54">
        <v>6.5357877215313822</v>
      </c>
    </row>
    <row r="46" spans="1:12" ht="15">
      <c r="A46" s="45" t="s">
        <v>21025</v>
      </c>
      <c r="B46" s="46" t="s">
        <v>21026</v>
      </c>
      <c r="C46" s="47">
        <v>655884</v>
      </c>
      <c r="D46" s="48">
        <v>2</v>
      </c>
      <c r="E46" s="49">
        <f t="shared" si="1"/>
        <v>3.0493196967756493</v>
      </c>
      <c r="F46" s="50">
        <v>138073</v>
      </c>
      <c r="G46" s="51">
        <f t="shared" si="4"/>
        <v>0.21051435924645212</v>
      </c>
      <c r="H46" s="48">
        <v>2</v>
      </c>
      <c r="I46" s="52">
        <f t="shared" si="2"/>
        <v>1</v>
      </c>
      <c r="J46" s="52">
        <f t="shared" si="3"/>
        <v>0.78948564075354788</v>
      </c>
      <c r="K46" s="53">
        <v>4749</v>
      </c>
      <c r="L46" s="54">
        <v>7.2406096199937799</v>
      </c>
    </row>
    <row r="47" spans="1:12" ht="15">
      <c r="A47" s="45" t="s">
        <v>21027</v>
      </c>
      <c r="B47" s="46" t="s">
        <v>3685</v>
      </c>
      <c r="C47" s="47">
        <v>658893</v>
      </c>
      <c r="D47" s="48">
        <v>2</v>
      </c>
      <c r="E47" s="49">
        <f t="shared" si="1"/>
        <v>3.035394214235088</v>
      </c>
      <c r="F47" s="50">
        <v>301053</v>
      </c>
      <c r="G47" s="51">
        <f t="shared" si="4"/>
        <v>0.456907267189058</v>
      </c>
      <c r="H47" s="48">
        <v>2</v>
      </c>
      <c r="I47" s="52">
        <f t="shared" si="2"/>
        <v>1</v>
      </c>
      <c r="J47" s="52">
        <f t="shared" si="3"/>
        <v>0.54309273281094206</v>
      </c>
      <c r="K47" s="53">
        <v>7810</v>
      </c>
      <c r="L47" s="54">
        <v>11.85321440658802</v>
      </c>
    </row>
    <row r="48" spans="1:12" ht="15">
      <c r="A48" s="45" t="s">
        <v>21028</v>
      </c>
      <c r="B48" s="46" t="s">
        <v>21029</v>
      </c>
      <c r="C48" s="47">
        <v>2722389</v>
      </c>
      <c r="D48" s="48">
        <v>8</v>
      </c>
      <c r="E48" s="49">
        <f t="shared" si="1"/>
        <v>2.9385954762526589</v>
      </c>
      <c r="F48" s="50">
        <v>872286</v>
      </c>
      <c r="G48" s="51">
        <f t="shared" si="4"/>
        <v>0.32041196169981584</v>
      </c>
      <c r="H48" s="48">
        <v>5</v>
      </c>
      <c r="I48" s="52">
        <f t="shared" si="2"/>
        <v>0.625</v>
      </c>
      <c r="J48" s="52">
        <f t="shared" si="3"/>
        <v>0.30458803830018416</v>
      </c>
      <c r="K48" s="53">
        <v>24089</v>
      </c>
      <c r="L48" s="54">
        <v>8.8484783034312873</v>
      </c>
    </row>
    <row r="49" spans="1:12" ht="15">
      <c r="A49" s="45" t="s">
        <v>21030</v>
      </c>
      <c r="B49" s="46" t="s">
        <v>3968</v>
      </c>
      <c r="C49" s="47">
        <v>350399</v>
      </c>
      <c r="D49" s="48">
        <v>1</v>
      </c>
      <c r="E49" s="49">
        <f t="shared" si="1"/>
        <v>2.8538894232004086</v>
      </c>
      <c r="F49" s="50">
        <v>4642</v>
      </c>
      <c r="G49" s="51">
        <f t="shared" si="4"/>
        <v>1.3247754702496298E-2</v>
      </c>
      <c r="H49" s="48">
        <v>0</v>
      </c>
      <c r="I49" s="52">
        <f t="shared" si="2"/>
        <v>0</v>
      </c>
      <c r="J49" s="52">
        <f t="shared" si="3"/>
        <v>-1.3247754702496298E-2</v>
      </c>
      <c r="K49" s="55">
        <v>1025</v>
      </c>
      <c r="L49" s="54">
        <v>2.9252366587804191</v>
      </c>
    </row>
    <row r="50" spans="1:12" ht="15">
      <c r="A50" s="45" t="s">
        <v>21031</v>
      </c>
      <c r="B50" s="46" t="s">
        <v>1098</v>
      </c>
      <c r="C50" s="47">
        <v>399682</v>
      </c>
      <c r="D50" s="48">
        <v>1</v>
      </c>
      <c r="E50" s="49">
        <f t="shared" si="1"/>
        <v>2.5019890813196493</v>
      </c>
      <c r="F50" s="50">
        <v>61230</v>
      </c>
      <c r="G50" s="51">
        <f t="shared" si="4"/>
        <v>0.15319679144920212</v>
      </c>
      <c r="H50" s="48">
        <v>0</v>
      </c>
      <c r="I50" s="52">
        <f t="shared" si="2"/>
        <v>0</v>
      </c>
      <c r="J50" s="52">
        <f t="shared" si="3"/>
        <v>-0.15319679144920212</v>
      </c>
      <c r="K50" s="53">
        <v>3217</v>
      </c>
      <c r="L50" s="54">
        <v>8.0488988746053103</v>
      </c>
    </row>
    <row r="51" spans="1:12" ht="15">
      <c r="A51" s="45" t="s">
        <v>21032</v>
      </c>
      <c r="B51" s="46" t="s">
        <v>21033</v>
      </c>
      <c r="C51" s="47">
        <v>407207</v>
      </c>
      <c r="D51" s="48">
        <v>1</v>
      </c>
      <c r="E51" s="49">
        <f t="shared" si="1"/>
        <v>2.4557534619984431</v>
      </c>
      <c r="F51" s="50">
        <v>69971</v>
      </c>
      <c r="G51" s="51">
        <f t="shared" si="4"/>
        <v>0.17183152548949307</v>
      </c>
      <c r="H51" s="48">
        <v>1</v>
      </c>
      <c r="I51" s="52">
        <f t="shared" si="2"/>
        <v>1</v>
      </c>
      <c r="J51" s="52">
        <f t="shared" si="3"/>
        <v>0.8281684745105069</v>
      </c>
      <c r="K51" s="53">
        <v>4093</v>
      </c>
      <c r="L51" s="54">
        <v>10.051398919959627</v>
      </c>
    </row>
    <row r="52" spans="1:12" ht="15">
      <c r="A52" s="45" t="s">
        <v>21034</v>
      </c>
      <c r="B52" s="46" t="s">
        <v>21035</v>
      </c>
      <c r="C52" s="47">
        <v>439896</v>
      </c>
      <c r="D52" s="48">
        <v>1</v>
      </c>
      <c r="E52" s="49">
        <f t="shared" si="1"/>
        <v>2.2732645898121375</v>
      </c>
      <c r="F52" s="50">
        <v>115976</v>
      </c>
      <c r="G52" s="51">
        <f t="shared" si="4"/>
        <v>0.26364413406805243</v>
      </c>
      <c r="H52" s="48">
        <v>1</v>
      </c>
      <c r="I52" s="52">
        <f t="shared" si="2"/>
        <v>1</v>
      </c>
      <c r="J52" s="52">
        <f t="shared" si="3"/>
        <v>0.73635586593194757</v>
      </c>
      <c r="K52" s="55">
        <v>1842</v>
      </c>
      <c r="L52" s="54">
        <v>4.1873533744339575</v>
      </c>
    </row>
    <row r="53" spans="1:12" ht="15">
      <c r="A53" s="45" t="s">
        <v>21036</v>
      </c>
      <c r="B53" s="46" t="s">
        <v>20979</v>
      </c>
      <c r="C53" s="47">
        <v>445830</v>
      </c>
      <c r="D53" s="48">
        <v>1</v>
      </c>
      <c r="E53" s="49">
        <f t="shared" si="1"/>
        <v>2.2430074243545746</v>
      </c>
      <c r="F53" s="50">
        <v>24391</v>
      </c>
      <c r="G53" s="51">
        <f t="shared" si="4"/>
        <v>5.4709194087432432E-2</v>
      </c>
      <c r="H53" s="48">
        <v>0</v>
      </c>
      <c r="I53" s="52">
        <f t="shared" si="2"/>
        <v>0</v>
      </c>
      <c r="J53" s="52">
        <f t="shared" si="3"/>
        <v>-5.4709194087432432E-2</v>
      </c>
      <c r="K53" s="53">
        <v>2039</v>
      </c>
      <c r="L53" s="54">
        <v>4.5734921382589775</v>
      </c>
    </row>
    <row r="54" spans="1:12" ht="15">
      <c r="A54" s="45" t="s">
        <v>21037</v>
      </c>
      <c r="B54" s="46" t="s">
        <v>20965</v>
      </c>
      <c r="C54" s="47">
        <v>485199</v>
      </c>
      <c r="D54" s="48">
        <v>1</v>
      </c>
      <c r="E54" s="49">
        <f t="shared" si="1"/>
        <v>2.0610100185697005</v>
      </c>
      <c r="F54" s="50">
        <v>64967</v>
      </c>
      <c r="G54" s="51">
        <f t="shared" si="4"/>
        <v>0.13389763787641773</v>
      </c>
      <c r="H54" s="48">
        <v>0</v>
      </c>
      <c r="I54" s="52">
        <f t="shared" si="2"/>
        <v>0</v>
      </c>
      <c r="J54" s="52">
        <f t="shared" si="3"/>
        <v>-0.13389763787641773</v>
      </c>
      <c r="K54" s="53">
        <v>2968</v>
      </c>
      <c r="L54" s="54">
        <v>6.1170777351148704</v>
      </c>
    </row>
    <row r="55" spans="1:12" ht="15">
      <c r="A55" s="45" t="s">
        <v>21038</v>
      </c>
      <c r="B55" s="46" t="s">
        <v>21039</v>
      </c>
      <c r="C55" s="47">
        <v>599642</v>
      </c>
      <c r="D55" s="48">
        <v>1</v>
      </c>
      <c r="E55" s="49">
        <f t="shared" si="1"/>
        <v>1.6676617048172075</v>
      </c>
      <c r="F55" s="50">
        <v>233325</v>
      </c>
      <c r="G55" s="51">
        <f t="shared" si="4"/>
        <v>0.38910716727647499</v>
      </c>
      <c r="H55" s="48">
        <v>1</v>
      </c>
      <c r="I55" s="52">
        <f t="shared" si="2"/>
        <v>1</v>
      </c>
      <c r="J55" s="52">
        <f t="shared" si="3"/>
        <v>0.61089283272352501</v>
      </c>
      <c r="K55" s="53">
        <v>8864</v>
      </c>
      <c r="L55" s="54">
        <v>14.782153351499728</v>
      </c>
    </row>
    <row r="56" spans="1:12" ht="15">
      <c r="A56" s="45" t="s">
        <v>21040</v>
      </c>
      <c r="B56" s="46" t="s">
        <v>20979</v>
      </c>
      <c r="C56" s="47">
        <v>663862</v>
      </c>
      <c r="D56" s="48">
        <v>1</v>
      </c>
      <c r="E56" s="49">
        <f t="shared" si="1"/>
        <v>1.5063371604339455</v>
      </c>
      <c r="F56" s="50">
        <v>58388</v>
      </c>
      <c r="G56" s="51">
        <f t="shared" si="4"/>
        <v>8.7952014123417216E-2</v>
      </c>
      <c r="H56" s="48">
        <v>0</v>
      </c>
      <c r="I56" s="52">
        <f t="shared" si="2"/>
        <v>0</v>
      </c>
      <c r="J56" s="52">
        <f t="shared" si="3"/>
        <v>-8.7952014123417216E-2</v>
      </c>
      <c r="K56" s="53">
        <v>3983</v>
      </c>
      <c r="L56" s="54">
        <v>5.9997409100084056</v>
      </c>
    </row>
    <row r="57" spans="1:12" ht="15">
      <c r="A57" s="45" t="s">
        <v>21041</v>
      </c>
      <c r="B57" s="46" t="s">
        <v>21042</v>
      </c>
      <c r="C57" s="47">
        <v>680250</v>
      </c>
      <c r="D57" s="48">
        <v>1</v>
      </c>
      <c r="E57" s="49">
        <f t="shared" si="1"/>
        <v>1.470047776552738</v>
      </c>
      <c r="F57" s="50">
        <v>586573</v>
      </c>
      <c r="G57" s="51">
        <f t="shared" si="4"/>
        <v>0.86229033443586922</v>
      </c>
      <c r="H57" s="48">
        <v>1</v>
      </c>
      <c r="I57" s="52">
        <f t="shared" si="2"/>
        <v>1</v>
      </c>
      <c r="J57" s="52">
        <f t="shared" si="3"/>
        <v>0.13770966556413078</v>
      </c>
      <c r="K57" s="53">
        <v>13616</v>
      </c>
      <c r="L57" s="54">
        <v>20.01617052554208</v>
      </c>
    </row>
    <row r="58" spans="1:12" ht="15">
      <c r="A58" s="45" t="s">
        <v>21043</v>
      </c>
      <c r="B58" s="46" t="s">
        <v>757</v>
      </c>
      <c r="C58" s="47">
        <v>8491079</v>
      </c>
      <c r="D58" s="48">
        <v>11</v>
      </c>
      <c r="E58" s="49">
        <f t="shared" si="1"/>
        <v>1.2954772885754566</v>
      </c>
      <c r="F58" s="50">
        <v>1861295</v>
      </c>
      <c r="G58" s="51">
        <f t="shared" si="4"/>
        <v>0.21920594543991406</v>
      </c>
      <c r="H58" s="48">
        <v>7</v>
      </c>
      <c r="I58" s="52">
        <f t="shared" si="2"/>
        <v>0.63636363636363635</v>
      </c>
      <c r="J58" s="52">
        <f t="shared" si="3"/>
        <v>0.41715769092372229</v>
      </c>
      <c r="K58" s="53">
        <v>50564</v>
      </c>
      <c r="L58" s="54">
        <v>5.9549557835935811</v>
      </c>
    </row>
    <row r="59" spans="1:12" ht="15">
      <c r="A59" s="45" t="s">
        <v>21044</v>
      </c>
      <c r="B59" s="46" t="s">
        <v>21045</v>
      </c>
      <c r="C59" s="47">
        <v>1560297</v>
      </c>
      <c r="D59" s="48">
        <v>2</v>
      </c>
      <c r="E59" s="49">
        <f t="shared" si="1"/>
        <v>1.2818072456718177</v>
      </c>
      <c r="F59" s="50">
        <v>644287</v>
      </c>
      <c r="G59" s="51">
        <f t="shared" si="4"/>
        <v>0.4129258724460792</v>
      </c>
      <c r="H59" s="48">
        <v>2</v>
      </c>
      <c r="I59" s="52">
        <f t="shared" si="2"/>
        <v>1</v>
      </c>
      <c r="J59" s="52">
        <f t="shared" si="3"/>
        <v>0.58707412755392085</v>
      </c>
      <c r="K59" s="53">
        <v>15925</v>
      </c>
      <c r="L59" s="54">
        <v>10.206390193661848</v>
      </c>
    </row>
    <row r="60" spans="1:12" ht="15">
      <c r="A60" s="45" t="s">
        <v>21046</v>
      </c>
      <c r="B60" s="46" t="s">
        <v>21035</v>
      </c>
      <c r="C60" s="47">
        <v>809958</v>
      </c>
      <c r="D60" s="48">
        <v>1</v>
      </c>
      <c r="E60" s="49">
        <f t="shared" si="1"/>
        <v>1.2346319191859332</v>
      </c>
      <c r="F60" s="50">
        <v>252007</v>
      </c>
      <c r="G60" s="51">
        <f t="shared" si="4"/>
        <v>0.31113588605828946</v>
      </c>
      <c r="H60" s="48">
        <v>1</v>
      </c>
      <c r="I60" s="52">
        <f t="shared" si="2"/>
        <v>1</v>
      </c>
      <c r="J60" s="52">
        <f t="shared" si="3"/>
        <v>0.68886411394171054</v>
      </c>
      <c r="K60" s="53">
        <v>5054</v>
      </c>
      <c r="L60" s="54">
        <v>6.239829719565706</v>
      </c>
    </row>
    <row r="61" spans="1:12" ht="15">
      <c r="A61" s="45" t="s">
        <v>21047</v>
      </c>
      <c r="B61" s="46" t="s">
        <v>20965</v>
      </c>
      <c r="C61" s="47">
        <v>319504</v>
      </c>
      <c r="D61" s="48">
        <v>0</v>
      </c>
      <c r="E61" s="49">
        <f t="shared" si="1"/>
        <v>0</v>
      </c>
      <c r="F61" s="50">
        <v>19917</v>
      </c>
      <c r="G61" s="51">
        <f t="shared" si="4"/>
        <v>6.2337247733987682E-2</v>
      </c>
      <c r="H61" s="48">
        <v>0</v>
      </c>
      <c r="I61" s="52">
        <v>0</v>
      </c>
      <c r="J61" s="52">
        <f t="shared" si="3"/>
        <v>-6.2337247733987682E-2</v>
      </c>
      <c r="K61" s="53">
        <v>1384</v>
      </c>
      <c r="L61" s="54">
        <v>4.3317141569432618</v>
      </c>
    </row>
    <row r="62" spans="1:12" ht="15">
      <c r="A62" s="45" t="s">
        <v>21048</v>
      </c>
      <c r="B62" s="48"/>
      <c r="C62" s="47">
        <v>53931009</v>
      </c>
      <c r="D62" s="48">
        <v>249</v>
      </c>
      <c r="E62" s="49">
        <f t="shared" si="1"/>
        <v>4.6170098542009477</v>
      </c>
      <c r="F62" s="50">
        <f>SUM(F30:F61)</f>
        <v>8023729.6880000001</v>
      </c>
      <c r="G62" s="51">
        <f t="shared" si="4"/>
        <v>0.14877766681502289</v>
      </c>
      <c r="H62" s="48">
        <v>102</v>
      </c>
      <c r="I62" s="52">
        <f>H62/D62</f>
        <v>0.40963855421686746</v>
      </c>
      <c r="J62" s="52">
        <f t="shared" si="3"/>
        <v>0.26086088740184454</v>
      </c>
      <c r="L62" s="53"/>
    </row>
    <row r="63" spans="1:12" ht="15">
      <c r="A63" s="45" t="s">
        <v>21049</v>
      </c>
      <c r="B63" s="46"/>
      <c r="C63" s="47">
        <v>318900000</v>
      </c>
      <c r="D63" s="48">
        <v>1152</v>
      </c>
      <c r="E63" s="49">
        <f t="shared" si="1"/>
        <v>3.6124176857949202</v>
      </c>
      <c r="F63" s="47">
        <v>42094800</v>
      </c>
      <c r="G63" s="51">
        <f t="shared" si="4"/>
        <v>0.13200000000000001</v>
      </c>
      <c r="H63" s="48">
        <v>321</v>
      </c>
      <c r="I63" s="52">
        <f>H63/D63</f>
        <v>0.27864583333333331</v>
      </c>
      <c r="J63" s="52">
        <f t="shared" si="3"/>
        <v>0.14664583333333331</v>
      </c>
      <c r="L63" s="53">
        <v>3.66</v>
      </c>
    </row>
    <row r="64" spans="1:12" ht="15">
      <c r="K64" s="53" t="s">
        <v>21050</v>
      </c>
    </row>
  </sheetData>
  <conditionalFormatting sqref="J2:J1048576">
    <cfRule type="cellIs" dxfId="0" priority="1" operator="greaterThan">
      <formula>0</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2013-2015 Police Killings</vt:lpstr>
      <vt:lpstr>2015 Police Violence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SINYANGWE</cp:lastModifiedBy>
  <dcterms:created xsi:type="dcterms:W3CDTF">2015-11-04T15:56:20Z</dcterms:created>
  <dcterms:modified xsi:type="dcterms:W3CDTF">2016-01-12T19:17:32Z</dcterms:modified>
</cp:coreProperties>
</file>