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61da2eebd692d/Misc/"/>
    </mc:Choice>
  </mc:AlternateContent>
  <xr:revisionPtr revIDLastSave="1063" documentId="8_{8BFCDCDC-6BD2-4FFB-B509-F04F9B4E51E8}" xr6:coauthVersionLast="47" xr6:coauthVersionMax="47" xr10:uidLastSave="{728F61AB-2AB5-4AE4-BFF3-E38CE336B48E}"/>
  <bookViews>
    <workbookView xWindow="-108" yWindow="-108" windowWidth="23256" windowHeight="12576" xr2:uid="{718367B9-4C18-4361-BC3A-3E6234083288}"/>
  </bookViews>
  <sheets>
    <sheet name="calculator" sheetId="1" r:id="rId1"/>
    <sheet name="tax brack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I4" i="1" s="1"/>
  <c r="C28" i="1"/>
  <c r="C27" i="1"/>
  <c r="C25" i="1"/>
  <c r="E18" i="1"/>
  <c r="F18" i="1"/>
  <c r="G18" i="1"/>
  <c r="H18" i="1"/>
  <c r="I18" i="1"/>
  <c r="E20" i="1"/>
  <c r="F20" i="1"/>
  <c r="G20" i="1"/>
  <c r="H20" i="1"/>
  <c r="H21" i="1" s="1"/>
  <c r="I20" i="1"/>
  <c r="E21" i="1"/>
  <c r="F21" i="1"/>
  <c r="G21" i="1"/>
  <c r="I21" i="1"/>
  <c r="H3" i="1"/>
  <c r="G4" i="1" s="1" a="1"/>
  <c r="G4" i="1" s="1"/>
  <c r="F3" i="1"/>
  <c r="M19" i="1"/>
  <c r="C21" i="1"/>
  <c r="C20" i="1"/>
  <c r="C18" i="1"/>
  <c r="D21" i="1"/>
  <c r="D20" i="1"/>
  <c r="D18" i="1"/>
  <c r="K4" i="1"/>
  <c r="D7" i="1"/>
  <c r="D6" i="1"/>
  <c r="D5" i="1"/>
  <c r="C5" i="2"/>
  <c r="C23" i="2"/>
  <c r="C22" i="2"/>
  <c r="C21" i="2"/>
  <c r="C20" i="2"/>
  <c r="C19" i="2"/>
  <c r="C18" i="2"/>
  <c r="C17" i="2"/>
  <c r="C16" i="2"/>
  <c r="E15" i="2"/>
  <c r="C10" i="2"/>
  <c r="C9" i="2"/>
  <c r="C8" i="2"/>
  <c r="C7" i="2"/>
  <c r="C6" i="2"/>
  <c r="E4" i="2"/>
  <c r="E11" i="1"/>
  <c r="D14" i="1"/>
  <c r="D11" i="1"/>
  <c r="D12" i="1"/>
  <c r="C13" i="1"/>
  <c r="C14" i="1" s="1"/>
  <c r="C11" i="1"/>
  <c r="C7" i="1"/>
  <c r="K7" i="1" s="1"/>
  <c r="C6" i="1"/>
  <c r="C5" i="1"/>
  <c r="K5" i="1" l="1"/>
  <c r="K6" i="1"/>
  <c r="M21" i="1"/>
  <c r="M20" i="1"/>
  <c r="M18" i="1"/>
  <c r="E7" i="1" a="1"/>
  <c r="E7" i="1" s="1"/>
  <c r="E4" i="1" a="1"/>
  <c r="E4" i="1" s="1"/>
  <c r="M4" i="1" s="1"/>
  <c r="N3" i="1" s="1"/>
  <c r="G5" i="1" a="1"/>
  <c r="G5" i="1" s="1"/>
  <c r="E5" i="1" a="1"/>
  <c r="E5" i="1" s="1"/>
  <c r="E6" i="1" a="1"/>
  <c r="E6" i="1" s="1"/>
  <c r="G7" i="1" a="1"/>
  <c r="G7" i="1" s="1"/>
  <c r="G6" i="1" a="1"/>
  <c r="G6" i="1" s="1"/>
  <c r="E5" i="2"/>
  <c r="E6" i="2" s="1"/>
  <c r="E7" i="2" s="1"/>
  <c r="E8" i="2" s="1"/>
  <c r="E9" i="2" s="1"/>
  <c r="E16" i="2"/>
  <c r="E17" i="2" s="1"/>
  <c r="E18" i="2" s="1"/>
  <c r="E19" i="2" s="1"/>
  <c r="E20" i="2" s="1"/>
  <c r="E21" i="2" s="1"/>
  <c r="E22" i="2" s="1"/>
  <c r="I5" i="1"/>
  <c r="I6" i="1"/>
  <c r="I7" i="1"/>
  <c r="E12" i="1"/>
  <c r="E13" i="1"/>
  <c r="E14" i="1"/>
  <c r="M7" i="1" l="1"/>
  <c r="M6" i="1"/>
  <c r="M5" i="1"/>
  <c r="O4" i="1" l="1"/>
  <c r="O7" i="1" l="1"/>
  <c r="O6" i="1"/>
  <c r="G11" i="1"/>
  <c r="M11" i="1" s="1"/>
  <c r="N10" i="1" s="1"/>
  <c r="O5" i="1"/>
  <c r="O11" i="1" l="1"/>
  <c r="G13" i="1"/>
  <c r="M13" i="1" s="1"/>
  <c r="G12" i="1"/>
  <c r="M12" i="1" s="1"/>
  <c r="G14" i="1"/>
  <c r="M14" i="1" s="1"/>
  <c r="O18" i="1" l="1"/>
  <c r="N17" i="1"/>
  <c r="O12" i="1"/>
  <c r="O19" i="1" s="1"/>
  <c r="O14" i="1"/>
  <c r="O21" i="1" s="1"/>
  <c r="O13" i="1"/>
  <c r="O20" i="1" s="1"/>
  <c r="F28" i="1" l="1"/>
  <c r="D28" i="1"/>
  <c r="M28" i="1" s="1"/>
  <c r="O28" i="1" s="1"/>
  <c r="F26" i="1"/>
  <c r="D26" i="1"/>
  <c r="M26" i="1" s="1"/>
  <c r="O26" i="1" s="1"/>
  <c r="F27" i="1"/>
  <c r="D27" i="1"/>
  <c r="M27" i="1" s="1"/>
  <c r="O27" i="1" s="1"/>
  <c r="F25" i="1"/>
  <c r="D25" i="1"/>
  <c r="M25" i="1" s="1"/>
  <c r="N24" i="1" s="1"/>
  <c r="O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<sst xmlns="http://schemas.openxmlformats.org/spreadsheetml/2006/main" count="74" uniqueCount="53">
  <si>
    <t>per year</t>
  </si>
  <si>
    <t>per month</t>
  </si>
  <si>
    <t>per period</t>
  </si>
  <si>
    <t>per week</t>
  </si>
  <si>
    <t>gross income</t>
  </si>
  <si>
    <t>net income</t>
  </si>
  <si>
    <t>rent</t>
  </si>
  <si>
    <t>federal tax:</t>
  </si>
  <si>
    <t>state tax:</t>
  </si>
  <si>
    <t>local tax:</t>
  </si>
  <si>
    <t>pretax</t>
  </si>
  <si>
    <t>low</t>
  </si>
  <si>
    <t>hi</t>
  </si>
  <si>
    <t>percent</t>
  </si>
  <si>
    <t>+</t>
  </si>
  <si>
    <t>full</t>
  </si>
  <si>
    <t>insurance</t>
  </si>
  <si>
    <t>y</t>
  </si>
  <si>
    <t>y/n:</t>
  </si>
  <si>
    <t>n</t>
  </si>
  <si>
    <t>posttax</t>
  </si>
  <si>
    <t>post-tax income</t>
  </si>
  <si>
    <t>subscriptions</t>
  </si>
  <si>
    <t>(spotify, nflx, etc)</t>
  </si>
  <si>
    <t>gas</t>
  </si>
  <si>
    <t>other</t>
  </si>
  <si>
    <t>401k:</t>
  </si>
  <si>
    <t>HSA</t>
  </si>
  <si>
    <t>food</t>
  </si>
  <si>
    <t>final income</t>
  </si>
  <si>
    <t>2022 federal brackets</t>
  </si>
  <si>
    <t>2022 CA brackets</t>
  </si>
  <si>
    <t>std deduction:</t>
  </si>
  <si>
    <t>health</t>
  </si>
  <si>
    <t>car</t>
  </si>
  <si>
    <t>TAXES</t>
  </si>
  <si>
    <t>CONTRIBUTIONS</t>
  </si>
  <si>
    <t>EXPENSES</t>
  </si>
  <si>
    <t>utilities</t>
  </si>
  <si>
    <t>savings</t>
  </si>
  <si>
    <t>investing</t>
  </si>
  <si>
    <r>
      <rPr>
        <b/>
        <sz val="11"/>
        <color theme="1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>:</t>
    </r>
  </si>
  <si>
    <t>total tax:</t>
  </si>
  <si>
    <t>total deductions:</t>
  </si>
  <si>
    <t>total costs:</t>
  </si>
  <si>
    <t>percent of net</t>
  </si>
  <si>
    <t>total put away:</t>
  </si>
  <si>
    <t>goals</t>
  </si>
  <si>
    <t>SAVINGS GOALS</t>
  </si>
  <si>
    <t>debts:</t>
  </si>
  <si>
    <t>percent saved</t>
  </si>
  <si>
    <t>pocket money</t>
  </si>
  <si>
    <t>FICA &amp; SSN: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</si>
</sst>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2" borderId="0" xfId="0" applyNumberFormat="1" applyFill="1" applyAlignment="1" applyProtection="1">
      <alignment horizontal="right"/>
      <protection locked="0"/>
    </xf>
    <xf numFmtId="10" fontId="0" fillId="2" borderId="0" xfId="0" applyNumberFormat="1" applyFill="1" applyProtection="1">
      <protection locked="0"/>
    </xf>
    <xf numFmtId="9" fontId="0" fillId="2" borderId="0" xfId="0" applyNumberFormat="1" applyFill="1" applyProtection="1">
      <protection locked="0"/>
    </xf>
    <xf numFmtId="2" fontId="0" fillId="0" borderId="0" xfId="0" applyNumberFormat="1" applyAlignment="1">
      <alignment horizontal="right"/>
    </xf>
    <xf numFmtId="0" fontId="0" fillId="2" borderId="0" xfId="0" applyFill="1"/>
    <xf numFmtId="2" fontId="0" fillId="2" borderId="0" xfId="0" applyNumberFormat="1" applyFill="1" applyAlignment="1">
      <alignment horizontal="right"/>
    </xf>
    <xf numFmtId="0" fontId="0" fillId="4" borderId="0" xfId="0" applyFill="1"/>
    <xf numFmtId="2" fontId="0" fillId="4" borderId="0" xfId="0" applyNumberFormat="1" applyFill="1"/>
    <xf numFmtId="0" fontId="0" fillId="0" borderId="0" xfId="0" applyFill="1"/>
    <xf numFmtId="2" fontId="0" fillId="2" borderId="0" xfId="0" applyNumberFormat="1" applyFill="1"/>
    <xf numFmtId="10" fontId="0" fillId="2" borderId="0" xfId="0" applyNumberFormat="1" applyFill="1"/>
    <xf numFmtId="0" fontId="0" fillId="0" borderId="0" xfId="0" applyAlignment="1">
      <alignment vertical="top"/>
    </xf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10" fontId="1" fillId="0" borderId="0" xfId="0" applyNumberFormat="1" applyFont="1" applyFill="1"/>
    <xf numFmtId="9" fontId="1" fillId="0" borderId="0" xfId="0" applyNumberFormat="1" applyFont="1" applyProtection="1">
      <protection locked="0"/>
    </xf>
    <xf numFmtId="0" fontId="0" fillId="0" borderId="0" xfId="0" applyFont="1"/>
    <xf numFmtId="2" fontId="1" fillId="0" borderId="0" xfId="0" applyNumberFormat="1" applyFont="1" applyAlignment="1">
      <alignment horizontal="left"/>
    </xf>
    <xf numFmtId="3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3" fillId="0" borderId="0" xfId="0" applyFont="1"/>
    <xf numFmtId="3" fontId="0" fillId="0" borderId="0" xfId="0" applyNumberFormat="1" applyFont="1" applyFill="1" applyProtection="1">
      <protection locked="0"/>
    </xf>
    <xf numFmtId="3" fontId="0" fillId="2" borderId="0" xfId="0" applyNumberFormat="1" applyFont="1" applyFill="1" applyProtection="1">
      <protection locked="0"/>
    </xf>
    <xf numFmtId="164" fontId="0" fillId="2" borderId="0" xfId="0" applyNumberFormat="1" applyFont="1" applyFill="1" applyProtection="1">
      <protection locked="0"/>
    </xf>
    <xf numFmtId="0" fontId="0" fillId="2" borderId="0" xfId="0" applyFont="1" applyFill="1"/>
    <xf numFmtId="165" fontId="0" fillId="0" borderId="0" xfId="0" applyNumberFormat="1"/>
    <xf numFmtId="2" fontId="0" fillId="0" borderId="0" xfId="0" applyNumberFormat="1" applyFill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3" fontId="0" fillId="4" borderId="0" xfId="0" applyNumberFormat="1" applyFill="1" applyProtection="1">
      <protection locked="0"/>
    </xf>
    <xf numFmtId="164" fontId="0" fillId="4" borderId="0" xfId="0" applyNumberFormat="1" applyFill="1" applyProtection="1">
      <protection locked="0"/>
    </xf>
    <xf numFmtId="2" fontId="0" fillId="2" borderId="0" xfId="0" applyNumberFormat="1" applyFill="1" applyProtection="1">
      <protection locked="0"/>
    </xf>
    <xf numFmtId="2" fontId="0" fillId="0" borderId="0" xfId="0" applyNumberFormat="1" applyFill="1" applyProtection="1">
      <protection locked="0"/>
    </xf>
    <xf numFmtId="2" fontId="0" fillId="0" borderId="0" xfId="0" applyNumberFormat="1" applyFill="1" applyProtection="1"/>
    <xf numFmtId="0" fontId="3" fillId="0" borderId="0" xfId="0" applyFont="1" applyFill="1"/>
    <xf numFmtId="10" fontId="1" fillId="0" borderId="0" xfId="0" applyNumberFormat="1" applyFont="1"/>
    <xf numFmtId="2" fontId="3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9" fontId="0" fillId="2" borderId="0" xfId="0" applyNumberFormat="1" applyFill="1"/>
    <xf numFmtId="0" fontId="3" fillId="0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2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8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9" tint="0.79998168889431442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theme="9" tint="0.79998168889431442"/>
        </patternFill>
      </fill>
      <protection locked="0" hidden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9" tint="0.79998168889431442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theme="9" tint="0.79998168889431442"/>
        </patternFill>
      </fill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E714D-DC2E-4BD8-A7CA-8E9141B8B05A}" name="CABRACKET2022" displayName="CABRACKET2022" ref="B14:E23" totalsRowShown="0">
  <autoFilter ref="B14:E23" xr:uid="{73AE714D-DC2E-4BD8-A7CA-8E9141B8B05A}">
    <filterColumn colId="0" hiddenButton="1"/>
    <filterColumn colId="1" hiddenButton="1"/>
    <filterColumn colId="2" hiddenButton="1"/>
    <filterColumn colId="3" hiddenButton="1"/>
  </autoFilter>
  <tableColumns count="4">
    <tableColumn id="1" xr3:uid="{0615E9C5-6AD6-479F-8AB0-9539A2561109}" name="percent" dataDxfId="7"/>
    <tableColumn id="2" xr3:uid="{AB810CD3-0D80-4818-A050-CD6CDA829B4B}" name="low" dataDxfId="6"/>
    <tableColumn id="7" xr3:uid="{7043C369-2B0B-47E1-9FA3-D190B888467C}" name="hi" dataDxfId="5"/>
    <tableColumn id="6" xr3:uid="{9BAC71E9-2707-47E9-99AC-940115FE73A9}" name="full" dataDxfId="4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491B6-31A9-445C-A896-8E7DF6A026EB}" name="FEDBRACKET2022" displayName="FEDBRACKET2022" ref="B3:E10">
  <autoFilter ref="B3:E10" xr:uid="{F92491B6-31A9-445C-A896-8E7DF6A026EB}">
    <filterColumn colId="0" hiddenButton="1"/>
    <filterColumn colId="1" hiddenButton="1"/>
    <filterColumn colId="2" hiddenButton="1"/>
    <filterColumn colId="3" hiddenButton="1"/>
  </autoFilter>
  <tableColumns count="4">
    <tableColumn id="1" xr3:uid="{D3F50A8C-9326-429B-892F-F0A4646D9C3E}" name="percent" totalsRowLabel="Total" dataDxfId="3"/>
    <tableColumn id="2" xr3:uid="{C06F9A95-EBBA-4359-8F48-E05DE4F42589}" name="low" dataDxfId="2"/>
    <tableColumn id="7" xr3:uid="{0CC2722F-A45E-4E18-9178-B8CED36C7D30}" name="hi" dataDxfId="1"/>
    <tableColumn id="5" xr3:uid="{51F57F8D-5991-43B5-9A8C-360968A8F37E}" name="full" totalsRowFunction="sum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7F2D-6D28-4478-A55C-2E4FF9EA67B3}">
  <dimension ref="A1:T51261"/>
  <sheetViews>
    <sheetView tabSelected="1" zoomScale="85" zoomScaleNormal="85" workbookViewId="0">
      <selection activeCell="K3" sqref="K3"/>
    </sheetView>
  </sheetViews>
  <sheetFormatPr defaultRowHeight="14.4" x14ac:dyDescent="0.3"/>
  <cols>
    <col min="2" max="2" width="10.88671875" customWidth="1"/>
    <col min="3" max="3" width="13.44140625" customWidth="1"/>
    <col min="4" max="4" width="12.5546875" customWidth="1"/>
    <col min="5" max="5" width="9.88671875" customWidth="1"/>
    <col min="6" max="6" width="7.33203125" customWidth="1"/>
    <col min="7" max="7" width="9.21875" customWidth="1"/>
    <col min="8" max="8" width="12.21875" customWidth="1"/>
    <col min="9" max="9" width="9.44140625" customWidth="1"/>
    <col min="10" max="10" width="9.109375" customWidth="1"/>
    <col min="11" max="11" width="12.33203125" customWidth="1"/>
    <col min="12" max="12" width="9.109375" customWidth="1"/>
    <col min="13" max="13" width="15.109375" customWidth="1"/>
    <col min="14" max="14" width="8.6640625" customWidth="1"/>
    <col min="15" max="15" width="16" customWidth="1"/>
    <col min="16" max="16" width="10.5546875" style="10" customWidth="1"/>
    <col min="17" max="17" width="5" customWidth="1"/>
    <col min="18" max="18" width="13.33203125" customWidth="1"/>
    <col min="19" max="19" width="6.33203125" customWidth="1"/>
    <col min="20" max="20" width="16.33203125" customWidth="1"/>
    <col min="21" max="21" width="13.88671875" customWidth="1"/>
    <col min="22" max="22" width="16.77734375" customWidth="1"/>
    <col min="24" max="26" width="16.5546875" customWidth="1"/>
    <col min="27" max="27" width="17.44140625" customWidth="1"/>
  </cols>
  <sheetData>
    <row r="1" spans="1:18" s="10" customFormat="1" x14ac:dyDescent="0.3">
      <c r="B1" s="45" t="s">
        <v>35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8" x14ac:dyDescent="0.3">
      <c r="G2" s="18" t="s">
        <v>18</v>
      </c>
      <c r="H2" s="8" t="s">
        <v>17</v>
      </c>
      <c r="I2" s="18" t="s">
        <v>18</v>
      </c>
      <c r="J2" s="8" t="s">
        <v>19</v>
      </c>
      <c r="K2" s="12"/>
      <c r="L2" s="12"/>
    </row>
    <row r="3" spans="1:18" x14ac:dyDescent="0.3">
      <c r="C3" s="17" t="s">
        <v>4</v>
      </c>
      <c r="D3" s="16" t="s">
        <v>32</v>
      </c>
      <c r="E3" s="18" t="s">
        <v>7</v>
      </c>
      <c r="F3" s="1">
        <f>_xlfn.XLOOKUP(C4, FEDBRACKET2022[hi], FEDBRACKET2022[percent],0, 1)</f>
        <v>0.32</v>
      </c>
      <c r="G3" s="18" t="s">
        <v>8</v>
      </c>
      <c r="H3" s="1">
        <f>IF(H2="n", 0, _xlfn.XLOOKUP(C4, CABRACKET2022[hi], CABRACKET2022[percent],0, 1))</f>
        <v>9.2999999999999999E-2</v>
      </c>
      <c r="I3" s="19" t="s">
        <v>9</v>
      </c>
      <c r="J3" s="5" cm="1">
        <f t="array" ref="J3">IF(J2="n", 0, ENTER LOCAL TAX HERE)</f>
        <v>0</v>
      </c>
      <c r="K3" s="18" t="s">
        <v>52</v>
      </c>
      <c r="L3" s="14">
        <v>6.4500000000000002E-2</v>
      </c>
      <c r="M3" s="18" t="s">
        <v>42</v>
      </c>
      <c r="N3" s="40">
        <f>M4/C4</f>
        <v>0.33274690000000001</v>
      </c>
      <c r="O3" s="17" t="s">
        <v>21</v>
      </c>
    </row>
    <row r="4" spans="1:18" x14ac:dyDescent="0.3">
      <c r="A4">
        <v>1</v>
      </c>
      <c r="B4" s="25" t="s">
        <v>0</v>
      </c>
      <c r="C4" s="4">
        <v>200000</v>
      </c>
      <c r="D4" s="4">
        <v>12950</v>
      </c>
      <c r="E4" s="47" cm="1">
        <f t="array" ref="E4">_xlfn.LET(_xlpm.TB, FEDBRACKET2022[], _xlpm.ROW, MATCH($F$3, FEDBRACKET2022[percent]), _xlpm.FULL, IF(_xlpm.ROW &gt; 1, INDEX(_xlpm.TB, _xlpm.ROW - 1, 4), 0), _xlpm.HI, INDEX(_xlpm.TB,_xlpm.ROW - 1, 3), _xlpm.INC, $C4-$D4, _xlpm.FULL/$A4 + (_xlpm.INC - (_xlpm.HI / $A4)) * $F$3)</f>
        <v>40086.92</v>
      </c>
      <c r="F4" s="47"/>
      <c r="G4" s="47" cm="1">
        <f t="array" ref="G4">_xlfn.LET(_xlpm.TB, CABRACKET2022[], _xlpm.ROW, MATCH($H$3, CABRACKET2022[percent]), _xlpm.FULL, IF(_xlpm.ROW &gt; 1, INDEX(_xlpm.TB, _xlpm.ROW - 1, 4), 0), _xlpm.HI, INDEX(_xlpm.TB,_xlpm.ROW - 1, 3), _xlpm.INC, $C4-$D4, _xlpm.FULL/$A4 + (_xlpm.INC - (_xlpm.HI / $A4)) * $H$3)</f>
        <v>14397.737999999999</v>
      </c>
      <c r="H4" s="47"/>
      <c r="I4" s="47">
        <f>ROUND(C4 * $J$3, 2)</f>
        <v>0</v>
      </c>
      <c r="J4" s="47"/>
      <c r="K4" s="47">
        <f>(C4 - D4)*$L$3</f>
        <v>12064.725</v>
      </c>
      <c r="L4" s="47"/>
      <c r="M4" s="3">
        <f>ROUND(SUM(E4:L4), 2)</f>
        <v>66549.38</v>
      </c>
      <c r="N4" s="7"/>
      <c r="O4" s="32">
        <f>C4-M4</f>
        <v>133450.62</v>
      </c>
    </row>
    <row r="5" spans="1:18" x14ac:dyDescent="0.3">
      <c r="A5">
        <v>12</v>
      </c>
      <c r="B5" s="25" t="s">
        <v>1</v>
      </c>
      <c r="C5" s="3">
        <f>$C$4/A5</f>
        <v>16666.666666666668</v>
      </c>
      <c r="D5" s="3">
        <f>$D$4/A5</f>
        <v>1079.1666666666667</v>
      </c>
      <c r="E5" s="47" cm="1">
        <f t="array" ref="E5">_xlfn.LET(_xlpm.TB, FEDBRACKET2022[], _xlpm.ROW, MATCH($F$3, FEDBRACKET2022[percent]), _xlpm.FULL, IF(_xlpm.ROW &gt; 1, INDEX(_xlpm.TB, _xlpm.ROW - 1, 4), 0), _xlpm.HI, INDEX(_xlpm.TB,_xlpm.ROW - 1, 3), _xlpm.INC, $C5-$D5, _xlpm.FULL/$A5 + (_xlpm.INC - (_xlpm.HI / $A5)) * $F$3)</f>
        <v>3340.5766666666668</v>
      </c>
      <c r="F5" s="47"/>
      <c r="G5" s="47" cm="1">
        <f t="array" ref="G5">_xlfn.LET(_xlpm.TB, CABRACKET2022[], _xlpm.ROW, MATCH($H$3, CABRACKET2022[percent]), _xlpm.FULL, IF(_xlpm.ROW &gt; 1, INDEX(_xlpm.TB, _xlpm.ROW - 1, 4), 0), _xlpm.HI, INDEX(_xlpm.TB,_xlpm.ROW - 1, 3), _xlpm.INC, $C5-$D5, _xlpm.FULL/$A5 + (_xlpm.INC - (_xlpm.HI / $A5)) * $H$3)</f>
        <v>1199.8115000000003</v>
      </c>
      <c r="H5" s="47"/>
      <c r="I5" s="47">
        <f>ROUND(C5 * $J$3, 2)</f>
        <v>0</v>
      </c>
      <c r="J5" s="47"/>
      <c r="K5" s="47">
        <f>(C5 - D5)*$L$3</f>
        <v>1005.3937500000002</v>
      </c>
      <c r="L5" s="47"/>
      <c r="M5" s="3">
        <f>ROUND(SUM(E5:L5), 2)</f>
        <v>5545.78</v>
      </c>
      <c r="N5" s="7"/>
      <c r="O5" s="32">
        <f>C5-M5</f>
        <v>11120.886666666669</v>
      </c>
    </row>
    <row r="6" spans="1:18" x14ac:dyDescent="0.3">
      <c r="A6">
        <v>26</v>
      </c>
      <c r="B6" s="25" t="s">
        <v>2</v>
      </c>
      <c r="C6" s="3">
        <f>$C$4/A6</f>
        <v>7692.3076923076924</v>
      </c>
      <c r="D6" s="3">
        <f>$D$4/A6</f>
        <v>498.07692307692309</v>
      </c>
      <c r="E6" s="47" cm="1">
        <f t="array" ref="E6">_xlfn.LET(_xlpm.TB, FEDBRACKET2022[], _xlpm.ROW, MATCH($F$3, FEDBRACKET2022[percent]), _xlpm.FULL, IF(_xlpm.ROW &gt; 1, INDEX(_xlpm.TB, _xlpm.ROW - 1, 4), 0), _xlpm.HI, INDEX(_xlpm.TB,_xlpm.ROW - 1, 3), _xlpm.INC, $C6-$D6, _xlpm.FULL/$A6 + (_xlpm.INC - (_xlpm.HI / $A6)) * $F$3)</f>
        <v>1541.8046153846153</v>
      </c>
      <c r="F6" s="47"/>
      <c r="G6" s="47" cm="1">
        <f t="array" ref="G6">_xlfn.LET(_xlpm.TB, CABRACKET2022[], _xlpm.ROW, MATCH($H$3, CABRACKET2022[percent]), _xlpm.FULL, IF(_xlpm.ROW &gt; 1, INDEX(_xlpm.TB, _xlpm.ROW - 1, 4), 0), _xlpm.HI, INDEX(_xlpm.TB,_xlpm.ROW - 1, 3), _xlpm.INC, $C6-$D6, _xlpm.FULL/$A6 + (_xlpm.INC - (_xlpm.HI / $A6)) * $H$3)</f>
        <v>553.75915384615382</v>
      </c>
      <c r="H6" s="47"/>
      <c r="I6" s="47">
        <f>ROUND(C6 * $J$3, 2)</f>
        <v>0</v>
      </c>
      <c r="J6" s="47"/>
      <c r="K6" s="47">
        <f>(C6 - D6)*$L$3</f>
        <v>464.02788461538466</v>
      </c>
      <c r="L6" s="47"/>
      <c r="M6" s="3">
        <f>ROUND(SUM(E6:L6), 2)</f>
        <v>2559.59</v>
      </c>
      <c r="N6" s="7"/>
      <c r="O6" s="32">
        <f>C6-M6</f>
        <v>5132.7176923076922</v>
      </c>
    </row>
    <row r="7" spans="1:18" x14ac:dyDescent="0.3">
      <c r="A7">
        <v>52</v>
      </c>
      <c r="B7" s="25" t="s">
        <v>3</v>
      </c>
      <c r="C7" s="3">
        <f>$C$4/A7</f>
        <v>3846.1538461538462</v>
      </c>
      <c r="D7" s="3">
        <f>$D$4/A7</f>
        <v>249.03846153846155</v>
      </c>
      <c r="E7" s="47" cm="1">
        <f t="array" ref="E7">_xlfn.LET(_xlpm.TB, FEDBRACKET2022[], _xlpm.ROW, MATCH($F$3, FEDBRACKET2022[percent]), _xlpm.FULL, IF(_xlpm.ROW &gt; 1, INDEX(_xlpm.TB, _xlpm.ROW - 1, 4), 0), _xlpm.HI, INDEX(_xlpm.TB,_xlpm.ROW - 1, 3), _xlpm.INC, $C7-$D7, _xlpm.FULL/$A7 + (_xlpm.INC - (_xlpm.HI / $A7)) * $F$3)</f>
        <v>770.90230769230766</v>
      </c>
      <c r="F7" s="47"/>
      <c r="G7" s="47" cm="1">
        <f t="array" ref="G7">_xlfn.LET(_xlpm.TB, CABRACKET2022[], _xlpm.ROW, MATCH($H$3, CABRACKET2022[percent]), _xlpm.FULL, IF(_xlpm.ROW &gt; 1, INDEX(_xlpm.TB, _xlpm.ROW - 1, 4), 0), _xlpm.HI, INDEX(_xlpm.TB,_xlpm.ROW - 1, 3), _xlpm.INC, $C7-$D7, _xlpm.FULL/$A7 + (_xlpm.INC - (_xlpm.HI / $A7)) * $H$3)</f>
        <v>276.87957692307691</v>
      </c>
      <c r="H7" s="47"/>
      <c r="I7" s="47">
        <f>ROUND(C7 * $J$3, 2)</f>
        <v>0</v>
      </c>
      <c r="J7" s="47"/>
      <c r="K7" s="47">
        <f>(C7 - D7)*$L$3</f>
        <v>232.01394230769233</v>
      </c>
      <c r="L7" s="47"/>
      <c r="M7" s="3">
        <f>ROUND(SUM(E7:L7), 2)</f>
        <v>1279.8</v>
      </c>
      <c r="N7" s="7"/>
      <c r="O7" s="32">
        <f>C7-M7</f>
        <v>2566.3538461538465</v>
      </c>
    </row>
    <row r="8" spans="1:18" s="10" customFormat="1" x14ac:dyDescent="0.3">
      <c r="B8" s="45" t="s">
        <v>36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</row>
    <row r="9" spans="1:18" x14ac:dyDescent="0.3">
      <c r="C9" s="25" t="s">
        <v>16</v>
      </c>
      <c r="D9" s="25" t="s">
        <v>10</v>
      </c>
      <c r="G9" s="25" t="s">
        <v>20</v>
      </c>
    </row>
    <row r="10" spans="1:18" x14ac:dyDescent="0.3">
      <c r="C10" s="18" t="s">
        <v>33</v>
      </c>
      <c r="D10" s="20" t="s">
        <v>27</v>
      </c>
      <c r="E10" s="18" t="s">
        <v>26</v>
      </c>
      <c r="F10" s="6">
        <v>0.04</v>
      </c>
      <c r="G10" s="18" t="s">
        <v>26</v>
      </c>
      <c r="H10" s="6">
        <v>0</v>
      </c>
      <c r="L10" s="12"/>
      <c r="M10" s="18" t="s">
        <v>43</v>
      </c>
      <c r="N10" s="40">
        <f>M11/C4</f>
        <v>1.9E-2</v>
      </c>
      <c r="O10" s="17" t="s">
        <v>5</v>
      </c>
      <c r="R10" s="30"/>
    </row>
    <row r="11" spans="1:18" x14ac:dyDescent="0.3">
      <c r="B11" s="25" t="s">
        <v>0</v>
      </c>
      <c r="C11" s="2">
        <f>C12*A5</f>
        <v>-4200</v>
      </c>
      <c r="D11" s="3">
        <f>D13 * 26</f>
        <v>0</v>
      </c>
      <c r="E11" s="47">
        <f>ROUND(C4 * $F$10, 2)</f>
        <v>8000</v>
      </c>
      <c r="F11" s="47"/>
      <c r="G11" s="47">
        <f>O4*$H$10</f>
        <v>0</v>
      </c>
      <c r="H11" s="47"/>
      <c r="L11" s="12"/>
      <c r="M11" s="2">
        <f>SUM(C11:L11)</f>
        <v>3800</v>
      </c>
      <c r="N11" s="2"/>
      <c r="O11" s="32">
        <f>O4-M11</f>
        <v>129650.62</v>
      </c>
    </row>
    <row r="12" spans="1:18" x14ac:dyDescent="0.3">
      <c r="B12" s="25" t="s">
        <v>1</v>
      </c>
      <c r="C12" s="13">
        <v>-350</v>
      </c>
      <c r="D12" s="3">
        <f>D13 * 2</f>
        <v>0</v>
      </c>
      <c r="E12" s="47">
        <f>ROUND(C5 * $F$10, 2)</f>
        <v>666.67</v>
      </c>
      <c r="F12" s="47"/>
      <c r="G12" s="47">
        <f>O5*$H$10</f>
        <v>0</v>
      </c>
      <c r="H12" s="47"/>
      <c r="L12" s="12"/>
      <c r="M12" s="2">
        <f>SUM(C12:L12)</f>
        <v>316.66999999999996</v>
      </c>
      <c r="N12" s="2"/>
      <c r="O12" s="32">
        <f>O5-M12</f>
        <v>10804.216666666669</v>
      </c>
    </row>
    <row r="13" spans="1:18" x14ac:dyDescent="0.3">
      <c r="B13" s="25" t="s">
        <v>2</v>
      </c>
      <c r="C13" s="2">
        <f>C12/2</f>
        <v>-175</v>
      </c>
      <c r="D13" s="9">
        <v>0</v>
      </c>
      <c r="E13" s="47">
        <f>ROUND(C6 * $F$10, 2)</f>
        <v>307.69</v>
      </c>
      <c r="F13" s="47"/>
      <c r="G13" s="47">
        <f>O6*$H$10</f>
        <v>0</v>
      </c>
      <c r="H13" s="47"/>
      <c r="L13" s="12"/>
      <c r="M13" s="2">
        <f>SUM(C13:L13)</f>
        <v>132.69</v>
      </c>
      <c r="N13" s="2"/>
      <c r="O13" s="32">
        <f>O6-M13</f>
        <v>5000.0276923076926</v>
      </c>
    </row>
    <row r="14" spans="1:18" x14ac:dyDescent="0.3">
      <c r="B14" s="25" t="s">
        <v>3</v>
      </c>
      <c r="C14" s="2">
        <f>C13/4</f>
        <v>-43.75</v>
      </c>
      <c r="D14" s="3">
        <f>D13 / 2</f>
        <v>0</v>
      </c>
      <c r="E14" s="47">
        <f>ROUND(C7 * $F$10, 2)</f>
        <v>153.85</v>
      </c>
      <c r="F14" s="47"/>
      <c r="G14" s="47">
        <f>O7*$H$10</f>
        <v>0</v>
      </c>
      <c r="H14" s="47"/>
      <c r="L14" s="12"/>
      <c r="M14" s="2">
        <f>SUM(C14:L14)</f>
        <v>110.1</v>
      </c>
      <c r="N14" s="2"/>
      <c r="O14" s="32">
        <f>O7-M14</f>
        <v>2456.2538461538466</v>
      </c>
    </row>
    <row r="15" spans="1:18" s="10" customFormat="1" x14ac:dyDescent="0.3">
      <c r="B15" s="45" t="s">
        <v>37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6" spans="1:18" x14ac:dyDescent="0.3">
      <c r="D16" s="25"/>
      <c r="E16" s="25" t="s">
        <v>16</v>
      </c>
      <c r="H16" s="25" t="s">
        <v>23</v>
      </c>
      <c r="M16" s="3"/>
      <c r="N16" s="41" t="s">
        <v>45</v>
      </c>
    </row>
    <row r="17" spans="2:20" x14ac:dyDescent="0.3">
      <c r="C17" s="18" t="s">
        <v>6</v>
      </c>
      <c r="D17" s="16" t="s">
        <v>38</v>
      </c>
      <c r="E17" s="16" t="s">
        <v>34</v>
      </c>
      <c r="F17" s="18" t="s">
        <v>24</v>
      </c>
      <c r="G17" s="18" t="s">
        <v>28</v>
      </c>
      <c r="H17" s="18" t="s">
        <v>22</v>
      </c>
      <c r="I17" s="18" t="s">
        <v>25</v>
      </c>
      <c r="K17" s="21"/>
      <c r="M17" s="22" t="s">
        <v>44</v>
      </c>
      <c r="N17" s="42">
        <f>M18/O11</f>
        <v>0.27674375949764068</v>
      </c>
      <c r="O17" s="17" t="s">
        <v>29</v>
      </c>
    </row>
    <row r="18" spans="2:20" x14ac:dyDescent="0.3">
      <c r="B18" s="25" t="s">
        <v>0</v>
      </c>
      <c r="C18">
        <f>C19*12</f>
        <v>24000</v>
      </c>
      <c r="D18" s="31">
        <f>D19*12</f>
        <v>1200</v>
      </c>
      <c r="E18" s="31">
        <f>E19*12</f>
        <v>1560</v>
      </c>
      <c r="F18">
        <f>F19*12</f>
        <v>1800</v>
      </c>
      <c r="G18">
        <f>G19*12</f>
        <v>4800</v>
      </c>
      <c r="H18">
        <f>H19 * 12</f>
        <v>420</v>
      </c>
      <c r="I18" s="3">
        <f>I19*12</f>
        <v>2100</v>
      </c>
      <c r="K18" s="3"/>
      <c r="L18" s="3"/>
      <c r="M18" s="3">
        <f>SUM(C18:L18)</f>
        <v>35880</v>
      </c>
      <c r="N18" s="7"/>
      <c r="O18" s="33">
        <f>O11-M18</f>
        <v>93770.62</v>
      </c>
    </row>
    <row r="19" spans="2:20" x14ac:dyDescent="0.3">
      <c r="B19" s="25" t="s">
        <v>1</v>
      </c>
      <c r="C19" s="8">
        <v>2000</v>
      </c>
      <c r="D19" s="13">
        <v>100</v>
      </c>
      <c r="E19" s="13">
        <v>130</v>
      </c>
      <c r="F19" s="8">
        <v>150</v>
      </c>
      <c r="G19" s="8">
        <v>400</v>
      </c>
      <c r="H19" s="8">
        <v>35</v>
      </c>
      <c r="I19" s="13">
        <v>175</v>
      </c>
      <c r="K19" s="31"/>
      <c r="L19" s="31"/>
      <c r="M19" s="3">
        <f>SUM(C19:L19)</f>
        <v>2990</v>
      </c>
      <c r="N19" s="7"/>
      <c r="O19" s="33">
        <f>O12-M19</f>
        <v>7814.216666666669</v>
      </c>
    </row>
    <row r="20" spans="2:20" x14ac:dyDescent="0.3">
      <c r="B20" s="25" t="s">
        <v>2</v>
      </c>
      <c r="C20">
        <f t="shared" ref="C20:I20" si="0">C19/2</f>
        <v>1000</v>
      </c>
      <c r="D20" s="31">
        <f t="shared" si="0"/>
        <v>50</v>
      </c>
      <c r="E20" s="31">
        <f t="shared" si="0"/>
        <v>65</v>
      </c>
      <c r="F20">
        <f t="shared" si="0"/>
        <v>75</v>
      </c>
      <c r="G20">
        <f t="shared" si="0"/>
        <v>200</v>
      </c>
      <c r="H20">
        <f t="shared" si="0"/>
        <v>17.5</v>
      </c>
      <c r="I20" s="3">
        <f t="shared" si="0"/>
        <v>87.5</v>
      </c>
      <c r="K20" s="3"/>
      <c r="L20" s="3"/>
      <c r="M20" s="3">
        <f>SUM(C20:L20)</f>
        <v>1495</v>
      </c>
      <c r="N20" s="7"/>
      <c r="O20" s="33">
        <f>O13-M20</f>
        <v>3505.0276923076926</v>
      </c>
    </row>
    <row r="21" spans="2:20" x14ac:dyDescent="0.3">
      <c r="B21" s="25" t="s">
        <v>3</v>
      </c>
      <c r="C21">
        <f>C19/4</f>
        <v>500</v>
      </c>
      <c r="D21" s="31">
        <f>D19/4</f>
        <v>25</v>
      </c>
      <c r="E21" s="31">
        <f>E19/4</f>
        <v>32.5</v>
      </c>
      <c r="F21">
        <f>F19/4</f>
        <v>37.5</v>
      </c>
      <c r="G21">
        <f>G19/4</f>
        <v>100</v>
      </c>
      <c r="H21">
        <f>H20/2</f>
        <v>8.75</v>
      </c>
      <c r="I21" s="3">
        <f>I19/4</f>
        <v>43.75</v>
      </c>
      <c r="K21" s="3"/>
      <c r="L21" s="3"/>
      <c r="M21" s="3">
        <f>SUM(C21:L21)</f>
        <v>747.5</v>
      </c>
      <c r="N21" s="7"/>
      <c r="O21" s="33">
        <f>O14-M21</f>
        <v>1708.7538461538466</v>
      </c>
    </row>
    <row r="22" spans="2:20" s="10" customFormat="1" x14ac:dyDescent="0.3">
      <c r="B22" s="45" t="s">
        <v>48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</row>
    <row r="23" spans="2:20" s="12" customFormat="1" x14ac:dyDescent="0.3">
      <c r="D23" s="39" t="s">
        <v>47</v>
      </c>
      <c r="F23" s="39" t="s">
        <v>47</v>
      </c>
      <c r="N23" s="44" t="s">
        <v>50</v>
      </c>
      <c r="O23" s="44" t="s">
        <v>39</v>
      </c>
      <c r="P23" s="10"/>
    </row>
    <row r="24" spans="2:20" x14ac:dyDescent="0.3">
      <c r="B24" s="12"/>
      <c r="C24" s="16" t="s">
        <v>40</v>
      </c>
      <c r="D24" s="16" t="s">
        <v>49</v>
      </c>
      <c r="E24" s="43">
        <v>0</v>
      </c>
      <c r="F24" s="12" t="s">
        <v>41</v>
      </c>
      <c r="G24" s="43">
        <v>0.2</v>
      </c>
      <c r="H24" s="16"/>
      <c r="I24" s="12"/>
      <c r="J24" s="12"/>
      <c r="K24" s="12"/>
      <c r="L24" s="12"/>
      <c r="M24" s="18" t="s">
        <v>46</v>
      </c>
      <c r="N24" s="40">
        <f>M25/O18</f>
        <v>0.25118874120700069</v>
      </c>
      <c r="O24" s="17" t="s">
        <v>51</v>
      </c>
    </row>
    <row r="25" spans="2:20" x14ac:dyDescent="0.3">
      <c r="B25" s="25" t="s">
        <v>0</v>
      </c>
      <c r="C25" s="31">
        <f>C26*12</f>
        <v>4800</v>
      </c>
      <c r="D25" s="46">
        <f>$O18*$E$24</f>
        <v>0</v>
      </c>
      <c r="E25" s="46"/>
      <c r="F25" s="46">
        <f>$O18*$G$24</f>
        <v>18754.124</v>
      </c>
      <c r="G25" s="46"/>
      <c r="H25" s="31"/>
      <c r="I25" s="31"/>
      <c r="J25" s="31"/>
      <c r="K25" s="31"/>
      <c r="L25" s="31"/>
      <c r="M25" s="2">
        <f>SUM(C25:L25)</f>
        <v>23554.124</v>
      </c>
      <c r="N25" s="2"/>
      <c r="O25" s="2">
        <f>O18-M25</f>
        <v>70216.495999999999</v>
      </c>
    </row>
    <row r="26" spans="2:20" x14ac:dyDescent="0.3">
      <c r="B26" s="25" t="s">
        <v>1</v>
      </c>
      <c r="C26" s="36">
        <v>400</v>
      </c>
      <c r="D26" s="46">
        <f>$O19*$E$24</f>
        <v>0</v>
      </c>
      <c r="E26" s="46"/>
      <c r="F26" s="46">
        <f>$O19*$G$24</f>
        <v>1562.8433333333339</v>
      </c>
      <c r="G26" s="46"/>
      <c r="H26" s="31"/>
      <c r="I26" s="37"/>
      <c r="J26" s="37"/>
      <c r="K26" s="37"/>
      <c r="L26" s="37"/>
      <c r="M26" s="2">
        <f>SUM(C26:L26)</f>
        <v>1962.8433333333339</v>
      </c>
      <c r="N26" s="2"/>
      <c r="O26" s="2">
        <f>O19-M26</f>
        <v>5851.3733333333348</v>
      </c>
      <c r="P26" s="11"/>
      <c r="Q26" s="2"/>
      <c r="R26" s="2"/>
      <c r="S26" s="2"/>
      <c r="T26" s="2"/>
    </row>
    <row r="27" spans="2:20" x14ac:dyDescent="0.3">
      <c r="B27" s="25" t="s">
        <v>2</v>
      </c>
      <c r="C27" s="37">
        <f>C26 / 2</f>
        <v>200</v>
      </c>
      <c r="D27" s="46">
        <f>$O20*$E$24</f>
        <v>0</v>
      </c>
      <c r="E27" s="46"/>
      <c r="F27" s="46">
        <f>$O20*$G$24</f>
        <v>701.00553846153855</v>
      </c>
      <c r="G27" s="46"/>
      <c r="H27" s="38"/>
      <c r="I27" s="37"/>
      <c r="J27" s="37"/>
      <c r="K27" s="37"/>
      <c r="L27" s="37"/>
      <c r="M27" s="2">
        <f>SUM(C27:L27)</f>
        <v>901.00553846153855</v>
      </c>
      <c r="N27" s="2"/>
      <c r="O27" s="2">
        <f>O20-M27</f>
        <v>2604.0221538461542</v>
      </c>
      <c r="P27" s="11"/>
      <c r="Q27" s="2"/>
      <c r="R27" s="2"/>
      <c r="S27" s="2"/>
      <c r="T27" s="2"/>
    </row>
    <row r="28" spans="2:20" x14ac:dyDescent="0.3">
      <c r="B28" s="25" t="s">
        <v>3</v>
      </c>
      <c r="C28" s="37">
        <f xml:space="preserve"> C26 / 4</f>
        <v>100</v>
      </c>
      <c r="D28" s="46">
        <f>$O21*$E$24</f>
        <v>0</v>
      </c>
      <c r="E28" s="46"/>
      <c r="F28" s="46">
        <f>$O21*$G$24</f>
        <v>341.75076923076932</v>
      </c>
      <c r="G28" s="46"/>
      <c r="H28" s="31"/>
      <c r="I28" s="37"/>
      <c r="J28" s="37"/>
      <c r="K28" s="37"/>
      <c r="L28" s="37"/>
      <c r="M28" s="2">
        <f>SUM(C28:L28)</f>
        <v>441.75076923076932</v>
      </c>
      <c r="N28" s="2"/>
      <c r="O28" s="2">
        <f>O21-M28</f>
        <v>1267.0030769230773</v>
      </c>
      <c r="P28" s="11"/>
      <c r="Q28" s="2"/>
      <c r="R28" s="2"/>
      <c r="S28" s="2"/>
      <c r="T28" s="2"/>
    </row>
    <row r="29" spans="2:20" s="10" customFormat="1" x14ac:dyDescent="0.3">
      <c r="C29" s="34"/>
      <c r="D29" s="34"/>
      <c r="E29" s="35"/>
      <c r="F29" s="11"/>
      <c r="I29" s="34"/>
      <c r="J29" s="35"/>
      <c r="K29" s="35"/>
      <c r="L29" s="35"/>
      <c r="M29" s="11"/>
      <c r="N29" s="11"/>
      <c r="O29" s="11"/>
      <c r="P29" s="11"/>
      <c r="Q29" s="11"/>
      <c r="R29" s="11"/>
      <c r="S29" s="11"/>
      <c r="T29" s="11"/>
    </row>
    <row r="30" spans="2:20" x14ac:dyDescent="0.3">
      <c r="B30" s="12"/>
      <c r="C30" s="23"/>
      <c r="D30" s="23"/>
      <c r="E30" s="24"/>
      <c r="F30" s="31"/>
      <c r="G30" s="12"/>
      <c r="H30" s="12"/>
      <c r="I30" s="23"/>
      <c r="J30" s="24"/>
      <c r="K30" s="24"/>
      <c r="L30" s="24"/>
      <c r="M30" s="2"/>
      <c r="N30" s="2"/>
      <c r="O30" s="2"/>
      <c r="P30" s="11"/>
      <c r="Q30" s="2"/>
      <c r="R30" s="2"/>
      <c r="S30" s="2"/>
      <c r="T30" s="2"/>
    </row>
    <row r="31" spans="2:20" x14ac:dyDescent="0.3">
      <c r="B31" s="12"/>
      <c r="C31" s="23"/>
      <c r="D31" s="23"/>
      <c r="E31" s="24"/>
      <c r="F31" s="31"/>
      <c r="G31" s="12"/>
      <c r="H31" s="12"/>
      <c r="I31" s="23"/>
      <c r="J31" s="24"/>
      <c r="K31" s="24"/>
      <c r="L31" s="24"/>
      <c r="M31" s="2"/>
      <c r="N31" s="2"/>
      <c r="O31" s="2"/>
      <c r="P31" s="11"/>
      <c r="Q31" s="2"/>
      <c r="R31" s="2"/>
      <c r="S31" s="2"/>
      <c r="T31" s="2"/>
    </row>
    <row r="32" spans="2:20" x14ac:dyDescent="0.3">
      <c r="B32" s="12"/>
      <c r="C32" s="12"/>
      <c r="D32" s="12"/>
      <c r="E32" s="24"/>
      <c r="F32" s="31"/>
      <c r="G32" s="12"/>
      <c r="H32" s="12"/>
      <c r="I32" s="23"/>
      <c r="J32" s="24"/>
      <c r="K32" s="24"/>
      <c r="L32" s="24"/>
      <c r="M32" s="2"/>
      <c r="N32" s="2"/>
      <c r="O32" s="2"/>
      <c r="P32" s="11"/>
      <c r="Q32" s="2"/>
      <c r="R32" s="2"/>
      <c r="S32" s="2"/>
      <c r="T32" s="2"/>
    </row>
    <row r="33" spans="2:20" x14ac:dyDescent="0.3">
      <c r="B33" s="12"/>
      <c r="C33" s="12"/>
      <c r="D33" s="12"/>
      <c r="E33" s="12"/>
      <c r="F33" s="12"/>
      <c r="G33" s="12"/>
      <c r="H33" s="12"/>
      <c r="I33" s="23"/>
      <c r="J33" s="24"/>
      <c r="K33" s="24"/>
      <c r="L33" s="24"/>
      <c r="M33" s="2"/>
      <c r="N33" s="2"/>
      <c r="O33" s="2"/>
      <c r="P33" s="11"/>
      <c r="Q33" s="2"/>
      <c r="R33" s="2"/>
      <c r="S33" s="2"/>
      <c r="T33" s="2"/>
    </row>
    <row r="34" spans="2:20" x14ac:dyDescent="0.3">
      <c r="B34" s="12"/>
      <c r="C34" s="12"/>
      <c r="D34" s="12"/>
      <c r="E34" s="12"/>
      <c r="F34" s="12"/>
      <c r="G34" s="12"/>
      <c r="H34" s="12"/>
      <c r="I34" s="12"/>
      <c r="J34" s="24"/>
      <c r="K34" s="24"/>
      <c r="L34" s="24"/>
      <c r="M34" s="2"/>
      <c r="N34" s="2"/>
      <c r="O34" s="2"/>
      <c r="P34" s="11"/>
      <c r="Q34" s="2"/>
      <c r="R34" s="2"/>
      <c r="S34" s="2"/>
      <c r="T34" s="2"/>
    </row>
    <row r="35" spans="2:20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2:20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2:20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2:20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20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20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51261" spans="2:2" x14ac:dyDescent="0.3">
      <c r="B51261" s="15"/>
    </row>
  </sheetData>
  <mergeCells count="36">
    <mergeCell ref="B1:O1"/>
    <mergeCell ref="B8:O8"/>
    <mergeCell ref="B15:O15"/>
    <mergeCell ref="K4:L4"/>
    <mergeCell ref="K5:L5"/>
    <mergeCell ref="K6:L6"/>
    <mergeCell ref="K7:L7"/>
    <mergeCell ref="E14:F14"/>
    <mergeCell ref="E13:F13"/>
    <mergeCell ref="E12:F12"/>
    <mergeCell ref="E11:F11"/>
    <mergeCell ref="G11:H11"/>
    <mergeCell ref="G12:H12"/>
    <mergeCell ref="G13:H13"/>
    <mergeCell ref="G14:H14"/>
    <mergeCell ref="I4:J4"/>
    <mergeCell ref="I5:J5"/>
    <mergeCell ref="I6:J6"/>
    <mergeCell ref="I7:J7"/>
    <mergeCell ref="E4:F4"/>
    <mergeCell ref="E5:F5"/>
    <mergeCell ref="E6:F6"/>
    <mergeCell ref="E7:F7"/>
    <mergeCell ref="G5:H5"/>
    <mergeCell ref="G6:H6"/>
    <mergeCell ref="G4:H4"/>
    <mergeCell ref="G7:H7"/>
    <mergeCell ref="B22:O22"/>
    <mergeCell ref="D25:E25"/>
    <mergeCell ref="D26:E26"/>
    <mergeCell ref="D27:E27"/>
    <mergeCell ref="D28:E28"/>
    <mergeCell ref="F25:G25"/>
    <mergeCell ref="F26:G26"/>
    <mergeCell ref="F27:G27"/>
    <mergeCell ref="F28:G2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9508-2475-425A-91F2-763D60ECCD53}">
  <dimension ref="B2:E23"/>
  <sheetViews>
    <sheetView workbookViewId="0">
      <selection activeCell="B14" sqref="B14"/>
    </sheetView>
  </sheetViews>
  <sheetFormatPr defaultRowHeight="14.4" x14ac:dyDescent="0.3"/>
  <cols>
    <col min="2" max="2" width="10.44140625" customWidth="1"/>
    <col min="5" max="5" width="12.44140625" customWidth="1"/>
    <col min="7" max="7" width="10.44140625" customWidth="1"/>
  </cols>
  <sheetData>
    <row r="2" spans="2:5" x14ac:dyDescent="0.3">
      <c r="B2" t="s">
        <v>30</v>
      </c>
    </row>
    <row r="3" spans="2:5" x14ac:dyDescent="0.3">
      <c r="B3" t="s">
        <v>13</v>
      </c>
      <c r="C3" s="12" t="s">
        <v>11</v>
      </c>
      <c r="D3" t="s">
        <v>12</v>
      </c>
      <c r="E3" t="s">
        <v>15</v>
      </c>
    </row>
    <row r="4" spans="2:5" x14ac:dyDescent="0.3">
      <c r="B4" s="28">
        <v>0.1</v>
      </c>
      <c r="C4" s="26">
        <v>0</v>
      </c>
      <c r="D4" s="27">
        <v>10275</v>
      </c>
      <c r="E4" s="2">
        <f>D4*B4</f>
        <v>1027.5</v>
      </c>
    </row>
    <row r="5" spans="2:5" x14ac:dyDescent="0.3">
      <c r="B5" s="28">
        <v>0.12</v>
      </c>
      <c r="C5" s="26">
        <f>D4 +1</f>
        <v>10276</v>
      </c>
      <c r="D5" s="27">
        <v>41775</v>
      </c>
      <c r="E5" s="2">
        <f>E4 + (D5-C5) * B5</f>
        <v>4807.3799999999992</v>
      </c>
    </row>
    <row r="6" spans="2:5" x14ac:dyDescent="0.3">
      <c r="B6" s="28">
        <v>0.22</v>
      </c>
      <c r="C6" s="26">
        <f t="shared" ref="C6:C10" si="0">D5 +1</f>
        <v>41776</v>
      </c>
      <c r="D6" s="27">
        <v>89075</v>
      </c>
      <c r="E6" s="2">
        <f>E5+ (D6-C6) *B6</f>
        <v>15213.16</v>
      </c>
    </row>
    <row r="7" spans="2:5" x14ac:dyDescent="0.3">
      <c r="B7" s="28">
        <v>0.24</v>
      </c>
      <c r="C7" s="26">
        <f t="shared" si="0"/>
        <v>89076</v>
      </c>
      <c r="D7" s="27">
        <v>170050</v>
      </c>
      <c r="E7" s="2">
        <f>E6+ (D7-C7) *B7</f>
        <v>34646.92</v>
      </c>
    </row>
    <row r="8" spans="2:5" x14ac:dyDescent="0.3">
      <c r="B8" s="28">
        <v>0.32</v>
      </c>
      <c r="C8" s="26">
        <f t="shared" si="0"/>
        <v>170051</v>
      </c>
      <c r="D8" s="27">
        <v>215950</v>
      </c>
      <c r="E8" s="2">
        <f>E7+ (D8-C8) *B8</f>
        <v>49334.6</v>
      </c>
    </row>
    <row r="9" spans="2:5" x14ac:dyDescent="0.3">
      <c r="B9" s="28">
        <v>0.35</v>
      </c>
      <c r="C9" s="26">
        <f t="shared" si="0"/>
        <v>215951</v>
      </c>
      <c r="D9" s="27">
        <v>539900</v>
      </c>
      <c r="E9" s="2">
        <f>E8+ (D9-C9) *B9</f>
        <v>162716.75</v>
      </c>
    </row>
    <row r="10" spans="2:5" x14ac:dyDescent="0.3">
      <c r="B10" s="28">
        <v>0.37</v>
      </c>
      <c r="C10" s="26">
        <f t="shared" si="0"/>
        <v>539901</v>
      </c>
      <c r="D10" s="29" t="s">
        <v>14</v>
      </c>
      <c r="E10" s="2"/>
    </row>
    <row r="13" spans="2:5" x14ac:dyDescent="0.3">
      <c r="B13" t="s">
        <v>31</v>
      </c>
    </row>
    <row r="14" spans="2:5" x14ac:dyDescent="0.3">
      <c r="B14" t="s">
        <v>13</v>
      </c>
      <c r="C14" t="s">
        <v>11</v>
      </c>
      <c r="D14" t="s">
        <v>12</v>
      </c>
      <c r="E14" t="s">
        <v>15</v>
      </c>
    </row>
    <row r="15" spans="2:5" x14ac:dyDescent="0.3">
      <c r="B15" s="28">
        <v>0.01</v>
      </c>
      <c r="C15" s="26">
        <v>0</v>
      </c>
      <c r="D15" s="27">
        <v>9325</v>
      </c>
      <c r="E15" s="2">
        <f>D15*B15</f>
        <v>93.25</v>
      </c>
    </row>
    <row r="16" spans="2:5" x14ac:dyDescent="0.3">
      <c r="B16" s="28">
        <v>0.02</v>
      </c>
      <c r="C16" s="26">
        <f t="shared" ref="C16:C23" si="1">D15 +1</f>
        <v>9326</v>
      </c>
      <c r="D16" s="27">
        <v>22107</v>
      </c>
      <c r="E16" s="2">
        <f t="shared" ref="E16:E22" si="2">E15 + (D16-C16) * B16</f>
        <v>348.87</v>
      </c>
    </row>
    <row r="17" spans="2:5" x14ac:dyDescent="0.3">
      <c r="B17" s="28">
        <v>0.04</v>
      </c>
      <c r="C17" s="26">
        <f t="shared" si="1"/>
        <v>22108</v>
      </c>
      <c r="D17" s="27">
        <v>34892</v>
      </c>
      <c r="E17" s="2">
        <f t="shared" si="2"/>
        <v>860.23</v>
      </c>
    </row>
    <row r="18" spans="2:5" x14ac:dyDescent="0.3">
      <c r="B18" s="28">
        <v>0.06</v>
      </c>
      <c r="C18" s="26">
        <f t="shared" si="1"/>
        <v>34893</v>
      </c>
      <c r="D18" s="27">
        <v>48435</v>
      </c>
      <c r="E18" s="2">
        <f t="shared" si="2"/>
        <v>1672.75</v>
      </c>
    </row>
    <row r="19" spans="2:5" x14ac:dyDescent="0.3">
      <c r="B19" s="28">
        <v>0.08</v>
      </c>
      <c r="C19" s="26">
        <f t="shared" si="1"/>
        <v>48436</v>
      </c>
      <c r="D19" s="27">
        <v>61214</v>
      </c>
      <c r="E19" s="2">
        <f t="shared" si="2"/>
        <v>2694.99</v>
      </c>
    </row>
    <row r="20" spans="2:5" x14ac:dyDescent="0.3">
      <c r="B20" s="28">
        <v>9.2999999999999999E-2</v>
      </c>
      <c r="C20" s="26">
        <f t="shared" si="1"/>
        <v>61215</v>
      </c>
      <c r="D20" s="27">
        <v>312686</v>
      </c>
      <c r="E20" s="2">
        <f t="shared" si="2"/>
        <v>26081.792999999998</v>
      </c>
    </row>
    <row r="21" spans="2:5" x14ac:dyDescent="0.3">
      <c r="B21" s="28">
        <v>0.10299999999999999</v>
      </c>
      <c r="C21" s="26">
        <f t="shared" si="1"/>
        <v>312687</v>
      </c>
      <c r="D21" s="27">
        <v>375221</v>
      </c>
      <c r="E21" s="2">
        <f t="shared" si="2"/>
        <v>32522.794999999998</v>
      </c>
    </row>
    <row r="22" spans="2:5" x14ac:dyDescent="0.3">
      <c r="B22" s="28">
        <v>0.113</v>
      </c>
      <c r="C22" s="26">
        <f t="shared" si="1"/>
        <v>375222</v>
      </c>
      <c r="D22" s="27">
        <v>625369</v>
      </c>
      <c r="E22" s="2">
        <f t="shared" si="2"/>
        <v>60789.406000000003</v>
      </c>
    </row>
    <row r="23" spans="2:5" x14ac:dyDescent="0.3">
      <c r="B23" s="28">
        <v>0.12300000000000001</v>
      </c>
      <c r="C23" s="26">
        <f t="shared" si="1"/>
        <v>625370</v>
      </c>
      <c r="D23" s="29" t="s">
        <v>14</v>
      </c>
      <c r="E23" s="2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tax brackets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Rebekka S.</dc:creator>
  <cp:lastModifiedBy>Rebekka</cp:lastModifiedBy>
  <dcterms:created xsi:type="dcterms:W3CDTF">2022-02-28T18:45:21Z</dcterms:created>
  <dcterms:modified xsi:type="dcterms:W3CDTF">2022-03-01T09:22:05Z</dcterms:modified>
</cp:coreProperties>
</file>